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comments/comment1.xml" ContentType="application/vnd.openxmlformats-officedocument.spreadsheetml.comment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comment2.xml" ContentType="application/vnd.openxmlformats-officedocument.spreadsheetml.comments+xml"/>
  <Override PartName="/xl/worksheets/sheet8.xml" ContentType="application/vnd.openxmlformats-officedocument.spreadsheetml.worksheet+xml"/>
  <Override PartName="/xl/comments/comment3.xml" ContentType="application/vnd.openxmlformats-officedocument.spreadsheetml.comments+xml"/>
  <Override PartName="/xl/worksheets/sheet9.xml" ContentType="application/vnd.openxmlformats-officedocument.spreadsheetml.worksheet+xml"/>
  <Override PartName="/xl/comments/comment4.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ables/table1.xml" ContentType="application/vnd.openxmlformats-officedocument.spreadsheetml.table+xml"/>
  <Override PartName="/xl/worksheets/sheet13.xml" ContentType="application/vnd.openxmlformats-officedocument.spreadsheetml.worksheet+xml"/>
  <Override PartName="/xl/worksheets/sheet14.xml" ContentType="application/vnd.openxmlformats-officedocument.spreadsheetml.worksheet+xml"/>
  <Override PartName="/xl/comments/comment5.xml" ContentType="application/vnd.openxmlformats-officedocument.spreadsheetml.comments+xml"/>
  <Override PartName="/xl/worksheets/sheet15.xml" ContentType="application/vnd.openxmlformats-officedocument.spreadsheetml.worksheet+xml"/>
  <Override PartName="/xl/drawings/drawing1.xml" ContentType="application/vnd.openxmlformats-officedocument.drawing+xml"/>
  <Override PartName="/xl/worksheets/sheet16.xml" ContentType="application/vnd.openxmlformats-officedocument.spreadsheetml.worksheet+xml"/>
  <Override PartName="/xl/drawings/drawing2.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40" yWindow="800" windowWidth="34200" windowHeight="21440" tabRatio="600" firstSheet="0" activeTab="8" autoFilterDateGrouping="1"/>
  </bookViews>
  <sheets>
    <sheet xmlns:r="http://schemas.openxmlformats.org/officeDocument/2006/relationships" name="Summary" sheetId="1" state="visible" r:id="rId1"/>
    <sheet xmlns:r="http://schemas.openxmlformats.org/officeDocument/2006/relationships" name="Valuation" sheetId="2" state="visible" r:id="rId2"/>
    <sheet xmlns:r="http://schemas.openxmlformats.org/officeDocument/2006/relationships" name="FS_Y (OLD)" sheetId="3" state="hidden" r:id="rId3"/>
    <sheet xmlns:r="http://schemas.openxmlformats.org/officeDocument/2006/relationships" name="FS_H" sheetId="4" state="hidden" r:id="rId4"/>
    <sheet xmlns:r="http://schemas.openxmlformats.org/officeDocument/2006/relationships" name="Financials" sheetId="5" state="visible" r:id="rId5"/>
    <sheet xmlns:r="http://schemas.openxmlformats.org/officeDocument/2006/relationships" name="FS_Y" sheetId="6" state="visible" r:id="rId6"/>
    <sheet xmlns:r="http://schemas.openxmlformats.org/officeDocument/2006/relationships" name="FS_Q" sheetId="7" state="visible" r:id="rId7"/>
    <sheet xmlns:r="http://schemas.openxmlformats.org/officeDocument/2006/relationships" name="Assumption" sheetId="8" state="visible" r:id="rId8"/>
    <sheet xmlns:r="http://schemas.openxmlformats.org/officeDocument/2006/relationships" name="Reported" sheetId="9" state="visible" r:id="rId9"/>
    <sheet xmlns:r="http://schemas.openxmlformats.org/officeDocument/2006/relationships" name="IPGP" sheetId="10" state="visible" r:id="rId10"/>
    <sheet xmlns:r="http://schemas.openxmlformats.org/officeDocument/2006/relationships" name="SCB Ticker Sheet" sheetId="11" state="visible" r:id="rId11"/>
    <sheet xmlns:r="http://schemas.openxmlformats.org/officeDocument/2006/relationships" name="SCB Ticker Sheet1" sheetId="12" state="visible" r:id="rId12"/>
    <sheet xmlns:r="http://schemas.openxmlformats.org/officeDocument/2006/relationships" name="SPX" sheetId="13" state="visible" r:id="rId13"/>
    <sheet xmlns:r="http://schemas.openxmlformats.org/officeDocument/2006/relationships" name="Earning_notes" sheetId="14" state="hidden" r:id="rId14"/>
    <sheet xmlns:r="http://schemas.openxmlformats.org/officeDocument/2006/relationships" name="bands_A" sheetId="15" state="hidden" r:id="rId15"/>
    <sheet xmlns:r="http://schemas.openxmlformats.org/officeDocument/2006/relationships" name="bands_A-H_Avg" sheetId="16" state="hidden" r:id="rId16"/>
    <sheet xmlns:r="http://schemas.openxmlformats.org/officeDocument/2006/relationships" name="vs_BBG" sheetId="17" state="hidden" r:id="rId17"/>
    <sheet xmlns:r="http://schemas.openxmlformats.org/officeDocument/2006/relationships" name="Revisions" sheetId="18" state="hidden" r:id="rId18"/>
    <sheet xmlns:r="http://schemas.openxmlformats.org/officeDocument/2006/relationships" name="Guide" sheetId="19" state="hidden" r:id="rId19"/>
    <sheet xmlns:r="http://schemas.openxmlformats.org/officeDocument/2006/relationships" name="XLinkMeta" sheetId="20" state="veryHidden" r:id="rId20"/>
  </sheets>
  <externalReferences>
    <externalReference xmlns:r="http://schemas.openxmlformats.org/officeDocument/2006/relationships" r:id="rId21"/>
    <externalReference xmlns:r="http://schemas.openxmlformats.org/officeDocument/2006/relationships" r:id="rId22"/>
    <externalReference xmlns:r="http://schemas.openxmlformats.org/officeDocument/2006/relationships" r:id="rId23"/>
    <externalReference xmlns:r="http://schemas.openxmlformats.org/officeDocument/2006/relationships" r:id="rId24"/>
    <externalReference xmlns:r="http://schemas.openxmlformats.org/officeDocument/2006/relationships" r:id="rId25"/>
    <externalReference xmlns:r="http://schemas.openxmlformats.org/officeDocument/2006/relationships" r:id="rId26"/>
    <externalReference xmlns:r="http://schemas.openxmlformats.org/officeDocument/2006/relationships" r:id="rId27"/>
    <externalReference xmlns:r="http://schemas.openxmlformats.org/officeDocument/2006/relationships" r:id="rId28"/>
    <externalReference xmlns:r="http://schemas.openxmlformats.org/officeDocument/2006/relationships" r:id="rId29"/>
    <externalReference xmlns:r="http://schemas.openxmlformats.org/officeDocument/2006/relationships" r:id="rId30"/>
    <externalReference xmlns:r="http://schemas.openxmlformats.org/officeDocument/2006/relationships" r:id="rId31"/>
    <externalReference xmlns:r="http://schemas.openxmlformats.org/officeDocument/2006/relationships" r:id="rId32"/>
    <externalReference xmlns:r="http://schemas.openxmlformats.org/officeDocument/2006/relationships" r:id="rId33"/>
    <externalReference xmlns:r="http://schemas.openxmlformats.org/officeDocument/2006/relationships" r:id="rId34"/>
    <externalReference xmlns:r="http://schemas.openxmlformats.org/officeDocument/2006/relationships" r:id="rId35"/>
    <externalReference xmlns:r="http://schemas.openxmlformats.org/officeDocument/2006/relationships" r:id="rId36"/>
    <externalReference xmlns:r="http://schemas.openxmlformats.org/officeDocument/2006/relationships" r:id="rId37"/>
    <externalReference xmlns:r="http://schemas.openxmlformats.org/officeDocument/2006/relationships" r:id="rId38"/>
    <externalReference xmlns:r="http://schemas.openxmlformats.org/officeDocument/2006/relationships" r:id="rId39"/>
    <externalReference xmlns:r="http://schemas.openxmlformats.org/officeDocument/2006/relationships" r:id="rId40"/>
    <externalReference xmlns:r="http://schemas.openxmlformats.org/officeDocument/2006/relationships" r:id="rId41"/>
    <externalReference xmlns:r="http://schemas.openxmlformats.org/officeDocument/2006/relationships" r:id="rId42"/>
  </externalReferences>
  <definedNames>
    <definedName name="__123Graph_BHISTSALES" hidden="1">[1]A!$A$4:$P$4</definedName>
    <definedName name="__123Graph_LBL_BHISTSALES" hidden="1">[1]A!$A$4:$P$4</definedName>
    <definedName name="__123Graph_XHISTSALES" hidden="1">[1]A!$A$3:$P$3</definedName>
    <definedName name="__APW_RESTORE_DATA1__" hidden="1">[2]Sheet1!#REF!</definedName>
    <definedName name="__APW_RESTORE_DATA126__" hidden="1">[2]Sheet1!#REF!,[2]Sheet1!#REF!,[2]Sheet1!#REF!,[2]Sheet1!#REF!,[2]Sheet1!#REF!,[2]Sheet1!#REF!,[2]Sheet1!#REF!,[2]Sheet1!#REF!,[2]Sheet1!#REF!,[2]Sheet1!#REF!,[2]Sheet1!#REF!,[2]Sheet1!#REF!,[2]Sheet1!#REF!,[2]Sheet1!#REF!,[2]Sheet1!#REF!,[2]Sheet1!#REF!</definedName>
    <definedName name="__APW_RESTORE_DATA127__" hidden="1">[2]Sheet1!#REF!,[2]Sheet1!#REF!,[2]Sheet1!#REF!,[2]Sheet1!#REF!,[2]Sheet1!#REF!,[2]Sheet1!#REF!,[2]Sheet1!#REF!,[2]Sheet1!#REF!,[2]Sheet1!#REF!,[2]Sheet1!#REF!,[2]Sheet1!#REF!,[2]Sheet1!#REF!,[2]Sheet1!#REF!,[2]Sheet1!#REF!,[2]Sheet1!#REF!,[2]Sheet1!#REF!</definedName>
    <definedName name="__APW_RESTORE_DATA128__" hidden="1">[2]Sheet1!#REF!,[2]Sheet1!#REF!,[2]Sheet1!#REF!,[2]Sheet1!#REF!,[2]Sheet1!#REF!,[2]Sheet1!#REF!,[2]Sheet1!#REF!,[2]Sheet1!#REF!,[2]Sheet1!#REF!,[2]Sheet1!#REF!,[2]Sheet1!#REF!,[2]Sheet1!#REF!,[2]Sheet1!#REF!,[2]Sheet1!#REF!,[2]Sheet1!#REF!,[2]Sheet1!#REF!</definedName>
    <definedName name="__APW_RESTORE_DATA129__" hidden="1">[2]Sheet1!#REF!,[2]Sheet1!#REF!,[2]Sheet1!#REF!,[2]Sheet1!#REF!,[2]Sheet1!#REF!,[2]Sheet1!#REF!,[2]Sheet1!#REF!,[2]Sheet1!#REF!,[2]Sheet1!#REF!,[2]Sheet1!#REF!,[2]Sheet1!#REF!,[2]Sheet1!#REF!,[2]Sheet1!#REF!,[2]Sheet1!#REF!,[2]Sheet1!#REF!,[2]Sheet1!#REF!</definedName>
    <definedName name="__APW_RESTORE_DATA130__" hidden="1">[2]Sheet1!#REF!,[2]Sheet1!#REF!,[2]Sheet1!#REF!,[2]Sheet1!#REF!,[2]Sheet1!#REF!,[2]Sheet1!#REF!,[2]Sheet1!#REF!,[2]Sheet1!#REF!,[2]Sheet1!#REF!,[2]Sheet1!#REF!,[2]Sheet1!#REF!,[2]Sheet1!#REF!,[2]Sheet1!#REF!,[2]Sheet1!#REF!,[2]Sheet1!#REF!,[2]Sheet1!#REF!</definedName>
    <definedName name="__APW_RESTORE_DATA131__" hidden="1">[2]Sheet1!#REF!,[2]Sheet1!#REF!,[2]Sheet1!#REF!,[2]Sheet1!#REF!,[2]Sheet1!#REF!,[2]Sheet1!#REF!,[2]Sheet1!#REF!,[2]Sheet1!#REF!,[2]Sheet1!#REF!,[2]Sheet1!#REF!,[2]Sheet1!#REF!,[2]Sheet1!#REF!,[2]Sheet1!#REF!,[2]Sheet1!#REF!,[2]Sheet1!#REF!,[2]Sheet1!#REF!</definedName>
    <definedName name="__APW_RESTORE_DATA132__" hidden="1">[2]Sheet1!#REF!,[2]Sheet1!#REF!,[2]Sheet1!#REF!,[2]Sheet1!#REF!,[2]Sheet1!#REF!,[2]Sheet1!#REF!,[2]Sheet1!#REF!,[2]Sheet1!#REF!,[2]Sheet1!#REF!,[2]Sheet1!#REF!,[2]Sheet1!#REF!,[2]Sheet1!#REF!,[2]Sheet1!#REF!,[2]Sheet1!#REF!,[2]Sheet1!#REF!</definedName>
    <definedName name="__APW_RESTORE_DATA133__" hidden="1">[2]Sheet1!#REF!,[2]Sheet1!#REF!,[2]Sheet1!#REF!,[2]Sheet1!#REF!,[2]Sheet1!#REF!,[2]Sheet1!#REF!,[2]Sheet1!#REF!,[2]Sheet1!#REF!,[2]Sheet1!#REF!,[2]Sheet1!#REF!,[2]Sheet1!#REF!,[2]Sheet1!#REF!,[2]Sheet1!#REF!,[2]Sheet1!#REF!,[2]Sheet1!#REF!</definedName>
    <definedName name="__APW_RESTORE_DATA134__" hidden="1">[2]Sheet1!#REF!,[2]Sheet1!#REF!,[2]Sheet1!#REF!,[2]Sheet1!#REF!,[2]Sheet1!#REF!,[2]Sheet1!#REF!,[2]Sheet1!#REF!,[2]Sheet1!#REF!,[2]Sheet1!#REF!,[2]Sheet1!#REF!,[2]Sheet1!#REF!,[2]Sheet1!#REF!,[2]Sheet1!#REF!,[2]Sheet1!#REF!,[2]Sheet1!#REF!</definedName>
    <definedName name="__APW_RESTORE_DATA135__" hidden="1">[2]Sheet1!#REF!</definedName>
    <definedName name="__APW_RESTORE_DATA136__" hidden="1">[2]Sheet1!#REF!,[2]Sheet1!#REF!,[2]Sheet1!#REF!,[2]Sheet1!#REF!,[2]Sheet1!#REF!,[2]Sheet1!#REF!,[2]Sheet1!#REF!,[2]Sheet1!#REF!,[2]Sheet1!#REF!,[2]Sheet1!#REF!,[2]Sheet1!#REF!,[2]Sheet1!#REF!,[2]Sheet1!#REF!,[2]Sheet1!#REF!,[2]Sheet1!#REF!,[2]Sheet1!#REF!</definedName>
    <definedName name="__APW_RESTORE_DATA137__" hidden="1">[2]Sheet1!#REF!,[2]Sheet1!#REF!,[2]Sheet1!#REF!,[2]Sheet1!#REF!,[2]Sheet1!#REF!,[2]Sheet1!#REF!,[2]Sheet1!#REF!,[2]Sheet1!#REF!,[2]Sheet1!#REF!,[2]Sheet1!#REF!,[2]Sheet1!#REF!,[2]Sheet1!#REF!,[2]Sheet1!#REF!,[2]Sheet1!#REF!,[2]Sheet1!#REF!,[2]Sheet1!#REF!</definedName>
    <definedName name="__APW_RESTORE_DATA138__" hidden="1">[2]Sheet1!#REF!,[2]Sheet1!#REF!,[2]Sheet1!#REF!,[2]Sheet1!#REF!,[2]Sheet1!#REF!,[2]Sheet1!#REF!,[2]Sheet1!#REF!,[2]Sheet1!#REF!,[2]Sheet1!#REF!,[2]Sheet1!#REF!,[2]Sheet1!#REF!,[2]Sheet1!#REF!,[2]Sheet1!#REF!,[2]Sheet1!#REF!,[2]Sheet1!#REF!,[2]Sheet1!#REF!</definedName>
    <definedName name="__APW_RESTORE_DATA139__" hidden="1">[2]Sheet1!#REF!,[2]Sheet1!#REF!,[2]Sheet1!#REF!,[2]Sheet1!#REF!,[2]Sheet1!#REF!,[2]Sheet1!#REF!,[2]Sheet1!#REF!,[2]Sheet1!#REF!,[2]Sheet1!#REF!,[2]Sheet1!#REF!,[2]Sheet1!#REF!,[2]Sheet1!#REF!,[2]Sheet1!#REF!,[2]Sheet1!#REF!,[2]Sheet1!#REF!,[2]Sheet1!#REF!</definedName>
    <definedName name="__APW_RESTORE_DATA140__" hidden="1">[2]Sheet1!#REF!,[2]Sheet1!#REF!,[2]Sheet1!#REF!,[2]Sheet1!#REF!,[2]Sheet1!#REF!,[2]Sheet1!#REF!,[2]Sheet1!#REF!,[2]Sheet1!#REF!,[2]Sheet1!#REF!,[2]Sheet1!#REF!,[2]Sheet1!#REF!,[2]Sheet1!#REF!,[2]Sheet1!#REF!,[2]Sheet1!#REF!,[2]Sheet1!#REF!,[2]Sheet1!#REF!</definedName>
    <definedName name="__APW_RESTORE_DATA141__" hidden="1">[2]Sheet1!#REF!,[2]Sheet1!#REF!,[2]Sheet1!#REF!,[2]Sheet1!#REF!,[2]Sheet1!#REF!,[2]Sheet1!#REF!,[2]Sheet1!#REF!,[2]Sheet1!#REF!,[2]Sheet1!#REF!,[2]Sheet1!#REF!,[2]Sheet1!#REF!,[2]Sheet1!#REF!,[2]Sheet1!#REF!,[2]Sheet1!#REF!,[2]Sheet1!#REF!,[2]Sheet1!#REF!</definedName>
    <definedName name="__APW_RESTORE_DATA142__" hidden="1">[2]Sheet1!#REF!,[2]Sheet1!#REF!,[2]Sheet1!#REF!,[2]Sheet1!#REF!,[2]Sheet1!#REF!,[2]Sheet1!#REF!,[2]Sheet1!#REF!,[2]Sheet1!#REF!,[2]Sheet1!#REF!,[2]Sheet1!#REF!,[2]Sheet1!#REF!,[2]Sheet1!#REF!,[2]Sheet1!#REF!,[2]Sheet1!#REF!,[2]Sheet1!#REF!</definedName>
    <definedName name="__APW_RESTORE_DATA143__" hidden="1">[2]Sheet1!#REF!,[2]Sheet1!#REF!,[2]Sheet1!#REF!,[2]Sheet1!#REF!,[2]Sheet1!#REF!,[2]Sheet1!#REF!,[2]Sheet1!#REF!,[2]Sheet1!#REF!,[2]Sheet1!#REF!,[2]Sheet1!#REF!,[2]Sheet1!#REF!,[2]Sheet1!#REF!,[2]Sheet1!#REF!,[2]Sheet1!#REF!,[2]Sheet1!#REF!</definedName>
    <definedName name="__APW_RESTORE_DATA144__" hidden="1">[2]Sheet1!#REF!,[2]Sheet1!#REF!,[2]Sheet1!#REF!,[2]Sheet1!#REF!,[2]Sheet1!#REF!,[2]Sheet1!#REF!,[2]Sheet1!#REF!,[2]Sheet1!#REF!,[2]Sheet1!#REF!,[2]Sheet1!#REF!,[2]Sheet1!#REF!,[2]Sheet1!#REF!,[2]Sheet1!#REF!,[2]Sheet1!#REF!,[2]Sheet1!#REF!</definedName>
    <definedName name="__APW_RESTORE_DATA145__" hidden="1">[2]Sheet1!#REF!</definedName>
    <definedName name="__APW_RESTORE_DATA2__" hidden="1">[2]Sheet1!#REF!</definedName>
    <definedName name="__FDS_HYPERLINK_TOGGLE_STATE__" hidden="1">"ON"</definedName>
    <definedName name="__FDS_UNIQUE_RANGE_ID_GENERATOR_COUNTER">1</definedName>
    <definedName name="_bdm.36490b912bef4697b11e6aa31a3dc78d.edm" hidden="1">#REF!</definedName>
    <definedName name="_bdm.6c4611c799e7439ca2d37fa8d1e02633.edm" hidden="1">#REF!</definedName>
    <definedName name="_bdm.7af948c1737749ba8c767789e2793a3d.edm" hidden="1">#REF!</definedName>
    <definedName name="_bdm.a095f95abc20418f87caa7a4e46b033a.edm" hidden="1">#REF!</definedName>
    <definedName name="_bdm.a6f4ca0dd0bf4916b572150fe5d640aa.edm" hidden="1">#REF!</definedName>
    <definedName name="_bdm.d68d496c80ac4628a5af8ca636dc5327.edm" hidden="1">#REF!</definedName>
    <definedName name="_bdm.e59dd4eb15b74531abc6f0cb7224a7f8.edm" hidden="1">#REF!</definedName>
    <definedName name="_DLX1.EMG">#REF!</definedName>
    <definedName name="_DLX15.EMG">#REF!</definedName>
    <definedName name="_DLX16.EMG">#REF!</definedName>
    <definedName name="_DLX17.EMG">#REF!</definedName>
    <definedName name="_DLX18.EMG">#REF!</definedName>
    <definedName name="_DLX2.EMG">#REF!</definedName>
    <definedName name="_DLX3.EMG">[3]IFA!#REF!</definedName>
    <definedName name="_Key1" hidden="1">[4]JANUARY!#REF!</definedName>
    <definedName name="_Order1" hidden="1">255</definedName>
    <definedName name="_Order2" hidden="1">255</definedName>
    <definedName name="_Sort" hidden="1">[5]A!$A$6:$K$72</definedName>
    <definedName name="\I">#REF!</definedName>
    <definedName name="\P">#REF!</definedName>
    <definedName name="A">#REF!</definedName>
    <definedName name="aa">'[6]Oil Consumption – barrels'!#REF!</definedName>
    <definedName name="AA_1">'[7]ASP '!#REF!</definedName>
    <definedName name="alcatel">[8]Chinese!$A$342:$A$454</definedName>
    <definedName name="anscount" hidden="1">1</definedName>
    <definedName name="apple">[8]Others!$A$230:$A$339</definedName>
    <definedName name="as">#REF!</definedName>
    <definedName name="AS2DocOpenMode" hidden="1">"AS2DocumentEdit"</definedName>
    <definedName name="AS2NamedRange" hidden="1">3</definedName>
    <definedName name="ASd">#REF!</definedName>
    <definedName name="asdf">#REF!</definedName>
    <definedName name="asdfasdf">#REF!</definedName>
    <definedName name="asssssg">#REF!</definedName>
    <definedName name="australia">#REF!</definedName>
    <definedName name="B">#REF!</definedName>
    <definedName name="BeginDate">'[9]#REF'!$A$3</definedName>
    <definedName name="benq">[8]Others!$A$118:$A$229</definedName>
    <definedName name="bird">[8]Japanese!$AI$513</definedName>
    <definedName name="BLPH1" hidden="1">'[10]Auto Sales BBG'!$A$15</definedName>
    <definedName name="BLPH2" hidden="1">'[11]Auto Sales BBG'!#REF!</definedName>
    <definedName name="BLPH3" hidden="1">'[11]Auto Sales BBG'!#REF!</definedName>
    <definedName name="BLPH4" hidden="1">'[11]Auto Sales BBG'!#REF!</definedName>
    <definedName name="BLPH5" hidden="1">'[11]Auto Sales BBG'!#REF!</definedName>
    <definedName name="bos">#REF!</definedName>
    <definedName name="Case">[12]DCF!$B$60</definedName>
    <definedName name="Ccy">#REF!</definedName>
    <definedName name="chargeoff" hidden="1">{"FTSE100","COMPANIES",TRUE}</definedName>
    <definedName name="ChartCell">#REF!</definedName>
    <definedName name="ChartSpot">[13]OnePager!$O$28</definedName>
    <definedName name="china">#REF!</definedName>
    <definedName name="Choices_Wrapper">#N/A</definedName>
    <definedName name="CIQWBGuid" hidden="1">"c1321fae-0abf-41ad-bc7d-511af21d9279"</definedName>
    <definedName name="compa">[14]PROVP!#REF!</definedName>
    <definedName name="Comparaison">[14]PROVP!$A:$A</definedName>
    <definedName name="Conv">#REF!</definedName>
    <definedName name="COst">'[6]Oil Consumption – barrels'!#REF!</definedName>
    <definedName name="_xlnm.Criteria">'[15]Feb 2001'!#REF!</definedName>
    <definedName name="Currency">'[16]PV Graph Data'!$E$3</definedName>
    <definedName name="DataPVChart">#REF!</definedName>
    <definedName name="DataSPChart">#REF!,#REF!</definedName>
    <definedName name="date">#REF!</definedName>
    <definedName name="Dates">#REF!</definedName>
    <definedName name="dep_delay">'[17]Qtrly_Fin&amp;Est'!$C$518</definedName>
    <definedName name="dep_qtr">'[17]Qtrly_Fin&amp;Est'!$C$517</definedName>
    <definedName name="dsaf" hidden="1">{"one",#N/A,FALSE,"cf";"two",#N/A,FALSE,"cf"}</definedName>
    <definedName name="ef" hidden="1">{#N/A,#N/A,FALSE,"Aging Summary";#N/A,#N/A,FALSE,"Ratio Analysis";#N/A,#N/A,FALSE,"Test 120 Day Accts";#N/A,#N/A,FALSE,"Tickmarks"}</definedName>
    <definedName name="EndDate">'[9]#REF'!$B$3</definedName>
    <definedName name="erg">#REF!</definedName>
    <definedName name="esnrc100c1_values" hidden="1">{"FTSE100","COMPANIES",TRUE}</definedName>
    <definedName name="esnrc33c1_values" hidden="1">{"EUMOT","COMPANIES",TRUE}</definedName>
    <definedName name="esnrc56c1_values" hidden="1">{"ASCONGRP","COMPANIES",TRUE}</definedName>
    <definedName name="esnrc63c1_values" hidden="1">{"EUUTIGRP","COMPANIES",TRUE}</definedName>
    <definedName name="esnrc91c1_values" hidden="1">{"EUUTI","COMPANIES",TRUE}</definedName>
    <definedName name="EUR">#REF!</definedName>
    <definedName name="EUR匯率">#REF!</definedName>
    <definedName name="Excel_BuiltIn_Print_Area_19">'[8]Global Sh by Tech Wksht'!#REF!</definedName>
    <definedName name="fdasdfas">'[6]Oil Consumption – barrels'!#REF!</definedName>
    <definedName name="Fil">#REF!</definedName>
    <definedName name="FOURFIVE">#REF!</definedName>
    <definedName name="FOURFOUR">#REF!</definedName>
    <definedName name="FOURSIX">#REF!</definedName>
    <definedName name="Frequency">'[9]#REF'!$C$3</definedName>
    <definedName name="FULLFIVE">#REF!</definedName>
    <definedName name="FULLFOUR">#REF!</definedName>
    <definedName name="FULLSIX">#REF!</definedName>
    <definedName name="G">#REF!</definedName>
    <definedName name="GBP">#REF!</definedName>
    <definedName name="GBP匯率">#REF!</definedName>
    <definedName name="hk">#REF!</definedName>
    <definedName name="HKD">#REF!</definedName>
    <definedName name="HKD匯率">#REF!</definedName>
    <definedName name="HTML_CodePage" hidden="1">1252</definedName>
    <definedName name="HTML_Control" hidden="1">{"'2.1'!$E$2:$O$37"}</definedName>
    <definedName name="HTML_Description" hidden="1">""</definedName>
    <definedName name="HTML_Email" hidden="1">""</definedName>
    <definedName name="HTML_Header" hidden="1">""</definedName>
    <definedName name="HTML_LastUpdate" hidden="1">""</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"G:\framemaker\PubHTML\worldcellular99\charts\2_1.htm"</definedName>
    <definedName name="HTML_Title" hidden="1">"Chapter 2"</definedName>
    <definedName name="Huawei">#REF!</definedName>
    <definedName name="Impres_titres_MI">[14]PROVP!$A:$A</definedName>
    <definedName name="IndexedData">#REF!</definedName>
    <definedName name="India">#REF!</definedName>
    <definedName name="indonesia">#REF!</definedName>
    <definedName name="INIT">#REF!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QUIRED_BY_REPORTING_BANK_FDIC" hidden="1">"c6535"</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MENDED_BALANCE_PREVIOUS_YR_FDIC" hidden="1">"c6499"</definedName>
    <definedName name="IQ_AMORT_EXPENSE_FDIC" hidden="1">"c6677"</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PRICE_TARGET" hidden="1">"c82"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OARD_MEMBER_FAX" hidden="1">"c2100"</definedName>
    <definedName name="IQ_BOARD_MEMBER_OFFICE" hidden="1">"c2098"</definedName>
    <definedName name="IQ_BOARD_MEMBER_PHONE" hidden="1">"c2099"</definedName>
    <definedName name="IQ_BONDRATING_FITCH" hidden="1">"c223"</definedName>
    <definedName name="IQ_BONDRATING_FITCH_DATE" hidden="1">"c241"</definedName>
    <definedName name="IQ_BONDRATING_SP" hidden="1">"c224"</definedName>
    <definedName name="IQ_BONDRATING_SP_DATE" hidden="1">"c242"</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V_ACT_OR_EST_REUT" hidden="1">"c5471"</definedName>
    <definedName name="IQ_BV_ACT_OR_EST_THOM" hidden="1">"c5308"</definedName>
    <definedName name="IQ_BV_EST_REUT" hidden="1">"c5403"</definedName>
    <definedName name="IQ_BV_EST_THOM" hidden="1">"c5147"</definedName>
    <definedName name="IQ_BV_HIGH_EST_REUT" hidden="1">"c5405"</definedName>
    <definedName name="IQ_BV_HIGH_EST_THOM" hidden="1">"c5149"</definedName>
    <definedName name="IQ_BV_LOW_EST_REUT" hidden="1">"c5406"</definedName>
    <definedName name="IQ_BV_LOW_EST_THOM" hidden="1">"c5150"</definedName>
    <definedName name="IQ_BV_MEDIAN_EST_REUT" hidden="1">"c5404"</definedName>
    <definedName name="IQ_BV_MEDIAN_EST_THOM" hidden="1">"c5148"</definedName>
    <definedName name="IQ_BV_NUM_EST_REUT" hidden="1">"c5407"</definedName>
    <definedName name="IQ_BV_NUM_EST_THOM" hidden="1">"c5151"</definedName>
    <definedName name="IQ_BV_STDDEV_EST_REUT" hidden="1">"c5408"</definedName>
    <definedName name="IQ_BV_STDDEV_EST_THOM" hidden="1">"c5152"</definedName>
    <definedName name="IQ_CAPEX_BR" hidden="1">"c111"</definedName>
    <definedName name="IQ_CASH_DIVIDENDS_NET_INCOME_FDIC" hidden="1">"c6738"</definedName>
    <definedName name="IQ_CASH_IN_PROCESS_FDIC" hidden="1">"c6386"</definedName>
    <definedName name="IQ_CASH_OPER_ACT_OR_EST" hidden="1">"c4164"</definedName>
    <definedName name="IQ_CCE_FDIC" hidden="1">"c6296"</definedName>
    <definedName name="IQ_CH" hidden="1">110000</definedName>
    <definedName name="IQ_CHANGE_AP_BR" hidden="1">"c135"</definedName>
    <definedName name="IQ_CHANGE_AR_BR" hidden="1">"c142"</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OTHER_NET_OPER_ASSETS_BR" hidden="1">"c3595"</definedName>
    <definedName name="IQ_CHANGE_OTHER_WORK_CAP_BR" hidden="1">"c154"</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TRACTS_OTHER_COMMODITIES_EQUITIES._FDIC" hidden="1">"c6522"</definedName>
    <definedName name="IQ_CONV_RATE" hidden="1">"c2192"</definedName>
    <definedName name="IQ_CONVERT_DEBT" hidden="1">"c224"</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OF_FUNDING_ASSETS_FDIC" hidden="1">"c6725"</definedName>
    <definedName name="IQ_CQ" hidden="1">5000</definedName>
    <definedName name="IQ_CREDIT_CARD_CHARGE_OFFS_FDIC" hidden="1">"c6652"</definedName>
    <definedName name="IQ_CREDIT_CARD_FEE" hidden="1">"c231"</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ENCY_COIN_DOMESTIC_FDIC" hidden="1">"c6388"</definedName>
    <definedName name="IQ_CURRENCY_GAIN_BR" hidden="1">"c236"</definedName>
    <definedName name="IQ_CURRENT_PORT_DEBT_BR" hidden="1">"c1567"</definedName>
    <definedName name="IQ_CY" hidden="1">10000</definedName>
    <definedName name="IQ_DA_BR" hidden="1">"c248"</definedName>
    <definedName name="IQ_DA_CF_BR" hidden="1">"c251"</definedName>
    <definedName name="IQ_DA_SUPPL_BR" hidden="1">"c260"</definedName>
    <definedName name="IQ_DA_SUPPL_CF_BR" hidden="1">"c263"</definedName>
    <definedName name="IQ_DAILY" hidden="1">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RIVATIVES_FDIC" hidden="1">"c6523"</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EARNING_ASSETS_FDIC" hidden="1">"c6360"</definedName>
    <definedName name="IQ_EARNING_ASSETS_YIELD_FDIC" hidden="1">"c6724"</definedName>
    <definedName name="IQ_EARNINGS_COVERAGE_NET_CHARGE_OFFS_FDIC" hidden="1">"c6735"</definedName>
    <definedName name="IQ_EBIT_10K" hidden="1">"IQ_EBIT_10K"</definedName>
    <definedName name="IQ_EBIT_10Q" hidden="1">"IQ_EBIT_10Q"</definedName>
    <definedName name="IQ_EBIT_10Q1" hidden="1">"IQ_EBIT_10Q1"</definedName>
    <definedName name="IQ_EBIT_GROWTH_1" hidden="1">"c157"</definedName>
    <definedName name="IQ_EBIT_GROWTH_2" hidden="1">"c161"</definedName>
    <definedName name="IQ_EBITDA_10K" hidden="1">"IQ_EBITDA_10K"</definedName>
    <definedName name="IQ_EBITDA_10Q" hidden="1">"IQ_EBITDA_10Q"</definedName>
    <definedName name="IQ_EBITDA_10Q1" hidden="1">"IQ_EBITDA_10Q1"</definedName>
    <definedName name="IQ_EBITDA_GROWTH_1" hidden="1">"c156"</definedName>
    <definedName name="IQ_EBITDA_GROWTH_2" hidden="1">"c160"</definedName>
    <definedName name="IQ_EBITDA_NO_EST" hidden="1">"c267"</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5_UNUSED_UNUSED_UNUSED"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39_UNUSED_UNUSED_UNUSED"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6_UNUSED_UNUSED_UNUSED" hidden="1">"c6896"</definedName>
    <definedName name="IQ_ECO_METRIC_6897" hidden="1">"c6897"</definedName>
    <definedName name="IQ_ECO_METRIC_6897_UNUSED_UNUSED_UNUSED"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8_UNUSED_UNUSED_UNUSED"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5_UNUSED_UNUSED_UNUSED"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59_UNUSED_UNUSED_UNUSED"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6_UNUSED_UNUSED_UNUSED" hidden="1">"c7116"</definedName>
    <definedName name="IQ_ECO_METRIC_7117" hidden="1">"c7117"</definedName>
    <definedName name="IQ_ECO_METRIC_7117_UNUSED_UNUSED_UNUSED"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8_UNUSED_UNUSED_UNUSED"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5_UNUSED_UNUSED_UNUSED"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79_UNUSED_UNUSED_UNUSED"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6_UNUSED_UNUSED_UNUSED" hidden="1">"c7336"</definedName>
    <definedName name="IQ_ECO_METRIC_7337" hidden="1">"c7337"</definedName>
    <definedName name="IQ_ECO_METRIC_7337_UNUSED_UNUSED_UNUSED"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8_UNUSED_UNUSED_UNUSED"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6_UNUSED_UNUSED_UNUSED" hidden="1">"c7556"</definedName>
    <definedName name="IQ_ECO_METRIC_7557" hidden="1">"c7557"</definedName>
    <definedName name="IQ_ECO_METRIC_7557_UNUSED_UNUSED_UNUSED"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8_UNUSED_UNUSED_UNUSED"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5_UNUSED_UNUSED_UNUSED"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19_UNUSED_UNUSED_UNUSED"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6_UNUSED_UNUSED_UNUSED" hidden="1">"c7776"</definedName>
    <definedName name="IQ_ECO_METRIC_7777" hidden="1">"c7777"</definedName>
    <definedName name="IQ_ECO_METRIC_7777_UNUSED_UNUSED_UNUSED"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8_UNUSED_UNUSED_UNUSED"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5_UNUSED_UNUSED_UNUSED"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39_UNUSED_UNUSED_UNUSED"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6_UNUSED_UNUSED_UNUSED" hidden="1">"c7996"</definedName>
    <definedName name="IQ_ECO_METRIC_7997" hidden="1">"c7997"</definedName>
    <definedName name="IQ_ECO_METRIC_7997_UNUSED_UNUSED_UNUSED"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8_UNUSED_UNUSED_UNUSED"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5_UNUSED_UNUSED_UNUSED"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59_UNUSED_UNUSED_UNUSED"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6_UNUSED_UNUSED_UNUSED" hidden="1">"c8216"</definedName>
    <definedName name="IQ_ECO_METRIC_8217" hidden="1">"c8217"</definedName>
    <definedName name="IQ_ECO_METRIC_8217_UNUSED_UNUSED_UNUSED"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8_UNUSED_UNUSED_UNUSED"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6_UNUSED_UNUSED_UNUSED" hidden="1">"c8436"</definedName>
    <definedName name="IQ_ECO_METRIC_8437" hidden="1">"c8437"</definedName>
    <definedName name="IQ_ECO_METRIC_8437_UNUSED_UNUSED_UNUSED"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8_UNUSED_UNUSED_UNUSED"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PS" hidden="1">"IQ_EPS"</definedName>
    <definedName name="IQ_EPS_10K" hidden="1">"IQ_EPS_10K"</definedName>
    <definedName name="IQ_EPS_10Q" hidden="1">"IQ_EPS_10Q"</definedName>
    <definedName name="IQ_EPS_10Q1" hidden="1">"IQ_EPS_10Q1"</definedName>
    <definedName name="IQ_EPS_NO_EST" hidden="1">"c271"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ST_ACT_BV_REUT" hidden="1">"c5409"</definedName>
    <definedName name="IQ_EST_ACT_BV_THOM" hidden="1">"c5153"</definedName>
    <definedName name="IQ_EST_BV_DIFF_REUT" hidden="1">"c5433"</definedName>
    <definedName name="IQ_EST_BV_DIFF_THOM" hidden="1">"c5204"</definedName>
    <definedName name="IQ_EST_BV_SURPRISE_PERCENT_REUT" hidden="1">"c5434"</definedName>
    <definedName name="IQ_EST_BV_SURPRISE_PERCENT_THOM" hidden="1">"c5205"</definedName>
    <definedName name="IQ_EST_EPS_SURPRISE" hidden="1">"c1635"</definedName>
    <definedName name="IQ_EST_NUM_BUY_CIQ" hidden="1">"c3700"</definedName>
    <definedName name="IQ_EST_NUM_BUY_REUT" hidden="1">"c3869"</definedName>
    <definedName name="IQ_EST_NUM_BUY_THOM" hidden="1">"c5165"</definedName>
    <definedName name="IQ_EST_NUM_HOLD_CIQ" hidden="1">"c3702"</definedName>
    <definedName name="IQ_EST_NUM_HOLD_REUT" hidden="1">"c3871"</definedName>
    <definedName name="IQ_EST_NUM_HOLD_THOM" hidden="1">"c5167"</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IMATED_ASSESSABLE_DEPOSITS_FDIC" hidden="1">"c6490"</definedName>
    <definedName name="IQ_ESTIMATED_INSURED_DEPOSITS_FDIC" hidden="1">"c6491"</definedName>
    <definedName name="IQ_EV_OVER_REVENUE_EST" hidden="1">"c165"</definedName>
    <definedName name="IQ_EV_OVER_REVENUE_EST_1" hidden="1">"c166"</definedName>
    <definedName name="IQ_EXPENSE_CODE_">"C132814"</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_BR" hidden="1">"c412"</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NO_EST" hidden="1">"c276"</definedName>
    <definedName name="IQ_FH" hidden="1">100000</definedName>
    <definedName name="IQ_FHLB_ADVANCES_FDIC" hidden="1">"c6366"</definedName>
    <definedName name="IQ_FHLB_DUE_AFTER_FIVE" hidden="1">"c2086"</definedName>
    <definedName name="IQ_FIDUCIARY_ACTIVITIES_FDIC" hidden="1">"c6571"</definedName>
    <definedName name="IQ_FIFETEEN_YEAR_FIXED_AND_FLOATING_RATE_FDIC" hidden="1">"c6423"</definedName>
    <definedName name="IQ_FIFETEEN_YEAR_MORTGAGE_PASS_THROUGHS_FDIC" hidden="1">"c6415"</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VE_YEAR_FIXED_AND_FLOATING_RATE_FDIC" hidden="1">"c6422"</definedName>
    <definedName name="IQ_FIVE_YEAR_MORTGAGE_PASS_THROUGHS_FDIC" hidden="1">"c6414"</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 hidden="1">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_CONTRACTS_FDIC" hidden="1">"c6517"</definedName>
    <definedName name="IQ_FX_CONTRACTS_SPOT_FDIC" hidden="1">"c6356"</definedName>
    <definedName name="IQ_FY" hidden="1">1000</definedName>
    <definedName name="IQ_FY_DATE" hidden="1">"IQ_FY_DATE"</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C_BNK" hidden="1">"c488"</definedName>
    <definedName name="IQ_GAIN_INVEST_REV_BR" hidden="1">"c496"</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ROSS_GW" hidden="1">"c519"</definedName>
    <definedName name="IQ_GROSS_INTAN" hidden="1">"c520"</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CASINO" hidden="1">"c8721"</definedName>
    <definedName name="IQ_HG_REV_OTHER_HOTEL_MOTEL" hidden="1">"c8731"</definedName>
    <definedName name="IQ_HG_REV_TOTAL_CASINO_GAMING" hidden="1">"c8723"</definedName>
    <definedName name="IQ_HG_REV_TOTAL_HOTEL_MOTEL" hidden="1">"c8732"</definedName>
    <definedName name="IQ_HOME_EQUITY_LOC_NET_CHARGE_OFFS_FDIC" hidden="1">"c6644"</definedName>
    <definedName name="IQ_HOME_EQUITY_LOC_TOTAL_CHARGE_OFFS_FDIC" hidden="1">"c6606"</definedName>
    <definedName name="IQ_HOME_EQUITY_LOC_TOTAL_RECOVERIES_FDIC" hidden="1">"c6625"</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3MTH_BOUGHT" hidden="1">"c1534"</definedName>
    <definedName name="IQ_INSIDER_3MTH_NET" hidden="1">"c1535"</definedName>
    <definedName name="IQ_INSIDER_3MTH_SOLD" hidden="1">"c1533"</definedName>
    <definedName name="IQ_INSIDER_6MTH_BOUGHT" hidden="1">"c1537"</definedName>
    <definedName name="IQ_INSIDER_6MTH_NET" hidden="1">"c1538"</definedName>
    <definedName name="IQ_INSIDER_6MTH_SOLD" hidden="1">"c1536"</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INC_10K" hidden="1">"IQ_INTEREST_INC_10K"</definedName>
    <definedName name="IQ_INTEREST_INC_10Q" hidden="1">"IQ_INTEREST_INC_10Q"</definedName>
    <definedName name="IQ_INTEREST_INC_10Q1" hidden="1">"IQ_INTEREST_INC_10Q1"</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UED_GUARANTEED_US_FDIC" hidden="1">"c6404"</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SS_ALLOWANCE_LOANS_FDIC" hidden="1">"c6739"</definedName>
    <definedName name="IQ_LT_DEBT_BR" hidden="1">"c676"</definedName>
    <definedName name="IQ_LT_DEBT_ISSUED_BR" hidden="1">"c683"</definedName>
    <definedName name="IQ_LT_DEBT_REPAID_BR" hidden="1">"c691"</definedName>
    <definedName name="IQ_LT_INVEST_BR" hidden="1">"c698"</definedName>
    <definedName name="IQ_LT_SENIOR_DEBT" hidden="1">"c702"</definedName>
    <definedName name="IQ_LT_SUB_DEBT" hidden="1">"c703"</definedName>
    <definedName name="IQ_LTM" hidden="1">2000</definedName>
    <definedName name="IQ_LTM_DATE" hidden="1">"IQ_LTM_DATE"</definedName>
    <definedName name="IQ_LTMMONTH" hidden="1">120000</definedName>
    <definedName name="IQ_MAINT_CAPEX_ACT_OR_EST" hidden="1">"c4458"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RGER_BR" hidden="1">"c715"</definedName>
    <definedName name="IQ_MERGER_RESTRUCTURE_BR" hidden="1">"c721"</definedName>
    <definedName name="IQ_MINORITY_INTEREST_BR" hidden="1">"c729"</definedName>
    <definedName name="IQ_MONEY_MARKET_DEPOSIT_ACCOUNTS_FDIC" hidden="1">"c6553"</definedName>
    <definedName name="IQ_MONTH" hidden="1">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42549.2980902778</definedName>
    <definedName name="IQ_NAV_ACT_OR_EST" hidden="1">"c2225"</definedName>
    <definedName name="IQ_NET_CHARGE_OFFS_FDIC" hidden="1">"c6641"</definedName>
    <definedName name="IQ_NET_CHARGE_OFFS_LOANS_FDIC" hidden="1">"c6751"</definedName>
    <definedName name="IQ_NET_DEBT_ISSUED_BR" hidden="1">"c753"</definedName>
    <definedName name="IQ_NET_INC_10K" hidden="1">"IQ_NET_INC_10K"</definedName>
    <definedName name="IQ_NET_INC_10Q" hidden="1">"IQ_NET_INC_10Q"</definedName>
    <definedName name="IQ_NET_INC_10Q1" hidden="1">"IQ_NET_INC_10Q1"</definedName>
    <definedName name="IQ_NET_INC_GROWTH_1" hidden="1">"c158"</definedName>
    <definedName name="IQ_NET_INC_GROWTH_2" hidden="1">"c162"</definedName>
    <definedName name="IQ_NET_INCOME_FDIC" hidden="1">"c6587"</definedName>
    <definedName name="IQ_NET_INT_INC_BNK_FDIC" hidden="1">"c6570"</definedName>
    <definedName name="IQ_NET_INT_INC_BR" hidden="1">"c765"</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ON_INT_EXP_FDIC" hidden="1">"c6579"</definedName>
    <definedName name="IQ_NON_INT_INC_FDIC" hidden="1">"c6575"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 hidden="1">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DAILY_PRDUCTION_GROWTH_GAS" hidden="1">"c10073"</definedName>
    <definedName name="IQ_OG_DAILY_PRDUCTION_GROWTH_GAS_EQUIVALENT" hidden="1">"c10076"</definedName>
    <definedName name="IQ_OG_DAILY_PRDUCTION_GROWTH_NGL" hidden="1">"c10074"</definedName>
    <definedName name="IQ_OG_DAILY_PRDUCTION_GROWTH_OIL" hidden="1">"c10072"</definedName>
    <definedName name="IQ_OG_DAILY_PRDUCTION_GROWTH_OIL_EQUIVALENT" hidden="1">"c10075"</definedName>
    <definedName name="IQ_OG_OTHER_ADJ" hidden="1">"c1999"</definedName>
    <definedName name="IQ_OG_PRDUCTION_GROWTH_GAS" hidden="1">"c10067"</definedName>
    <definedName name="IQ_OG_PRDUCTION_GROWTH_GAS_EQUIVALENT" hidden="1">"c10070"</definedName>
    <definedName name="IQ_OG_PRDUCTION_GROWTH_NGL" hidden="1">"c10068"</definedName>
    <definedName name="IQ_OG_PRDUCTION_GROWTH_OIL" hidden="1">"c10066"</definedName>
    <definedName name="IQ_OG_PRDUCTION_GROWTH_OIL_EQUIVALENT" hidden="1">"c10069"</definedName>
    <definedName name="IQ_OG_PRDUCTION_GROWTH_TOAL" hidden="1">"c10071"</definedName>
    <definedName name="IQ_OG_TOTAL_OIL_PRODUCTON" hidden="1">"c2059"</definedName>
    <definedName name="IQ_OPENED55" hidden="1">1</definedName>
    <definedName name="IQ_OPER_INC_BR" hidden="1">"c850"</definedName>
    <definedName name="IQ_OPTIONS_EXCERCISED" hidden="1">"c2116"</definedName>
    <definedName name="IQ_OPTIONS_OS" hidden="1">"c858"</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T_ASSETS_BR" hidden="1">"c948"</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C_WRITTEN" hidden="1">"c1027"</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ERCENT_INSURED_FDIC" hidden="1">"c6374"</definedName>
    <definedName name="IQ_PHARMBIO_NUMBER_PROD__APPROVED_DURING_PERIOD" hidden="1">"c10027"</definedName>
    <definedName name="IQ_PHARMBIO_NUMBER_PROD__CLINICAL_DEV" hidden="1">"c10022"</definedName>
    <definedName name="IQ_PHARMBIO_NUMBER_PROD__LAUNCHED_DURING_PERIOD" hidden="1">"c10028"</definedName>
    <definedName name="IQ_PHARMBIO_NUMBER_PROD__PHASE_I" hidden="1">"c10023"</definedName>
    <definedName name="IQ_PHARMBIO_NUMBER_PROD__PHASE_II" hidden="1">"c10024"</definedName>
    <definedName name="IQ_PHARMBIO_NUMBER_PROD__PHASE_III" hidden="1">"c10025"</definedName>
    <definedName name="IQ_PHARMBIO_NUMBER_PROD__PRE_CLINICAL_TRIALS" hidden="1">"c10021"</definedName>
    <definedName name="IQ_PHARMBIO_NUMBER_PROD__PRE_REGISTRATION" hidden="1">"c10026"</definedName>
    <definedName name="IQ_PHARMBIO_NUMBER_PROD__RESEARCH_DEV" hidden="1">"c10020"</definedName>
    <definedName name="IQ_PLEDGED_SECURITIES_FDIC" hidden="1">"c6401"</definedName>
    <definedName name="IQ_PRE_TAX_INCOME_FDIC" hidden="1">"c6581"</definedName>
    <definedName name="IQ_PREF_ISSUED_BR" hidden="1">"c1047"</definedName>
    <definedName name="IQ_PREF_OTHER_BR" hidden="1">"c1055"</definedName>
    <definedName name="IQ_PREF_REP_BR" hidden="1">"c1062"</definedName>
    <definedName name="IQ_PREFERRED_FDIC" hidden="1">"c6349"</definedName>
    <definedName name="IQ_PREMISES_EQUIPMENT_FDIC" hidden="1">"c6577"</definedName>
    <definedName name="IQ_PRETAX_INC_10K" hidden="1">"IQ_PRETAX_INC_10K"</definedName>
    <definedName name="IQ_PRETAX_INC_10Q" hidden="1">"IQ_PRETAX_INC_10Q"</definedName>
    <definedName name="IQ_PRETAX_INC_10Q1" hidden="1">"IQ_PRETAX_INC_10Q1"</definedName>
    <definedName name="IQ_PRETAX_RETURN_ASSETS_FDIC" hidden="1">"c6731"</definedName>
    <definedName name="IQ_PRICE_OVER_EPS_EST" hidden="1">"c174"</definedName>
    <definedName name="IQ_PRICE_OVER_EPS_EST_1" hidden="1">"c175"</definedName>
    <definedName name="IQ_PRICEDATETIME" hidden="1">"IQ_PRICEDATETIME"</definedName>
    <definedName name="IQ_PRIMARY_EPS_TYPE_THOM" hidden="1">"c5297"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LATED_PLANS_FDIC" hidden="1">"c6320"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INGS_AVERAGE_EQUITY_FDIC" hidden="1">"c6733"</definedName>
    <definedName name="IQ_RETURN_ASSETS_BROK" hidden="1">"c1115"</definedName>
    <definedName name="IQ_RETURN_ASSETS_FDIC" hidden="1">"c6730"</definedName>
    <definedName name="IQ_RETURN_EQUITY_BROK" hidden="1">"c1120"</definedName>
    <definedName name="IQ_RETURN_EQUITY_FDIC" hidden="1">"c6732"</definedName>
    <definedName name="IQ_REVALUATION_GAINS_FDIC" hidden="1">"c6428"</definedName>
    <definedName name="IQ_REVALUATION_LOSSES_FDIC" hidden="1">"c6429"</definedName>
    <definedName name="IQ_REVENUE_10K" hidden="1">"IQ_REVENUE_10K"</definedName>
    <definedName name="IQ_REVENUE_10Q" hidden="1">"IQ_REVENUE_10Q"</definedName>
    <definedName name="IQ_REVENUE_10Q1" hidden="1">"IQ_REVENUE_10Q1"</definedName>
    <definedName name="IQ_REVENUE_GROWTH_1" hidden="1">"c155"</definedName>
    <definedName name="IQ_REVENUE_GROWTH_2" hidden="1">"c159"</definedName>
    <definedName name="IQ_REVENUE_NO_EST" hidden="1">"c263"</definedName>
    <definedName name="IQ_REVOLVING_SECURED_1_4_NON_ACCRUAL_FFIEC" hidden="1">"c13314"</definedName>
    <definedName name="IQ_RISK_WEIGHTED_ASSETS_FDIC" hidden="1">"c6370"</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HARGE_OFFS_FDIC" hidden="1">"c6603"</definedName>
    <definedName name="IQ_TOTAL_DEBT_DUE" hidden="1">"c2509"</definedName>
    <definedName name="IQ_TOTAL_DEBT_ISSUED_BR" hidden="1">"c1253"</definedName>
    <definedName name="IQ_TOTAL_DEBT_REPAID_BR" hidden="1">"c1260"</definedName>
    <definedName name="IQ_TOTAL_DEBT_SECURITIES_FDIC" hidden="1">"c6410"</definedName>
    <definedName name="IQ_TOTAL_DEPOSITS_FDIC" hidden="1">"c6342"</definedName>
    <definedName name="IQ_TOTAL_EMPLOYEES_FDIC" hidden="1">"c6355"</definedName>
    <definedName name="IQ_TOTAL_LIAB_BR" hidden="1">"c1278"</definedName>
    <definedName name="IQ_TOTAL_LIAB_EQUITY_FDIC" hidden="1">"c6354"</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ISK_BASED_CAPITAL_RATIO_FDIC" hidden="1">"c6747"</definedName>
    <definedName name="IQ_TOTAL_SECURITIES_FDIC" hidden="1">"c6306"</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 hidden="1">50000</definedName>
    <definedName name="IQ_WRITTEN_OPTION_CONTRACTS_FDIC" hidden="1">"c6509"</definedName>
    <definedName name="IQ_WRITTEN_OPTION_CONTRACTS_FX_RISK_FDIC" hidden="1">"c6514"</definedName>
    <definedName name="IQ_WRITTEN_OPTION_CONTRACTS_NON_FX_IR_FDIC" hidden="1">"c6519"</definedName>
    <definedName name="IQ_YTD" hidden="1">3000</definedName>
    <definedName name="IQ_YTDMONTH" hidden="1">130000</definedName>
    <definedName name="IQB_BOOKMARK_COUNT" hidden="1">2</definedName>
    <definedName name="IQRA1" hidden="1">"$A$2"</definedName>
    <definedName name="IQRA2" hidden="1">"$A$3"</definedName>
    <definedName name="IQRA4" hidden="1">"$A$5:$A$1246"</definedName>
    <definedName name="IQRA5" hidden="1">"$A$6:$A$43"</definedName>
    <definedName name="IQRA6" hidden="1">"$A$7:$A$44"</definedName>
    <definedName name="IQRA7" hidden="1">"$A$8:$A$37"</definedName>
    <definedName name="IQRA8" hidden="1">"$A$9:$A$260"</definedName>
    <definedName name="IQRAF17" hidden="1">"$AF$18:$AF$265"</definedName>
    <definedName name="IQRAG14" hidden="1">"$AG$15:$AG$262"</definedName>
    <definedName name="IQRAG17" hidden="1">"$AG$18:$AG$265"</definedName>
    <definedName name="IQRAG21" hidden="1">"$AG$22:$AG$269"</definedName>
    <definedName name="IQRAG25" hidden="1">"$AG$26:$AG$273"</definedName>
    <definedName name="IQRAG26" hidden="1">"$AG$27:$AG$274"</definedName>
    <definedName name="IQRAG27" hidden="1">"$AG$28:$AG$275"</definedName>
    <definedName name="IQRAG28" hidden="1">"$AG$29:$AG$276"</definedName>
    <definedName name="IQRAG29" hidden="1">"$AG$30:$AG$277"</definedName>
    <definedName name="IQRAG33" hidden="1">"$AG$34:$AG$281"</definedName>
    <definedName name="IQRAG35" hidden="1">"$AG$36:$AG$283"</definedName>
    <definedName name="IQRAG37" hidden="1">"$AG$38:$AG$285"</definedName>
    <definedName name="IQRAH35" hidden="1">"$AH$36:$AH$283"</definedName>
    <definedName name="IQRAI15" hidden="1">"$AI$16"</definedName>
    <definedName name="IQRAN15" hidden="1">"$AN$16"</definedName>
    <definedName name="IQRAN35" hidden="1">"$AN$36:$AN$287"</definedName>
    <definedName name="IQRB10" hidden="1">"$B$11:$B$4090"</definedName>
    <definedName name="IQRB12" hidden="1">"$B$13:$B$4093"</definedName>
    <definedName name="IQRB3" hidden="1">"$B$4:$B$63"</definedName>
    <definedName name="IQRB5" hidden="1">"$B$6:$B$43"</definedName>
    <definedName name="IQRB6" hidden="1">"$B$7:$B$44"</definedName>
    <definedName name="IQRB8" hidden="1">"$B$9:$B$260"</definedName>
    <definedName name="IQRC3" hidden="1">"$C$4:$C$1308"</definedName>
    <definedName name="IQRC35" hidden="1">"$C$36:$C$45"</definedName>
    <definedName name="IQRC5" hidden="1">"$C$6:$C$43"</definedName>
    <definedName name="IQRC6" hidden="1">"$C$7:$C$44"</definedName>
    <definedName name="IQRC8" hidden="1">"$C$9:$C$260"</definedName>
    <definedName name="IQRD5" hidden="1">"$D$6:$D$43"</definedName>
    <definedName name="IQRD6" hidden="1">"$D$7:$D$44"</definedName>
    <definedName name="IQRE11" hidden="1">"$E$12:$E$3225"</definedName>
    <definedName name="IQRE5" hidden="1">"$E$6:$E$43"</definedName>
    <definedName name="IQRE6" hidden="1">"$E$7:$E$44"</definedName>
    <definedName name="IQRF12" hidden="1">"$F$13:$F$3226"</definedName>
    <definedName name="IQRG12" hidden="1">"$G$13:$G$3226"</definedName>
    <definedName name="IQRG120" hidden="1">"$G$121"</definedName>
    <definedName name="IQRG121" hidden="1">"$G$122"</definedName>
    <definedName name="IQRM26" hidden="1">"$M$27"</definedName>
    <definedName name="IQRP12" hidden="1">"$P$13:$P$4093"</definedName>
    <definedName name="IQRP16" hidden="1">"$P$17:$P$4099"</definedName>
    <definedName name="IQRTradingMultipleA4" hidden="1">[18]NEG!$A$5:$A$1387</definedName>
    <definedName name="IQRU12" hidden="1">"$U$13:$U$3227"</definedName>
    <definedName name="IQRU16" hidden="1">"$U$17:$U$3233"</definedName>
    <definedName name="is">#REF!</definedName>
    <definedName name="IS外幣匯率">'[19]IS-仟元'!#REF!</definedName>
    <definedName name="japan">#REF!</definedName>
    <definedName name="JPY">#REF!</definedName>
    <definedName name="JPY匯率">#REF!</definedName>
    <definedName name="K">#REF!</definedName>
    <definedName name="korea">#REF!</definedName>
    <definedName name="KWC">[8]Japanese!$A$237:$A$349</definedName>
    <definedName name="LEAP">#REF!</definedName>
    <definedName name="Lenovo">[8]Chinese!$A$115:$A$228</definedName>
    <definedName name="LG">#REF!</definedName>
    <definedName name="LG_1">#REF!</definedName>
    <definedName name="limcount" hidden="1">1</definedName>
    <definedName name="maggie">OFFSET(#REF!,0,0,#REF!)</definedName>
    <definedName name="malaysia">#REF!</definedName>
    <definedName name="Mist">[8]Japanese!$A$592:$A$706</definedName>
    <definedName name="model_case">[12]DCF!#REF!</definedName>
    <definedName name="mot_1">#REF!</definedName>
    <definedName name="nec">[8]Japanese!$A$351:$A$468</definedName>
    <definedName name="new_name" hidden="1">{#N/A,#N/A,FALSE,"Aging Summary";#N/A,#N/A,FALSE,"Ratio Analysis";#N/A,#N/A,FALSE,"Test 120 Day Accts";#N/A,#N/A,FALSE,"Tickmarks"}</definedName>
    <definedName name="nok_1">#REF!</definedName>
    <definedName name="Nokia_1">#REF!</definedName>
    <definedName name="NONLEAP">#REF!</definedName>
    <definedName name="nz">#REF!</definedName>
    <definedName name="ONEFIVE">#REF!</definedName>
    <definedName name="ONEFOUR">#REF!</definedName>
    <definedName name="ONESEVEN">#REF!</definedName>
    <definedName name="ONESIX">#REF!</definedName>
    <definedName name="Output">#REF!</definedName>
    <definedName name="P">#REF!</definedName>
    <definedName name="P91_">[14]PROVP!#REF!</definedName>
    <definedName name="P92_">[14]PROVP!#REF!</definedName>
    <definedName name="panasonic">[8]Japanese!$A$469:$A$707</definedName>
    <definedName name="PES">#REF!</definedName>
    <definedName name="PES匯率">#REF!</definedName>
    <definedName name="philippines">#REF!</definedName>
    <definedName name="philips">[8]Chinese!$A$455:$A$680</definedName>
    <definedName name="Price">OFFSET(#REF!,0,0,#REF!)</definedName>
    <definedName name="Print1">#REF!</definedName>
    <definedName name="qergwrh">#REF!</definedName>
    <definedName name="qerhwh">#REF!</definedName>
    <definedName name="qwefqrg">#REF!</definedName>
    <definedName name="rim">#REF!</definedName>
    <definedName name="RMB">#REF!</definedName>
    <definedName name="RMB匯率">#REF!</definedName>
    <definedName name="S">#REF!</definedName>
    <definedName name="Sa">#REF!</definedName>
    <definedName name="sadff">#REF!</definedName>
    <definedName name="sagem">[8]Others!$2:$116</definedName>
    <definedName name="sam_1">#REF!</definedName>
    <definedName name="sanyo">#REF!</definedName>
    <definedName name="sdfa" hidden="1">{"FTSE100","COMPANIES",TRUE}</definedName>
    <definedName name="semc_1">#REF!</definedName>
    <definedName name="sencount" hidden="1">5</definedName>
    <definedName name="sencount2" hidden="1">2</definedName>
    <definedName name="sergseg">#REF!</definedName>
    <definedName name="sh">#REF!</definedName>
    <definedName name="sharp">#REF!</definedName>
    <definedName name="singapore">#REF!</definedName>
    <definedName name="solver_adj" hidden="1">'[20]Net Interest'!#REF!</definedName>
    <definedName name="solver_lin" hidden="1">0</definedName>
    <definedName name="solver_num" hidden="1">0</definedName>
    <definedName name="solver_opt" hidden="1">'[20]Net Interest'!#REF!</definedName>
    <definedName name="solver_typ" hidden="1">3</definedName>
    <definedName name="solver_val" hidden="1">49</definedName>
    <definedName name="SPWS_WBID">"3B7E7448-4D9F-459E-95F0-E8BF55286A84"</definedName>
    <definedName name="srgrgh">#REF!</definedName>
    <definedName name="Supply">#REF!</definedName>
    <definedName name="T">#REF!</definedName>
    <definedName name="taiwan">#REF!</definedName>
    <definedName name="Target">OFFSET(#REF!,0,0,#REF!)</definedName>
    <definedName name="tcl">[8]Chinese!$A$568:$A$680</definedName>
    <definedName name="test2" hidden="1">#REF!</definedName>
    <definedName name="test3" hidden="1">{"EUMOT","COMPANIES",TRUE}</definedName>
    <definedName name="test4" hidden="1">{"ASCONGRP","COMPANIES",TRUE}</definedName>
    <definedName name="test5" hidden="1">{"EUUTIGRP","COMPANIES",TRUE}</definedName>
    <definedName name="test6" hidden="1">{"EUUTI","COMPANIES",TRUE}</definedName>
    <definedName name="thailand">#REF!</definedName>
    <definedName name="THREEFIVE">#REF!</definedName>
    <definedName name="THREEFOUR">#REF!</definedName>
    <definedName name="THREESEVEN">#REF!</definedName>
    <definedName name="THREESIX">#REF!</definedName>
    <definedName name="TickerCell">'[9]#REF'!$X$3</definedName>
    <definedName name="Total">#REF!</definedName>
    <definedName name="Total_1">#REF!</definedName>
    <definedName name="TWOFIVE">#REF!</definedName>
    <definedName name="TWOFOUR">#REF!</definedName>
    <definedName name="TWOSEVEN">#REF!</definedName>
    <definedName name="TWOSIX">#REF!</definedName>
    <definedName name="USD">#REF!</definedName>
    <definedName name="USD匯率">#REF!</definedName>
    <definedName name="UTS">[8]Chinese!$A$229:$A$341</definedName>
    <definedName name="vietnam">#REF!</definedName>
    <definedName name="Vodafone">[8]Others!$A$230:$BF$341</definedName>
    <definedName name="VolumeCell">'[9]#REF'!$D$3</definedName>
    <definedName name="wegg">#REF!</definedName>
    <definedName name="wegwth">#REF!</definedName>
    <definedName name="wer">[12]DCF!#REF!</definedName>
    <definedName name="wergwth">#REF!</definedName>
    <definedName name="WindWorstCase">'[6]Oil Consumption – barrels'!#REF!</definedName>
    <definedName name="wrn.Aging._.and._.Trend._.Analysis." hidden="1">{#N/A,#N/A,FALSE,"Aging Summary";#N/A,#N/A,FALSE,"Ratio Analysis";#N/A,#N/A,FALSE,"Test 120 Day Accts";#N/A,#N/A,FALSE,"Tickmarks"}</definedName>
    <definedName name="wrn.cf." hidden="1">{"one",#N/A,FALSE,"cf";"two",#N/A,FALSE,"cf"}</definedName>
    <definedName name="wrn.euro." hidden="1">{#N/A,#N/A,FALSE,"Austria"}</definedName>
    <definedName name="wtrhwth">#REF!</definedName>
    <definedName name="X">#REF!</definedName>
    <definedName name="x_values1">OFFSET(#REF!,0,0,#REF!)</definedName>
    <definedName name="x_values2">OFFSET(#REF!,0,0,#REF!)</definedName>
    <definedName name="x_values3">OFFSET(#REF!,0,0,#REF!)</definedName>
    <definedName name="x_values4">OFFSET(#REF!,0,0,#REF!)</definedName>
    <definedName name="x_values5">OFFSET(#REF!,0,0,#REF!)</definedName>
    <definedName name="x_values6">OFFSET(#REF!,0,0,#REF!)</definedName>
    <definedName name="XX_TEJ1">[21]Price_Perf.!#REF!</definedName>
    <definedName name="XX_TEJ2">[21]Price_Perf.!#REF!</definedName>
    <definedName name="XX_TEJ3">[21]Price_Perf.!$AG$15:$AH$1391</definedName>
    <definedName name="XX_TEJ4">#REF!</definedName>
    <definedName name="XX_TEJ5">#REF!</definedName>
    <definedName name="XX_TEJ6">#REF!</definedName>
    <definedName name="XX_TEJ7">#REF!</definedName>
    <definedName name="XX_TEJ8">#REF!</definedName>
    <definedName name="XX_TEJ9">#REF!</definedName>
    <definedName name="ZGrowthRate">'[22]User base'!#REF!</definedName>
    <definedName name="Zone_impres_MI">[14]PROVP!$B$5:$B$90</definedName>
    <definedName name="zz" hidden="1">{"'MObitel Pricing'!$B$2:$G$12","'MObitel Pricing'!$G$15"}</definedName>
    <definedName name="其他1匯率">#REF!</definedName>
    <definedName name="其他2匯率">#REF!</definedName>
    <definedName name="外幣匯率">#REF!</definedName>
    <definedName name="表">#REF!</definedName>
    <definedName name="model_case" localSheetId="0">[12]DCF!#REF!</definedName>
    <definedName name="_xlnm.Print_Area" localSheetId="1">'Valuation'!$A$1:$M$83</definedName>
    <definedName name="model_case" localSheetId="4">[12]DCF!#REF!</definedName>
    <definedName name="_DLX1.EMG" localSheetId="5">#REF!</definedName>
    <definedName name="_DLX2.EMG" localSheetId="5">#REF!</definedName>
    <definedName name="model_case" localSheetId="5">[12]DCF!#REF!</definedName>
    <definedName name="wer" localSheetId="5">[12]DCF!#REF!</definedName>
    <definedName name="_bdm.e59dd4eb15b74531abc6f0cb7224a7f8.edm" localSheetId="6" hidden="1">#REF!</definedName>
    <definedName name="_DLX1.EMG" localSheetId="6">#REF!</definedName>
    <definedName name="_DLX15.EMG" localSheetId="6">#REF!</definedName>
    <definedName name="_DLX16.EMG" localSheetId="6">#REF!</definedName>
    <definedName name="_DLX17.EMG" localSheetId="6">#REF!</definedName>
    <definedName name="_DLX18.EMG" localSheetId="6">#REF!</definedName>
    <definedName name="_DLX2.EMG" localSheetId="6">#REF!</definedName>
    <definedName name="_DLX3.EMG" localSheetId="6">[3]IFA!#REF!</definedName>
    <definedName name="\I" localSheetId="6">#REF!</definedName>
    <definedName name="\P" localSheetId="6">#REF!</definedName>
    <definedName name="A" localSheetId="6">#REF!</definedName>
    <definedName name="aa" localSheetId="6">'[6]Oil Consumption – barrels'!#REF!</definedName>
    <definedName name="AA_1" localSheetId="6">'[7]ASP '!#REF!</definedName>
    <definedName name="as" localSheetId="6">#REF!</definedName>
    <definedName name="ASd" localSheetId="6">#REF!</definedName>
    <definedName name="asdf" localSheetId="6">#REF!</definedName>
    <definedName name="asdfasdf" localSheetId="6">#REF!</definedName>
    <definedName name="asssssg" localSheetId="6">#REF!</definedName>
    <definedName name="australia" localSheetId="6">#REF!</definedName>
    <definedName name="B" localSheetId="6">#REF!</definedName>
    <definedName name="bos" localSheetId="6">#REF!</definedName>
    <definedName name="Ccy" localSheetId="6">#REF!</definedName>
    <definedName name="ChartCell" localSheetId="6">#REF!</definedName>
    <definedName name="china" localSheetId="6">#REF!</definedName>
    <definedName name="compa" localSheetId="6">[14]PROVP!#REF!</definedName>
    <definedName name="Conv" localSheetId="6">#REF!</definedName>
    <definedName name="COst" localSheetId="6">'[6]Oil Consumption – barrels'!#REF!</definedName>
    <definedName name="DataPVChart" localSheetId="6">#REF!</definedName>
    <definedName name="DataSPChart" localSheetId="6">#REF!,#REF!</definedName>
    <definedName name="date" localSheetId="6">#REF!</definedName>
    <definedName name="Dates" localSheetId="6">#REF!</definedName>
    <definedName name="erg" localSheetId="6">#REF!</definedName>
    <definedName name="EUR" localSheetId="6">#REF!</definedName>
    <definedName name="EUR匯率" localSheetId="6">#REF!</definedName>
    <definedName name="Excel_BuiltIn_Print_Area_19" localSheetId="6">'[8]Global Sh by Tech Wksht'!#REF!</definedName>
    <definedName name="fdasdfas" localSheetId="6">'[6]Oil Consumption – barrels'!#REF!</definedName>
    <definedName name="Fil" localSheetId="6">#REF!</definedName>
    <definedName name="FOURFIVE" localSheetId="6">#REF!</definedName>
    <definedName name="FOURFOUR" localSheetId="6">#REF!</definedName>
    <definedName name="FOURSIX" localSheetId="6">#REF!</definedName>
    <definedName name="FULLFIVE" localSheetId="6">#REF!</definedName>
    <definedName name="FULLFOUR" localSheetId="6">#REF!</definedName>
    <definedName name="FULLSIX" localSheetId="6">#REF!</definedName>
    <definedName name="G" localSheetId="6">#REF!</definedName>
    <definedName name="GBP" localSheetId="6">#REF!</definedName>
    <definedName name="GBP匯率" localSheetId="6">#REF!</definedName>
    <definedName name="hk" localSheetId="6">#REF!</definedName>
    <definedName name="HKD" localSheetId="6">#REF!</definedName>
    <definedName name="HKD匯率" localSheetId="6">#REF!</definedName>
    <definedName name="Huawei" localSheetId="6">#REF!</definedName>
    <definedName name="IndexedData" localSheetId="6">#REF!</definedName>
    <definedName name="India" localSheetId="6">#REF!</definedName>
    <definedName name="indonesia" localSheetId="6">#REF!</definedName>
    <definedName name="INIT" localSheetId="6">#REF!</definedName>
    <definedName name="IS外幣匯率" localSheetId="6">'[19]IS-仟元'!#REF!</definedName>
    <definedName name="japan" localSheetId="6">#REF!</definedName>
    <definedName name="JPY" localSheetId="6">#REF!</definedName>
    <definedName name="JPY匯率" localSheetId="6">#REF!</definedName>
    <definedName name="K" localSheetId="6">#REF!</definedName>
    <definedName name="korea" localSheetId="6">#REF!</definedName>
    <definedName name="LEAP" localSheetId="6">#REF!</definedName>
    <definedName name="LG" localSheetId="6">#REF!</definedName>
    <definedName name="LG_1" localSheetId="6">#REF!</definedName>
    <definedName name="maggie" localSheetId="6">OFFSET(#REF!,0,0,#REF!)</definedName>
    <definedName name="malaysia" localSheetId="6">#REF!</definedName>
    <definedName name="model_case" localSheetId="6">[12]DCF!#REF!</definedName>
    <definedName name="mot_1" localSheetId="6">#REF!</definedName>
    <definedName name="nok_1" localSheetId="6">#REF!</definedName>
    <definedName name="Nokia_1" localSheetId="6">#REF!</definedName>
    <definedName name="NONLEAP" localSheetId="6">#REF!</definedName>
    <definedName name="nz" localSheetId="6">#REF!</definedName>
    <definedName name="ONEFIVE" localSheetId="6">#REF!</definedName>
    <definedName name="ONEFOUR" localSheetId="6">#REF!</definedName>
    <definedName name="ONESEVEN" localSheetId="6">#REF!</definedName>
    <definedName name="ONESIX" localSheetId="6">#REF!</definedName>
    <definedName name="Output" localSheetId="6">#REF!</definedName>
    <definedName name="P" localSheetId="6">#REF!</definedName>
    <definedName name="P91_" localSheetId="6">[14]PROVP!#REF!</definedName>
    <definedName name="P92_" localSheetId="6">[14]PROVP!#REF!</definedName>
    <definedName name="PES" localSheetId="6">#REF!</definedName>
    <definedName name="PES匯率" localSheetId="6">#REF!</definedName>
    <definedName name="philippines" localSheetId="6">#REF!</definedName>
    <definedName name="Price" localSheetId="6">OFFSET(#REF!,0,0,#REF!)</definedName>
    <definedName name="Print1" localSheetId="6">#REF!</definedName>
    <definedName name="qergwrh" localSheetId="6">#REF!</definedName>
    <definedName name="qerhwh" localSheetId="6">#REF!</definedName>
    <definedName name="qwefqrg" localSheetId="6">#REF!</definedName>
    <definedName name="rim" localSheetId="6">#REF!</definedName>
    <definedName name="RMB" localSheetId="6">#REF!</definedName>
    <definedName name="RMB匯率" localSheetId="6">#REF!</definedName>
    <definedName name="S" localSheetId="6">#REF!</definedName>
    <definedName name="Sa" localSheetId="6">#REF!</definedName>
    <definedName name="sadff" localSheetId="6">#REF!</definedName>
    <definedName name="sam_1" localSheetId="6">#REF!</definedName>
    <definedName name="sanyo" localSheetId="6">#REF!</definedName>
    <definedName name="semc_1" localSheetId="6">#REF!</definedName>
    <definedName name="sergseg" localSheetId="6">#REF!</definedName>
    <definedName name="sharp" localSheetId="6">#REF!</definedName>
    <definedName name="singapore" localSheetId="6">#REF!</definedName>
    <definedName name="srgrgh" localSheetId="6">#REF!</definedName>
    <definedName name="Supply" localSheetId="6">#REF!</definedName>
    <definedName name="T" localSheetId="6">#REF!</definedName>
    <definedName name="taiwan" localSheetId="6">#REF!</definedName>
    <definedName name="Target" localSheetId="6">OFFSET(#REF!,0,0,#REF!)</definedName>
    <definedName name="thailand" localSheetId="6">#REF!</definedName>
    <definedName name="THREEFIVE" localSheetId="6">#REF!</definedName>
    <definedName name="THREEFOUR" localSheetId="6">#REF!</definedName>
    <definedName name="THREESEVEN" localSheetId="6">#REF!</definedName>
    <definedName name="THREESIX" localSheetId="6">#REF!</definedName>
    <definedName name="Total" localSheetId="6">#REF!</definedName>
    <definedName name="Total_1" localSheetId="6">#REF!</definedName>
    <definedName name="TWOFIVE" localSheetId="6">#REF!</definedName>
    <definedName name="TWOFOUR" localSheetId="6">#REF!</definedName>
    <definedName name="TWOSEVEN" localSheetId="6">#REF!</definedName>
    <definedName name="TWOSIX" localSheetId="6">#REF!</definedName>
    <definedName name="USD" localSheetId="6">#REF!</definedName>
    <definedName name="USD匯率" localSheetId="6">#REF!</definedName>
    <definedName name="vietnam" localSheetId="6">#REF!</definedName>
    <definedName name="wegg" localSheetId="6">#REF!</definedName>
    <definedName name="wegwth" localSheetId="6">#REF!</definedName>
    <definedName name="wer" localSheetId="6">[12]DCF!#REF!</definedName>
    <definedName name="wergwth" localSheetId="6">#REF!</definedName>
    <definedName name="WindWorstCase" localSheetId="6">'[6]Oil Consumption – barrels'!#REF!</definedName>
    <definedName name="wtrhwth" localSheetId="6">#REF!</definedName>
    <definedName name="X" localSheetId="6">#REF!</definedName>
    <definedName name="x_values1" localSheetId="6">OFFSET(#REF!,0,0,#REF!)</definedName>
    <definedName name="x_values2" localSheetId="6">OFFSET(#REF!,0,0,#REF!)</definedName>
    <definedName name="x_values3" localSheetId="6">OFFSET(#REF!,0,0,#REF!)</definedName>
    <definedName name="x_values4" localSheetId="6">OFFSET(#REF!,0,0,#REF!)</definedName>
    <definedName name="x_values5" localSheetId="6">OFFSET(#REF!,0,0,#REF!)</definedName>
    <definedName name="x_values6" localSheetId="6">OFFSET(#REF!,0,0,#REF!)</definedName>
    <definedName name="XX_TEJ1" localSheetId="6">[21]Price_Perf.!#REF!</definedName>
    <definedName name="XX_TEJ2" localSheetId="6">[21]Price_Perf.!#REF!</definedName>
    <definedName name="XX_TEJ4" localSheetId="6">#REF!</definedName>
    <definedName name="XX_TEJ5" localSheetId="6">#REF!</definedName>
    <definedName name="XX_TEJ6" localSheetId="6">#REF!</definedName>
    <definedName name="XX_TEJ7" localSheetId="6">#REF!</definedName>
    <definedName name="XX_TEJ8" localSheetId="6">#REF!</definedName>
    <definedName name="XX_TEJ9" localSheetId="6">#REF!</definedName>
    <definedName name="ZGrowthRate" localSheetId="6">'[22]User base'!#REF!</definedName>
    <definedName name="其他1匯率" localSheetId="6">#REF!</definedName>
    <definedName name="其他2匯率" localSheetId="6">#REF!</definedName>
    <definedName name="外幣匯率" localSheetId="6">#REF!</definedName>
    <definedName name="表" localSheetId="6">#REF!</definedName>
    <definedName name="Analyst_Data" localSheetId="9">IPGP!$B$15</definedName>
    <definedName name="CopyRange" localSheetId="9">IPGP!$B$1:$P$140</definedName>
    <definedName name="End_Data" localSheetId="9">IPGP!$B$140</definedName>
    <definedName name="Estimates_Annuals" localSheetId="9">IPGP!$B$20</definedName>
    <definedName name="Estimates_Quarters" localSheetId="9">IPGP!$B$90</definedName>
    <definedName name="Market_Data" localSheetId="9">IPGP!$B$123</definedName>
    <definedName name="Ticker_Data" localSheetId="9">IPGP!$B$3</definedName>
    <definedName name="Valuations" localSheetId="9">IPGP!$B$92</definedName>
    <definedName name="MARKET_DATA" localSheetId="10">'SCB Ticker Sheet'!$P$2:$R$13</definedName>
    <definedName name="NewToCopy" localSheetId="10">'SCB Ticker Sheet'!$B$160:$N$161</definedName>
    <definedName name="CIQWBGuid" localSheetId="11" hidden="1">"a40bbe62-36c2-4aed-981f-f02b58ff5aa8"</definedName>
    <definedName name="IQ_NAMES_REVISION_DATE_" localSheetId="11" hidden="1">42450.610625</definedName>
    <definedName name="IQB_BOOKMARK_COUNT" localSheetId="11" hidden="1">1</definedName>
    <definedName name="Analyst_Data" localSheetId="12">SPX!$B$9</definedName>
    <definedName name="CopyRange" localSheetId="12">SPX!$B$1:$P$44</definedName>
    <definedName name="End_Data" localSheetId="12">SPX!$B$44</definedName>
    <definedName name="Estimates_Annuals" localSheetId="12">SPX!$B$14</definedName>
    <definedName name="Estimates_Quarters" localSheetId="12">SPX!$B$20</definedName>
    <definedName name="Market_Data" localSheetId="12">SPX!$B$27</definedName>
    <definedName name="Ticker_Data" localSheetId="12">SPX!$B$3</definedName>
    <definedName name="Valuations" localSheetId="12">SPX!$B$22</definedName>
    <definedName name="model_case" localSheetId="13">[12]DCF!#REF!</definedName>
    <definedName name="CIQWBGuid" localSheetId="14" hidden="1">"62976175-4da7-4044-b022-757978a6f07a"</definedName>
    <definedName name="IQ_NAMES_REVISION_DATE_" localSheetId="14" hidden="1">41484.9726736111</definedName>
    <definedName name="model_case" localSheetId="14">[12]DCF!#REF!</definedName>
    <definedName name="_xlnm.Print_Area" localSheetId="14">'bands_A'!$T$12:$CL$33</definedName>
    <definedName name="CIQWBGuid" localSheetId="15" hidden="1">"62976175-4da7-4044-b022-757978a6f07a"</definedName>
    <definedName name="IQ_NAMES_REVISION_DATE_" localSheetId="15" hidden="1">41484.9726736111</definedName>
    <definedName name="model_case" localSheetId="15">[12]DCF!#REF!</definedName>
    <definedName name="_xlnm.Print_Area" localSheetId="15">'bands_A-H_Avg'!$T$12:$CL$33</definedName>
    <definedName name="model_case" localSheetId="16">[12]DCF!#REF!</definedName>
    <definedName name="model_case" localSheetId="17">[12]DCF!#REF!</definedName>
    <definedName name="_xlnm.Print_Area" localSheetId="17">'Revisions'!$A$1:$A$5</definedName>
  </definedNames>
  <calcPr calcId="191029" fullCalcOnLoad="1"/>
</workbook>
</file>

<file path=xl/styles.xml><?xml version="1.0" encoding="utf-8"?>
<styleSheet xmlns="http://schemas.openxmlformats.org/spreadsheetml/2006/main">
  <numFmts count="70">
    <numFmt numFmtId="164" formatCode="_(* #,##0_);_(* \(#,##0\);_(* &quot;-&quot;??_);_(@_)"/>
    <numFmt numFmtId="165" formatCode="#,##0.0%_);\(#,##0.0%\)"/>
    <numFmt numFmtId="166" formatCode="#,##0.0000_);\(#,##0.0000\)"/>
    <numFmt numFmtId="167" formatCode="[$-409]mmm\-yy;@"/>
    <numFmt numFmtId="168" formatCode="0_);\(0\)"/>
    <numFmt numFmtId="169" formatCode="#,##0.0\x"/>
    <numFmt numFmtId="170" formatCode="0.0000"/>
    <numFmt numFmtId="171" formatCode="_(* #,##0.000_);_(* \(#,##0.000\);_(* &quot;-&quot;??_);_(@_)"/>
    <numFmt numFmtId="172" formatCode="0.0%"/>
    <numFmt numFmtId="173" formatCode="_(* #,##0.0_);_(* \(#,##0.0\);_(* &quot;-&quot;??_);_(@_)"/>
    <numFmt numFmtId="174" formatCode="#,##0%_);\(#,##0%\)"/>
    <numFmt numFmtId="175" formatCode="#,##0.0_);\(#,##0.0\)"/>
    <numFmt numFmtId="176" formatCode="0.0\x"/>
    <numFmt numFmtId="177" formatCode="##&quot;bps&quot;"/>
    <numFmt numFmtId="178" formatCode="#,##0.00%_);\(#,##0.00%\)"/>
    <numFmt numFmtId="179" formatCode="#,##0_);\(#,##0\);\-\-_);@_)"/>
    <numFmt numFmtId="180" formatCode="0.0"/>
    <numFmt numFmtId="181" formatCode="&quot;FY&quot;####"/>
    <numFmt numFmtId="182" formatCode="0&quot;E&quot;"/>
    <numFmt numFmtId="183" formatCode="0.0%_);\(0.0%\);0.0%_);@_)"/>
    <numFmt numFmtId="184" formatCode="dd\/mm\/yyyy"/>
    <numFmt numFmtId="185" formatCode="_(* #,##0.0_);_(* \(#,##0.0\);_(* &quot;-&quot;?_);_(@_)"/>
    <numFmt numFmtId="186" formatCode="_(* #,##0,_);_(* \(#,##0,\);_(* &quot;-&quot;_);_(@_)"/>
    <numFmt numFmtId="187" formatCode="[$-409]d/mmm/yy;@"/>
    <numFmt numFmtId="188" formatCode="yyyy/mm/dd"/>
    <numFmt numFmtId="189" formatCode="[$-409]mmm/yy;@"/>
    <numFmt numFmtId="190" formatCode="_(* #,##0.000_);_(* \(#,##0.000\);_(* &quot;-&quot;_);_(@_)"/>
    <numFmt numFmtId="191" formatCode="_-[$€-2]* #,##0.00_-;\-[$€-2]* #,##0.00_-;_-[$€-2]* &quot;-&quot;??_-"/>
    <numFmt numFmtId="192" formatCode="0.0000000%"/>
    <numFmt numFmtId="193" formatCode="0.000000000%"/>
    <numFmt numFmtId="194" formatCode="0.00000000%"/>
    <numFmt numFmtId="195" formatCode="0.0000000000%"/>
    <numFmt numFmtId="196" formatCode="&quot;$&quot;#,###.00_);\(&quot;$&quot;#,###.00\);;&quot;num required&quot;\)"/>
    <numFmt numFmtId="197" formatCode="&quot;$&quot;#,##0"/>
    <numFmt numFmtId="198" formatCode="#,##0_);\(#,##0\);"/>
    <numFmt numFmtId="199" formatCode="&quot;$&quot;* #,##0_);&quot;$&quot;* \(#,##0\);;&quot;num required&quot;\)"/>
    <numFmt numFmtId="200" formatCode="General_)"/>
    <numFmt numFmtId="201" formatCode="\ \ \ \ &quot;$&quot;* #,##0.0_);[Red]\(\ \ \ &quot;$&quot;* #,##0.0\)"/>
    <numFmt numFmtId="202" formatCode="_(&quot;$&quot;* #,##0.0_);_(&quot;$&quot;* \(#,##0.0\);_(&quot;$&quot;* &quot;-&quot;?_);_(@_)"/>
    <numFmt numFmtId="203" formatCode="\ &quot;$&quot;* #,##0.0_);\ &quot;$&quot;* \(#,##0.0\);;&quot;num required&quot;\)"/>
    <numFmt numFmtId="204" formatCode="&quot;$&quot;* \ #,###.000_);\(&quot;$&quot;* \ #,###.000\);;&quot;num required&quot;\)"/>
    <numFmt numFmtId="205" formatCode="#,##0.000_);\(#,##0.000\)"/>
    <numFmt numFmtId="206" formatCode="&quot;$&quot;* \ #,###.00_);&quot;$&quot;* \ \(#,###.00\);;&quot;num required&quot;\)"/>
    <numFmt numFmtId="207" formatCode="\ \ \ \ &quot;$&quot;* #,##0.0"/>
    <numFmt numFmtId="208" formatCode="\ \ &quot;$&quot;* #,##0.0_);&quot;$&quot;* \(#,##0.0\);;&quot;num required&quot;\)"/>
    <numFmt numFmtId="209" formatCode="&quot;$&quot;* #,##0.00"/>
    <numFmt numFmtId="210" formatCode="\ &quot;$&quot;* #,##0.0"/>
    <numFmt numFmtId="211" formatCode="\ \ &quot;$&quot;* #,##0.00"/>
    <numFmt numFmtId="212" formatCode="\ \ &quot;$&quot;* #,###.000_);\(\ \ &quot;$&quot;* #,###.000\);;&quot;num required&quot;\)"/>
    <numFmt numFmtId="213" formatCode="#,###.0_);\(#,###.0\)"/>
    <numFmt numFmtId="214" formatCode="#,###.##_);\(#,###.##\);"/>
    <numFmt numFmtId="215" formatCode="&quot;$&quot;* #,##0.#_);&quot;$&quot;* \(#,##0.#\);;&quot;num required&quot;\)"/>
    <numFmt numFmtId="216" formatCode="#,##0&quot;E&quot;_);\(#,##0\)&quot;E&quot;"/>
    <numFmt numFmtId="217" formatCode="0.0%;[Red]\(0.0\)%"/>
    <numFmt numFmtId="218" formatCode="0.0\x;&quot;NM &quot;"/>
    <numFmt numFmtId="219" formatCode="0.0_);\(0.0\)"/>
    <numFmt numFmtId="220" formatCode="0.00%;[Red]\(0.00\)%"/>
    <numFmt numFmtId="221" formatCode="_(* #,##0_)%;_(* \(#,##0\)%;_(* &quot;-&quot;_);_(@_)"/>
    <numFmt numFmtId="222" formatCode="_(* #,##0.0_)%;_(* \(#,##0.0\)%;_(* &quot;-&quot;?_);_(@_)"/>
    <numFmt numFmtId="223" formatCode="mm/dd/yy"/>
    <numFmt numFmtId="224" formatCode="#\ ?/8"/>
    <numFmt numFmtId="225" formatCode="_-&quot;£&quot;* #,##0.00_-;\-&quot;£&quot;* #,##0.00_-;_-&quot;£&quot;* &quot;-&quot;??_-;_-@_-"/>
    <numFmt numFmtId="226" formatCode="_(#,##0.00_)_%;_(\(#,##0.00\)_%;_(&quot;-&quot;??_)_%;_(@_)_%"/>
    <numFmt numFmtId="227" formatCode="_(#,##0.00_)_%;_(\(#,##0.00\)_%"/>
    <numFmt numFmtId="228" formatCode="&quot;$&quot;* #,##0.0_);&quot;$&quot;* \(#,##0.0\);;&quot;num required&quot;\)"/>
    <numFmt numFmtId="229" formatCode="_-* #,##0.00_-;\-* #,##0.00_-;_-* &quot;-&quot;??_-;_-@_-"/>
    <numFmt numFmtId="230" formatCode="_-* #,##0.00\ [$€-1]_-;\-* #,##0.00\ [$€-1]_-;_-* &quot;-&quot;??\ [$€-1]_-"/>
    <numFmt numFmtId="231" formatCode="_-* #,##0.000\ [$€-1]_-;\-* #,##0.000\ [$€-1]_-;_-* &quot;-&quot;??\ [$€-1]_-"/>
    <numFmt numFmtId="232" formatCode="#,##0.00_);[Red]\-#,##0.00_);0.00_);@_)"/>
    <numFmt numFmtId="233" formatCode="_-* #,##0.00\ [$€-1]_-;\-* #,##0.00\ [$€-1]_-;_-* \-??\ [$€-1]_-"/>
  </numFmts>
  <fonts count="262">
    <font>
      <name val="Arial"/>
      <family val="2"/>
      <color theme="1"/>
      <sz val="10"/>
    </font>
    <font>
      <name val="Arial"/>
      <family val="2"/>
      <color theme="1"/>
      <sz val="10"/>
    </font>
    <font>
      <name val="Arial"/>
      <family val="2"/>
      <color rgb="FFFF0000"/>
      <sz val="10"/>
    </font>
    <font>
      <name val="Arial"/>
      <family val="2"/>
      <b val="1"/>
      <color theme="1"/>
      <sz val="10"/>
    </font>
    <font>
      <name val="Arial"/>
      <family val="2"/>
      <sz val="10"/>
    </font>
    <font>
      <name val="Arial"/>
      <family val="2"/>
      <b val="1"/>
      <sz val="20"/>
    </font>
    <font>
      <name val="Arial"/>
      <family val="2"/>
      <color indexed="12"/>
      <sz val="10"/>
    </font>
    <font>
      <name val="Arial"/>
      <family val="2"/>
      <b val="1"/>
      <sz val="10"/>
      <u val="single"/>
    </font>
    <font>
      <name val="Arial"/>
      <family val="2"/>
      <b val="1"/>
      <color indexed="12"/>
      <sz val="10"/>
    </font>
    <font>
      <name val="Arial"/>
      <family val="2"/>
      <b val="1"/>
      <sz val="10"/>
    </font>
    <font>
      <name val="Arial"/>
      <family val="2"/>
      <b val="1"/>
      <color indexed="17"/>
      <sz val="10"/>
    </font>
    <font>
      <name val="Arial"/>
      <family val="2"/>
      <b val="1"/>
      <color indexed="10"/>
      <sz val="10"/>
    </font>
    <font>
      <name val="Calibri"/>
      <family val="2"/>
      <color theme="1"/>
      <sz val="10"/>
      <scheme val="minor"/>
    </font>
    <font>
      <name val="Arial Narrow"/>
      <family val="2"/>
      <color theme="1"/>
      <sz val="10"/>
    </font>
    <font>
      <name val="Arial"/>
      <family val="2"/>
      <color theme="0" tint="-0.249977111117893"/>
      <sz val="10"/>
    </font>
    <font>
      <name val="Arial"/>
      <family val="2"/>
      <b val="1"/>
      <color indexed="9"/>
      <sz val="12"/>
    </font>
    <font>
      <name val="Arial"/>
      <family val="2"/>
      <color indexed="9"/>
      <sz val="10"/>
    </font>
    <font>
      <name val="Arial"/>
      <family val="2"/>
      <b val="1"/>
      <color indexed="9"/>
      <sz val="10"/>
    </font>
    <font>
      <name val="Arial"/>
      <family val="2"/>
      <color rgb="FF0000FF"/>
      <sz val="10"/>
    </font>
    <font>
      <name val="Arial"/>
      <family val="2"/>
      <i val="1"/>
      <color theme="1"/>
      <sz val="10"/>
    </font>
    <font>
      <name val="Arial"/>
      <family val="2"/>
      <b val="1"/>
      <i val="1"/>
      <color theme="5"/>
      <sz val="10"/>
    </font>
    <font>
      <name val="Arial"/>
      <family val="2"/>
      <i val="1"/>
      <color theme="5"/>
      <sz val="10"/>
    </font>
    <font>
      <name val="Arial"/>
      <family val="2"/>
      <color rgb="FF006600"/>
      <sz val="10"/>
    </font>
    <font>
      <name val="Arial"/>
      <family val="2"/>
      <b val="1"/>
      <color theme="1"/>
      <sz val="10"/>
      <u val="single"/>
    </font>
    <font>
      <name val="Arial"/>
      <family val="2"/>
      <color rgb="FF000000"/>
      <sz val="10"/>
    </font>
    <font>
      <name val="Arial"/>
      <family val="2"/>
      <color rgb="FF008000"/>
      <sz val="10"/>
    </font>
    <font>
      <name val="Arial"/>
      <family val="2"/>
      <b val="1"/>
      <color rgb="FF000000"/>
      <sz val="10"/>
    </font>
    <font>
      <name val="Arial"/>
      <family val="2"/>
      <color rgb="FFC00000"/>
      <sz val="10"/>
    </font>
    <font>
      <name val="Arial"/>
      <family val="2"/>
      <color theme="1"/>
      <sz val="8"/>
    </font>
    <font>
      <name val="Arial"/>
      <family val="2"/>
      <b val="1"/>
      <color rgb="FF0000FF"/>
      <sz val="10"/>
    </font>
    <font>
      <name val="Arial"/>
      <family val="2"/>
      <b val="1"/>
      <color rgb="FF006600"/>
      <sz val="10"/>
    </font>
    <font>
      <name val="Arial"/>
      <family val="2"/>
      <b val="1"/>
      <i val="1"/>
      <color theme="1"/>
      <sz val="10"/>
    </font>
    <font>
      <name val="Arial"/>
      <family val="2"/>
      <color theme="1"/>
      <sz val="10"/>
      <u val="single"/>
    </font>
    <font>
      <name val="Arial"/>
      <family val="2"/>
      <i val="1"/>
      <color rgb="FF000000"/>
      <sz val="10"/>
    </font>
    <font>
      <name val="Arial"/>
      <family val="2"/>
      <sz val="10"/>
      <u val="single"/>
    </font>
    <font>
      <name val="Tahoma"/>
      <family val="2"/>
      <color indexed="81"/>
      <sz val="9"/>
    </font>
    <font>
      <name val="Arial"/>
      <family val="2"/>
      <i val="1"/>
      <color rgb="FFFF0000"/>
      <sz val="10"/>
    </font>
    <font>
      <name val="Arial"/>
      <family val="2"/>
      <color indexed="10"/>
      <sz val="10"/>
    </font>
    <font>
      <name val="Arial"/>
      <family val="2"/>
      <b val="1"/>
      <color rgb="FFFF0000"/>
      <sz val="10"/>
    </font>
    <font>
      <name val="Arial"/>
      <family val="2"/>
      <b val="1"/>
      <color rgb="FF008000"/>
      <sz val="10"/>
    </font>
    <font>
      <name val="Arial"/>
      <family val="2"/>
      <i val="1"/>
      <sz val="10"/>
    </font>
    <font>
      <name val="Tahoma"/>
      <family val="2"/>
      <b val="1"/>
      <color indexed="81"/>
      <sz val="9"/>
    </font>
    <font>
      <name val="Arial"/>
      <family val="2"/>
      <i val="1"/>
      <color rgb="FF008000"/>
      <sz val="10"/>
    </font>
    <font>
      <name val="Arial"/>
      <family val="2"/>
      <b val="1"/>
      <color theme="0"/>
      <sz val="10"/>
    </font>
    <font>
      <name val="Arial"/>
      <family val="2"/>
      <b val="1"/>
      <i val="1"/>
      <color theme="0"/>
      <sz val="10"/>
    </font>
    <font>
      <name val="arial narrow"/>
      <family val="2"/>
      <sz val="10"/>
    </font>
    <font>
      <name val="Arial Narrow"/>
      <family val="2"/>
      <color theme="1"/>
      <sz val="10"/>
      <u val="singleAccounting"/>
    </font>
    <font>
      <name val="arial narrow"/>
      <family val="2"/>
      <b val="1"/>
      <color theme="0"/>
      <sz val="10"/>
    </font>
    <font>
      <name val="arial narrow"/>
      <family val="2"/>
      <color theme="0"/>
      <sz val="10"/>
    </font>
    <font>
      <name val="arial narrow"/>
      <family val="2"/>
      <b val="1"/>
      <color theme="1"/>
      <sz val="10"/>
    </font>
    <font>
      <name val="Arial"/>
      <family val="2"/>
      <color theme="0"/>
      <sz val="10"/>
    </font>
    <font>
      <name val="Arial"/>
      <family val="2"/>
      <color theme="1"/>
      <sz val="10"/>
      <u val="singleAccounting"/>
    </font>
    <font>
      <name val="Arial"/>
      <family val="2"/>
      <b val="1"/>
      <i val="1"/>
      <color rgb="FFFF0000"/>
      <sz val="10"/>
    </font>
    <font>
      <name val="Arial"/>
      <family val="2"/>
      <color theme="0"/>
      <sz val="10"/>
      <u val="singleAccounting"/>
    </font>
    <font>
      <name val="Arial"/>
      <family val="2"/>
      <b val="1"/>
      <color theme="0"/>
      <sz val="10"/>
      <u val="singleAccounting"/>
    </font>
    <font>
      <name val="Arial"/>
      <family val="2"/>
      <color indexed="8"/>
      <sz val="10"/>
    </font>
    <font>
      <name val="Verdana"/>
      <family val="2"/>
      <b val="1"/>
      <color indexed="8"/>
      <sz val="8"/>
    </font>
    <font>
      <name val="Arial"/>
      <family val="2"/>
      <b val="1"/>
      <color indexed="8"/>
      <sz val="8"/>
      <u val="singleAccounting"/>
    </font>
    <font>
      <name val="Symbol"/>
      <charset val="2"/>
      <family val="1"/>
      <color indexed="9"/>
      <sz val="1"/>
    </font>
    <font>
      <name val="Verdana"/>
      <family val="2"/>
      <b val="1"/>
      <color indexed="8"/>
      <sz val="8"/>
      <u val="singleAccounting"/>
    </font>
    <font>
      <name val="Verdana"/>
      <family val="2"/>
      <b val="1"/>
      <color indexed="8"/>
      <sz val="12"/>
    </font>
    <font>
      <name val="Verdana"/>
      <family val="2"/>
      <b val="1"/>
      <color indexed="9"/>
      <sz val="8"/>
    </font>
    <font>
      <name val="Arial"/>
      <family val="2"/>
      <color indexed="8"/>
      <sz val="8"/>
      <vertAlign val="subscript"/>
    </font>
    <font>
      <name val="Arial"/>
      <family val="2"/>
      <color indexed="8"/>
      <sz val="8"/>
      <vertAlign val="superscript"/>
    </font>
    <font>
      <name val="Arial"/>
      <family val="2"/>
      <b val="1"/>
      <color indexed="8"/>
      <sz val="8"/>
    </font>
    <font>
      <name val="Arial"/>
      <family val="2"/>
      <i val="1"/>
      <color indexed="8"/>
      <sz val="8"/>
    </font>
    <font>
      <name val="Arial"/>
      <family val="2"/>
      <color indexed="8"/>
      <sz val="8"/>
    </font>
    <font>
      <name val="Verdana"/>
      <family val="2"/>
      <b val="1"/>
      <color indexed="8"/>
      <sz val="13"/>
    </font>
    <font>
      <name val="arial narrow"/>
      <family val="2"/>
      <b val="1"/>
      <color rgb="FFFF0000"/>
      <sz val="10"/>
    </font>
    <font>
      <name val="Calibri"/>
      <charset val="136"/>
      <family val="2"/>
      <color theme="1"/>
      <sz val="12"/>
      <scheme val="minor"/>
    </font>
    <font>
      <name val="Arial"/>
      <family val="2"/>
      <b val="1"/>
      <color theme="1"/>
      <sz val="8"/>
    </font>
    <font>
      <name val="Arial"/>
      <family val="2"/>
      <b val="1"/>
      <color indexed="9"/>
      <sz val="8"/>
    </font>
    <font>
      <name val="Arial"/>
      <family val="2"/>
      <sz val="8"/>
    </font>
    <font>
      <name val="Arial"/>
      <family val="2"/>
      <i val="1"/>
      <color theme="1"/>
      <sz val="8"/>
    </font>
    <font>
      <name val="Arial"/>
      <family val="2"/>
      <b val="1"/>
      <color theme="0"/>
      <sz val="12"/>
    </font>
    <font>
      <name val="Arial"/>
      <family val="2"/>
      <i val="1"/>
      <sz val="8"/>
    </font>
    <font>
      <name val="Arial"/>
      <family val="2"/>
      <b val="1"/>
      <i val="1"/>
      <color theme="1"/>
      <sz val="8"/>
    </font>
    <font>
      <name val="Calibri"/>
      <family val="2"/>
      <color theme="1"/>
      <sz val="12"/>
      <scheme val="minor"/>
    </font>
    <font>
      <name val="Arial"/>
      <family val="2"/>
      <color indexed="12"/>
      <sz val="10"/>
      <u val="single"/>
    </font>
    <font>
      <name val="Arial"/>
      <family val="2"/>
      <sz val="9"/>
    </font>
    <font>
      <name val="MS Sans Serif"/>
      <family val="2"/>
      <color indexed="8"/>
      <sz val="10"/>
    </font>
    <font>
      <name val="Arial"/>
      <family val="2"/>
      <color indexed="12"/>
      <sz val="7"/>
      <u val="single"/>
    </font>
    <font>
      <name val="‚l‚r ‚o–¾’©"/>
      <charset val="128"/>
      <family val="1"/>
      <color indexed="36"/>
      <sz val="11"/>
      <u val="single"/>
    </font>
    <font>
      <name val="–¾’©"/>
      <charset val="128"/>
      <sz val="14"/>
    </font>
    <font>
      <name val="‚l‚r –¾’©"/>
      <charset val="128"/>
      <sz val="16"/>
    </font>
    <font>
      <name val="¹ÙÅÁÃ¼"/>
      <charset val="129"/>
      <family val="1"/>
      <sz val="12"/>
    </font>
    <font>
      <name val="Times New Roman"/>
      <family val="1"/>
      <sz val="10"/>
    </font>
    <font>
      <name val="Arial"/>
      <family val="2"/>
      <b val="1"/>
      <color indexed="0"/>
      <sz val="9"/>
    </font>
    <font>
      <name val="Arial"/>
      <family val="2"/>
      <color indexed="0"/>
      <sz val="9"/>
    </font>
    <font>
      <name val="Tms Rmn"/>
      <color indexed="8"/>
      <sz val="10"/>
    </font>
    <font>
      <name val="Times New Roman"/>
      <family val="1"/>
      <b val="1"/>
      <i val="1"/>
      <color indexed="9"/>
      <sz val="11"/>
    </font>
    <font>
      <name val="Tms Rmn"/>
      <sz val="12"/>
    </font>
    <font>
      <name val="Times New Roman"/>
      <family val="1"/>
      <sz val="9"/>
    </font>
    <font>
      <name val="±¼¸²Ã¼"/>
      <charset val="129"/>
      <family val="3"/>
      <sz val="12"/>
    </font>
    <font>
      <name val="Book Antiqua"/>
      <family val="1"/>
      <sz val="10"/>
    </font>
    <font>
      <name val="Arial"/>
      <family val="2"/>
      <b val="1"/>
      <sz val="11"/>
    </font>
    <font>
      <name val="Arial Narrow"/>
      <family val="2"/>
      <sz val="9"/>
    </font>
    <font>
      <name val="MS Sans Serif"/>
      <family val="2"/>
      <sz val="10"/>
    </font>
    <font>
      <name val="Courier New"/>
      <family val="3"/>
      <b val="1"/>
      <sz val="8"/>
    </font>
    <font>
      <name val="Tms Rmn"/>
      <b val="1"/>
      <color indexed="12"/>
      <sz val="10"/>
    </font>
    <font>
      <name val="Helv"/>
      <sz val="10"/>
    </font>
    <font>
      <name val="MS Sans Serif"/>
      <family val="2"/>
      <sz val="24"/>
    </font>
    <font>
      <name val="Arial"/>
      <family val="2"/>
      <b val="1"/>
      <sz val="14"/>
    </font>
    <font>
      <name val="MS Serif"/>
      <family val="1"/>
      <sz val="10"/>
    </font>
    <font>
      <name val="Arial"/>
      <family val="2"/>
      <b val="1"/>
      <color indexed="18"/>
      <sz val="10"/>
    </font>
    <font>
      <name val="Times New Roman"/>
      <family val="1"/>
      <sz val="11"/>
    </font>
    <font>
      <name val="MS Serif"/>
      <family val="1"/>
      <color indexed="16"/>
      <sz val="10"/>
    </font>
    <font>
      <name val="MS Sans Serif"/>
      <family val="2"/>
      <b val="1"/>
      <color indexed="10"/>
      <sz val="9.5"/>
    </font>
    <font>
      <name val="Times New Roman"/>
      <family val="1"/>
      <sz val="12"/>
    </font>
    <font>
      <name val="Book Antiqua"/>
      <family val="1"/>
      <color indexed="8"/>
      <sz val="9"/>
    </font>
    <font>
      <name val="‚l‚r ‚o–¾’©"/>
      <charset val="128"/>
      <family val="1"/>
      <color indexed="12"/>
      <sz val="11"/>
      <u val="single"/>
    </font>
    <font>
      <name val="Arial"/>
      <family val="2"/>
      <sz val="12"/>
    </font>
    <font>
      <name val="Times New Roman"/>
      <family val="1"/>
      <b val="1"/>
      <sz val="16"/>
    </font>
    <font>
      <name val="Arial"/>
      <family val="2"/>
      <b val="1"/>
      <sz val="12"/>
    </font>
    <font>
      <name val="Arial Narrow"/>
      <family val="2"/>
      <b val="1"/>
      <color indexed="8"/>
      <sz val="9"/>
    </font>
    <font>
      <name val="Arial"/>
      <family val="2"/>
      <color theme="10"/>
      <sz val="10"/>
      <u val="single"/>
    </font>
    <font>
      <name val="GillSans Light"/>
      <family val="2"/>
      <sz val="10"/>
    </font>
    <font>
      <name val="Arial Narrow"/>
      <family val="2"/>
      <color indexed="10"/>
      <sz val="9"/>
    </font>
    <font>
      <name val="Small Fonts"/>
      <family val="2"/>
      <sz val="7"/>
    </font>
    <font>
      <name val="Arial"/>
      <family val="2"/>
      <i val="1"/>
      <color indexed="14"/>
      <sz val="7"/>
    </font>
    <font>
      <name val="Tms Rmn"/>
      <b val="1"/>
      <color indexed="8"/>
      <sz val="10"/>
    </font>
    <font>
      <name val="MS Sans Serif"/>
      <family val="2"/>
      <b val="1"/>
      <sz val="10"/>
    </font>
    <font>
      <name val="Times New Roman"/>
      <family val="1"/>
      <b val="1"/>
      <sz val="10"/>
    </font>
    <font>
      <name val="Helv"/>
      <sz val="8"/>
    </font>
    <font>
      <name val="Helvetica"/>
      <family val="2"/>
      <sz val="8"/>
    </font>
    <font>
      <name val="Tms Rmn"/>
      <sz val="10"/>
    </font>
    <font>
      <name val="MS Sans Serif"/>
      <family val="2"/>
      <b val="1"/>
      <sz val="12"/>
    </font>
    <font>
      <name val="Verdana"/>
      <family val="2"/>
      <sz val="10"/>
    </font>
    <font>
      <name val="Arial"/>
      <family val="2"/>
      <b val="1"/>
      <color indexed="9"/>
      <sz val="14"/>
    </font>
    <font>
      <name val="Arial"/>
      <family val="2"/>
      <b val="1"/>
      <i val="1"/>
      <color indexed="9"/>
      <sz val="8"/>
    </font>
    <font>
      <name val="Arial"/>
      <family val="2"/>
      <b val="1"/>
      <sz val="8"/>
    </font>
    <font>
      <name val="Arial Narrow"/>
      <family val="2"/>
      <b val="1"/>
      <sz val="10"/>
    </font>
    <font>
      <name val="Times New Roman"/>
      <family val="1"/>
      <b val="1"/>
      <sz val="18"/>
    </font>
    <font>
      <name val="Helv"/>
      <b val="1"/>
      <color indexed="8"/>
      <sz val="8"/>
    </font>
    <font>
      <name val="Arial"/>
      <family val="2"/>
      <b val="1"/>
      <sz val="9"/>
    </font>
    <font>
      <name val="Helvetica-Narrow"/>
      <family val="2"/>
      <sz val="8"/>
    </font>
    <font>
      <name val="Helvetica-Narrow"/>
      <family val="2"/>
      <b val="1"/>
      <sz val="7"/>
    </font>
    <font>
      <name val="Tms Rmn"/>
      <i val="1"/>
      <sz val="8"/>
    </font>
    <font>
      <name val="Times New Roman"/>
      <family val="1"/>
      <b val="1"/>
      <sz val="11"/>
    </font>
    <font>
      <name val="Arial"/>
      <family val="2"/>
      <b val="1"/>
      <color indexed="62"/>
      <sz val="16"/>
    </font>
    <font>
      <name val="Tms Rmn"/>
      <b val="1"/>
      <sz val="8"/>
    </font>
    <font>
      <name val="·s2OcuAe"/>
      <family val="1"/>
      <sz val="12"/>
    </font>
    <font>
      <name val="細明朝体"/>
      <charset val="128"/>
      <family val="3"/>
      <sz val="12"/>
    </font>
    <font>
      <name val="Helv"/>
      <family val="2"/>
      <sz val="10"/>
    </font>
    <font>
      <name val="Tahoma"/>
      <family val="2"/>
      <sz val="7"/>
    </font>
    <font>
      <name val="Tahoma"/>
      <family val="2"/>
      <color theme="1"/>
      <sz val="8"/>
    </font>
    <font>
      <name val="Verdana"/>
      <family val="2"/>
      <color indexed="8"/>
      <sz val="10"/>
    </font>
    <font>
      <name val="Osaka"/>
      <family val="1"/>
      <sz val="12"/>
    </font>
    <font>
      <name val="Calibri"/>
      <family val="2"/>
      <color indexed="8"/>
      <sz val="11"/>
    </font>
    <font>
      <name val="Tahoma"/>
      <family val="2"/>
      <color indexed="8"/>
      <sz val="7"/>
    </font>
    <font>
      <name val="Calibri"/>
      <family val="2"/>
      <color theme="1"/>
      <sz val="8"/>
    </font>
    <font>
      <name val="Calibri"/>
      <family val="2"/>
      <color theme="1"/>
      <sz val="11"/>
      <scheme val="minor"/>
    </font>
    <font>
      <name val="ＭＳ Ｐゴシック"/>
      <charset val="128"/>
      <family val="3"/>
      <color indexed="8"/>
      <sz val="11"/>
    </font>
    <font>
      <name val="ＭＳ Ｐゴシック"/>
      <charset val="128"/>
      <family val="2"/>
      <color indexed="8"/>
      <sz val="11"/>
    </font>
    <font>
      <name val="맑은 고딕"/>
      <charset val="129"/>
      <family val="3"/>
      <color indexed="8"/>
      <sz val="11"/>
    </font>
    <font>
      <name val="맑은 고딕"/>
      <family val="3"/>
      <color indexed="8"/>
      <sz val="11"/>
    </font>
    <font>
      <name val="Calibri"/>
      <family val="2"/>
      <color indexed="9"/>
      <sz val="11"/>
    </font>
    <font>
      <name val="Tahoma"/>
      <family val="2"/>
      <color indexed="9"/>
      <sz val="7"/>
    </font>
    <font>
      <name val="Calibri"/>
      <family val="2"/>
      <color theme="0"/>
      <sz val="8"/>
    </font>
    <font>
      <name val="Calibri"/>
      <family val="2"/>
      <color theme="0"/>
      <sz val="11"/>
      <scheme val="minor"/>
    </font>
    <font>
      <name val="ＭＳ Ｐゴシック"/>
      <charset val="128"/>
      <family val="3"/>
      <color indexed="9"/>
      <sz val="11"/>
    </font>
    <font>
      <name val="ＭＳ Ｐゴシック"/>
      <charset val="128"/>
      <family val="2"/>
      <color indexed="9"/>
      <sz val="11"/>
    </font>
    <font>
      <name val="맑은 고딕"/>
      <charset val="129"/>
      <family val="3"/>
      <color indexed="9"/>
      <sz val="11"/>
    </font>
    <font>
      <name val="맑은 고딕"/>
      <family val="3"/>
      <color indexed="9"/>
      <sz val="11"/>
    </font>
    <font>
      <name val="Tahoma"/>
      <family val="2"/>
      <i val="1"/>
      <color theme="0" tint="-0.3499862666707358"/>
      <sz val="8"/>
    </font>
    <font>
      <name val="Calibri"/>
      <family val="2"/>
      <color indexed="20"/>
      <sz val="11"/>
    </font>
    <font>
      <name val="Tahoma"/>
      <family val="2"/>
      <color indexed="20"/>
      <sz val="7"/>
    </font>
    <font>
      <name val="Calibri"/>
      <family val="2"/>
      <color indexed="29"/>
      <sz val="11"/>
    </font>
    <font>
      <name val="Calibri"/>
      <family val="2"/>
      <color rgb="FF9C0006"/>
      <sz val="8"/>
    </font>
    <font>
      <name val="Calibri"/>
      <family val="2"/>
      <color rgb="FF9C0006"/>
      <sz val="11"/>
      <scheme val="minor"/>
    </font>
    <font>
      <name val="Calibri"/>
      <family val="2"/>
      <b val="1"/>
      <color indexed="52"/>
      <sz val="11"/>
    </font>
    <font>
      <name val="Tahoma"/>
      <family val="2"/>
      <b val="1"/>
      <color indexed="52"/>
      <sz val="7"/>
    </font>
    <font>
      <name val="Calibri"/>
      <family val="2"/>
      <b val="1"/>
      <color rgb="FFFA7D00"/>
      <sz val="8"/>
    </font>
    <font>
      <name val="Tahoma"/>
      <family val="2"/>
      <b val="1"/>
      <color rgb="FFFA7D00"/>
      <sz val="10"/>
    </font>
    <font>
      <name val="Calibri"/>
      <charset val="204"/>
      <family val="2"/>
      <b val="1"/>
      <color indexed="52"/>
      <sz val="11"/>
    </font>
    <font>
      <name val="Calibri"/>
      <family val="2"/>
      <b val="1"/>
      <color rgb="FFFA7D00"/>
      <sz val="11"/>
      <scheme val="minor"/>
    </font>
    <font>
      <name val="Calibri"/>
      <family val="2"/>
      <b val="1"/>
      <color indexed="9"/>
      <sz val="11"/>
    </font>
    <font>
      <name val="Tahoma"/>
      <family val="2"/>
      <b val="1"/>
      <color indexed="9"/>
      <sz val="7"/>
    </font>
    <font>
      <name val="Calibri"/>
      <family val="2"/>
      <b val="1"/>
      <color theme="0"/>
      <sz val="8"/>
    </font>
    <font>
      <name val="Calibri"/>
      <family val="2"/>
      <b val="1"/>
      <color theme="0"/>
      <sz val="11"/>
      <scheme val="minor"/>
    </font>
    <font>
      <name val="Calibri"/>
      <charset val="204"/>
      <family val="2"/>
      <b val="1"/>
      <color indexed="9"/>
      <sz val="11"/>
    </font>
    <font>
      <name val="Arial"/>
      <family val="2"/>
      <i val="1"/>
      <color indexed="55"/>
      <sz val="9"/>
    </font>
    <font>
      <name val="Arial"/>
      <family val="2"/>
      <b val="1"/>
      <color rgb="FF00B050"/>
      <sz val="10"/>
    </font>
    <font>
      <name val="Arial"/>
      <family val="2"/>
      <color rgb="FF00B050"/>
      <sz val="10"/>
    </font>
    <font>
      <name val="Arial"/>
      <family val="2"/>
      <i val="1"/>
      <color rgb="FF0000FF"/>
      <sz val="10"/>
    </font>
    <font>
      <name val="Calibri"/>
      <family val="2"/>
      <color rgb="FF990000"/>
      <sz val="10"/>
      <scheme val="minor"/>
    </font>
    <font>
      <name val="Calibri"/>
      <family val="2"/>
      <color rgb="FF32849B"/>
      <sz val="10"/>
      <scheme val="minor"/>
    </font>
    <font>
      <name val="Calibri"/>
      <family val="2"/>
      <color rgb="FF2D2D7D"/>
      <sz val="26"/>
      <scheme val="minor"/>
    </font>
    <font>
      <name val="Calibri"/>
      <family val="2"/>
      <b val="1"/>
      <color rgb="FF000000"/>
      <sz val="10"/>
      <scheme val="minor"/>
    </font>
    <font>
      <name val="Calibri"/>
      <family val="2"/>
      <color rgb="FF000000"/>
      <sz val="10"/>
      <scheme val="minor"/>
    </font>
    <font>
      <name val="Calibri"/>
      <family val="2"/>
      <b val="1"/>
      <color rgb="FF272727"/>
      <sz val="10"/>
      <scheme val="minor"/>
    </font>
    <font>
      <name val="Calibri"/>
      <family val="2"/>
      <b val="1"/>
      <color rgb="FFFFFFFF"/>
      <sz val="10"/>
      <scheme val="minor"/>
    </font>
    <font>
      <name val="Calibri"/>
      <family val="2"/>
      <color rgb="FFFFFFFF"/>
      <sz val="10"/>
      <scheme val="minor"/>
    </font>
    <font>
      <name val="Calibri"/>
      <family val="2"/>
      <b val="1"/>
      <color rgb="FFFFFFFF"/>
      <sz val="11"/>
      <scheme val="minor"/>
    </font>
    <font>
      <name val="Calibri"/>
      <family val="2"/>
      <color rgb="FFFFFFFF"/>
      <sz val="11"/>
      <scheme val="minor"/>
    </font>
    <font>
      <name val="Calibri"/>
      <family val="2"/>
      <b val="1"/>
      <color rgb="FF8C8C8C"/>
      <sz val="10"/>
      <scheme val="minor"/>
    </font>
    <font>
      <name val="Calibri"/>
      <family val="2"/>
      <color rgb="FF8C8C8C"/>
      <sz val="10"/>
      <scheme val="minor"/>
    </font>
    <font>
      <name val="Calibri"/>
      <family val="2"/>
      <color rgb="FFB1C425"/>
      <sz val="11"/>
      <scheme val="minor"/>
    </font>
    <font>
      <name val="Calibri"/>
      <family val="2"/>
      <color rgb="FF2D2D7D"/>
      <sz val="10"/>
      <scheme val="minor"/>
    </font>
    <font>
      <name val="Calibri"/>
      <family val="2"/>
      <b val="1"/>
      <color rgb="FF2D2D7D"/>
      <sz val="10"/>
      <scheme val="minor"/>
    </font>
    <font>
      <name val="Calibri"/>
      <family val="2"/>
      <b val="1"/>
      <i val="1"/>
      <color rgb="FF2D2D7D"/>
      <sz val="9"/>
      <scheme val="minor"/>
    </font>
    <font>
      <name val="Calibri"/>
      <family val="2"/>
      <i val="1"/>
      <color rgb="FF2D2D7D"/>
      <sz val="9"/>
      <scheme val="minor"/>
    </font>
    <font>
      <name val="Arial Narrow"/>
      <family val="2"/>
      <color theme="1"/>
      <sz val="8"/>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Calibri"/>
      <family val="2"/>
      <color indexed="62"/>
      <sz val="11"/>
    </font>
    <font>
      <name val="Calibri"/>
      <family val="2"/>
      <color indexed="52"/>
      <sz val="11"/>
    </font>
    <font>
      <name val="Calibri"/>
      <family val="2"/>
      <color indexed="60"/>
      <sz val="11"/>
    </font>
    <font>
      <name val="Calibri"/>
      <family val="2"/>
      <b val="1"/>
      <color indexed="63"/>
      <sz val="11"/>
    </font>
    <font>
      <name val="Cambria"/>
      <family val="2"/>
      <b val="1"/>
      <color indexed="56"/>
      <sz val="18"/>
    </font>
    <font>
      <name val="Calibri"/>
      <family val="2"/>
      <b val="1"/>
      <color indexed="8"/>
      <sz val="11"/>
    </font>
    <font>
      <name val="Times New Roman"/>
      <family val="1"/>
      <b val="1"/>
      <color indexed="8"/>
      <sz val="15.95"/>
    </font>
    <font>
      <name val="Calibri"/>
      <family val="2"/>
      <color indexed="10"/>
      <sz val="11"/>
    </font>
    <font>
      <name val="Calibri"/>
      <family val="2"/>
      <b val="1"/>
      <color rgb="FFFFFFFF"/>
      <sz val="10"/>
    </font>
    <font>
      <name val="Calibri"/>
      <family val="2"/>
      <color theme="10"/>
      <sz val="11"/>
      <u val="single"/>
      <scheme val="minor"/>
    </font>
    <font>
      <name val="Calibri"/>
      <family val="2"/>
      <b val="1"/>
      <color rgb="FFFFFFFF"/>
      <sz val="11"/>
    </font>
    <font>
      <name val="Calibri"/>
      <family val="2"/>
      <color rgb="FFFFFFFF"/>
      <sz val="9"/>
    </font>
    <font>
      <name val="Calibri"/>
      <family val="2"/>
      <color rgb="FFFFFFFF"/>
      <sz val="11"/>
    </font>
    <font>
      <name val="Calibri"/>
      <family val="2"/>
      <b val="1"/>
      <color rgb="FF1E9BD7"/>
      <sz val="11"/>
      <scheme val="minor"/>
    </font>
    <font>
      <name val="Calibri"/>
      <family val="2"/>
      <color rgb="FF000000"/>
      <sz val="10"/>
    </font>
    <font>
      <name val="Calibri"/>
      <family val="2"/>
      <i val="1"/>
      <color theme="4" tint="-0.249977111117893"/>
      <sz val="8"/>
    </font>
    <font>
      <name val="Calibri"/>
      <family val="2"/>
      <b val="1"/>
      <color rgb="FF272727"/>
      <sz val="10"/>
    </font>
    <font>
      <name val="Calibri"/>
      <family val="2"/>
      <i val="1"/>
      <color theme="1"/>
      <sz val="10"/>
      <scheme val="minor"/>
    </font>
    <font>
      <name val="Calibri"/>
      <family val="2"/>
      <b val="1"/>
      <i val="1"/>
      <color theme="1"/>
      <sz val="10"/>
      <scheme val="minor"/>
    </font>
    <font>
      <name val="Calibri"/>
      <family val="2"/>
      <b val="1"/>
      <i val="1"/>
      <color rgb="FF2D2D7D"/>
      <sz val="10"/>
    </font>
    <font>
      <name val="Calibri"/>
      <family val="2"/>
      <i val="1"/>
      <color rgb="FF2D2D7D"/>
      <sz val="10"/>
    </font>
    <font>
      <name val="Calibri"/>
      <family val="2"/>
      <color rgb="FF2D2D7D"/>
      <sz val="10"/>
    </font>
    <font>
      <name val="Calibri"/>
      <family val="2"/>
      <b val="1"/>
      <color rgb="FF8C8C8C"/>
      <sz val="10"/>
    </font>
    <font>
      <name val="Calibri"/>
      <family val="2"/>
      <b val="1"/>
      <i val="1"/>
      <color rgb="FF000000"/>
      <sz val="10"/>
      <scheme val="minor"/>
    </font>
    <font>
      <name val="Calibri"/>
      <family val="2"/>
      <i val="1"/>
      <color rgb="FF000000"/>
      <sz val="10"/>
      <scheme val="minor"/>
    </font>
    <font>
      <name val="Calibri"/>
      <family val="2"/>
      <i val="1"/>
      <color rgb="FFFFFFFF"/>
      <sz val="10"/>
    </font>
    <font>
      <name val="Calibri"/>
      <family val="2"/>
      <color rgb="FF8C8C8C"/>
      <sz val="8"/>
    </font>
    <font>
      <name val="Calibri"/>
      <family val="2"/>
      <b val="1"/>
      <i val="1"/>
      <color rgb="FF2D2D7D"/>
      <sz val="9"/>
    </font>
    <font>
      <name val="Calibri"/>
      <family val="2"/>
      <b val="1"/>
      <color rgb="FF272727"/>
      <sz val="12"/>
    </font>
    <font>
      <name val="Calibri"/>
      <family val="2"/>
      <i val="1"/>
      <color rgb="FF2D2D7D"/>
      <sz val="9"/>
    </font>
    <font>
      <name val="Calibri"/>
      <family val="2"/>
      <color rgb="FF272727"/>
      <sz val="10"/>
    </font>
    <font>
      <name val="Calibri"/>
      <family val="2"/>
      <color theme="0"/>
      <sz val="9"/>
    </font>
    <font>
      <name val="Calibri"/>
      <family val="2"/>
      <color rgb="FF8C8C8C"/>
      <sz val="10"/>
    </font>
    <font>
      <name val="Calibri"/>
      <family val="2"/>
      <b val="1"/>
      <color rgb="FF000000"/>
      <sz val="10"/>
    </font>
    <font>
      <name val="Calibri"/>
      <family val="2"/>
      <i val="1"/>
      <color rgb="FF1674A0"/>
      <sz val="8"/>
    </font>
    <font>
      <name val="Calibri"/>
      <family val="2"/>
      <i val="1"/>
      <color rgb="FF8C8C8C"/>
      <sz val="10"/>
    </font>
    <font>
      <name val="Calibri"/>
      <family val="2"/>
      <b val="1"/>
      <i val="1"/>
      <color rgb="FF2E6EBC"/>
      <sz val="9"/>
    </font>
    <font>
      <name val="Calibri"/>
      <family val="2"/>
      <i val="1"/>
      <color rgb="FF2E6EBC"/>
      <sz val="9"/>
    </font>
    <font>
      <name val="Calibri"/>
      <family val="2"/>
      <color rgb="FFFFFFFF"/>
      <sz val="8"/>
      <scheme val="minor"/>
    </font>
    <font>
      <name val="Calibri"/>
      <family val="2"/>
      <color theme="1"/>
      <sz val="9"/>
      <scheme val="minor"/>
    </font>
    <font>
      <name val="Calibri"/>
      <family val="2"/>
      <color rgb="FF000000"/>
      <sz val="11"/>
      <scheme val="minor"/>
    </font>
    <font>
      <name val="Calibri"/>
      <family val="2"/>
      <b val="1"/>
      <color rgb="FFFFFFFF"/>
      <sz val="8"/>
    </font>
    <font>
      <name val="Calibri"/>
      <family val="2"/>
      <color rgb="FF000000"/>
      <sz val="9"/>
    </font>
    <font>
      <name val="Calibri"/>
      <family val="2"/>
      <color theme="1"/>
      <sz val="8"/>
      <scheme val="minor"/>
    </font>
    <font>
      <name val="Calibri"/>
      <family val="2"/>
      <b val="1"/>
      <sz val="11"/>
      <scheme val="minor"/>
    </font>
    <font>
      <name val="Calibri"/>
      <family val="2"/>
      <color theme="4" tint="-0.249977111117893"/>
      <sz val="8"/>
    </font>
    <font>
      <name val="Calibri"/>
      <family val="2"/>
      <color rgb="FFA6A6A6"/>
      <sz val="8"/>
    </font>
    <font>
      <name val="Calibri"/>
      <family val="2"/>
      <color theme="0" tint="-0.3499862666707358"/>
      <sz val="8"/>
    </font>
    <font>
      <name val="Calibri"/>
      <family val="2"/>
      <color theme="1"/>
      <sz val="11"/>
    </font>
    <font>
      <name val="Calibri"/>
      <family val="2"/>
      <b val="1"/>
      <sz val="11"/>
      <u val="single"/>
      <scheme val="minor"/>
    </font>
    <font>
      <name val="Calibri"/>
      <family val="2"/>
      <sz val="11"/>
      <scheme val="minor"/>
    </font>
    <font>
      <name val="Calibri"/>
      <family val="2"/>
      <b val="1"/>
      <color theme="1"/>
      <sz val="11"/>
      <scheme val="minor"/>
    </font>
    <font>
      <name val="Calibri"/>
      <family val="2"/>
      <i val="1"/>
      <color rgb="FF8C8C8C"/>
      <sz val="8"/>
    </font>
    <font>
      <name val="Segoe UI"/>
      <charset val="1"/>
      <color rgb="FF000000"/>
      <sz val="8"/>
    </font>
  </fonts>
  <fills count="115">
    <fill>
      <patternFill/>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
        <bgColor indexed="64"/>
      </patternFill>
    </fill>
    <fill>
      <patternFill patternType="solid">
        <fgColor rgb="FF002060"/>
        <bgColor indexed="64"/>
      </patternFill>
    </fill>
    <fill>
      <patternFill patternType="solid">
        <fgColor theme="3"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1"/>
        <bgColor indexed="64"/>
      </patternFill>
    </fill>
    <fill>
      <patternFill patternType="solid">
        <fgColor rgb="FFCCFFFF"/>
        <bgColor indexed="64"/>
      </patternFill>
    </fill>
    <fill>
      <patternFill patternType="solid">
        <fgColor theme="6" tint="0.5999938962981048"/>
        <bgColor indexed="64"/>
      </patternFill>
    </fill>
    <fill>
      <patternFill patternType="solid">
        <fgColor theme="8" tint="0.3999755851924192"/>
        <bgColor indexed="64"/>
      </patternFill>
    </fill>
    <fill>
      <patternFill patternType="solid">
        <fgColor indexed="60"/>
        <bgColor indexed="64"/>
      </patternFill>
    </fill>
    <fill>
      <patternFill patternType="solid">
        <fgColor indexed="62"/>
        <bgColor indexed="64"/>
      </patternFill>
    </fill>
    <fill>
      <patternFill patternType="solid">
        <fgColor indexed="63"/>
        <bgColor indexed="64"/>
      </patternFill>
    </fill>
    <fill>
      <patternFill patternType="solid">
        <fgColor indexed="56"/>
        <bgColor indexed="64"/>
      </patternFill>
    </fill>
    <fill>
      <patternFill patternType="solid">
        <fgColor rgb="FFC0C0C0"/>
        <bgColor indexed="64"/>
      </patternFill>
    </fill>
    <fill>
      <patternFill patternType="solid">
        <fgColor indexed="8"/>
        <bgColor indexed="64"/>
      </patternFill>
    </fill>
    <fill>
      <patternFill patternType="solid">
        <fgColor indexed="49"/>
        <bgColor indexed="64"/>
      </patternFill>
    </fill>
    <fill>
      <patternFill patternType="solid">
        <fgColor indexed="13"/>
        <bgColor indexed="64"/>
      </patternFill>
    </fill>
    <fill>
      <patternFill patternType="lightGray">
        <fgColor indexed="12"/>
      </patternFill>
    </fill>
    <fill>
      <patternFill patternType="solid">
        <fgColor indexed="22"/>
        <bgColor indexed="64"/>
      </patternFill>
    </fill>
    <fill>
      <patternFill patternType="solid">
        <fgColor indexed="13"/>
      </patternFill>
    </fill>
    <fill>
      <patternFill patternType="solid">
        <fgColor indexed="44"/>
        <bgColor indexed="64"/>
      </patternFill>
    </fill>
    <fill>
      <patternFill patternType="solid">
        <fgColor indexed="26"/>
        <bgColor indexed="64"/>
      </patternFill>
    </fill>
    <fill>
      <patternFill patternType="mediumGray">
        <fgColor indexed="22"/>
      </patternFill>
    </fill>
    <fill>
      <patternFill patternType="gray0625">
        <fgColor indexed="13"/>
      </patternFill>
    </fill>
    <fill>
      <patternFill patternType="gray125">
        <fgColor indexed="8"/>
      </patternFill>
    </fill>
    <fill>
      <patternFill patternType="solid">
        <fgColor rgb="FFFFC7CE"/>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FFC000"/>
        <bgColor indexed="64"/>
      </patternFill>
    </fill>
    <fill>
      <patternFill patternType="solid">
        <fgColor rgb="FFFF0000"/>
        <bgColor indexed="64"/>
      </patternFill>
    </fill>
    <fill>
      <patternFill patternType="solid">
        <fgColor indexed="55"/>
        <bgColor indexed="64"/>
      </patternFill>
    </fill>
    <fill>
      <patternFill patternType="solid">
        <fgColor indexed="46"/>
      </patternFill>
    </fill>
    <fill>
      <patternFill patternType="solid">
        <fgColor indexed="9"/>
      </patternFill>
    </fill>
    <fill>
      <patternFill patternType="solid">
        <fgColor indexed="45"/>
      </patternFill>
    </fill>
    <fill>
      <patternFill patternType="solid">
        <fgColor indexed="47"/>
      </patternFill>
    </fill>
    <fill>
      <patternFill patternType="solid">
        <fgColor indexed="60"/>
      </patternFill>
    </fill>
    <fill>
      <patternFill patternType="solid">
        <fgColor indexed="44"/>
      </patternFill>
    </fill>
    <fill>
      <patternFill patternType="solid">
        <fgColor indexed="26"/>
      </patternFill>
    </fill>
    <fill>
      <patternFill patternType="solid">
        <fgColor indexed="27"/>
      </patternFill>
    </fill>
    <fill>
      <patternFill patternType="solid">
        <fgColor indexed="43"/>
      </patternFill>
    </fill>
    <fill>
      <patternFill patternType="solid">
        <fgColor indexed="29"/>
      </patternFill>
    </fill>
    <fill>
      <patternFill patternType="solid">
        <fgColor indexed="31"/>
      </patternFill>
    </fill>
    <fill>
      <patternFill patternType="solid">
        <fgColor indexed="42"/>
      </patternFill>
    </fill>
    <fill>
      <patternFill patternType="solid">
        <fgColor indexed="22"/>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28"/>
      </patternFill>
    </fill>
    <fill>
      <patternFill patternType="solid">
        <fgColor indexed="10"/>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7"/>
      </patternFill>
    </fill>
    <fill>
      <patternFill patternType="solid">
        <fgColor indexed="54"/>
      </patternFill>
    </fill>
    <fill>
      <patternFill patternType="solid">
        <fgColor indexed="26"/>
        <bgColor indexed="26"/>
      </patternFill>
    </fill>
    <fill>
      <patternFill patternType="solid">
        <fgColor indexed="47"/>
        <bgColor indexed="47"/>
      </patternFill>
    </fill>
    <fill>
      <patternFill patternType="solid">
        <fgColor indexed="53"/>
      </patternFill>
    </fill>
    <fill>
      <patternFill patternType="solid">
        <fgColor indexed="14"/>
      </patternFill>
    </fill>
    <fill>
      <patternFill patternType="solid">
        <fgColor indexed="55"/>
      </patternFill>
    </fill>
    <fill>
      <patternFill patternType="solid">
        <fgColor theme="0" tint="-0.249977111117893"/>
        <bgColor indexed="64"/>
      </patternFill>
    </fill>
    <fill>
      <patternFill patternType="solid">
        <fgColor rgb="FFF0F0F0"/>
        <bgColor indexed="64"/>
      </patternFill>
    </fill>
    <fill>
      <patternFill patternType="solid">
        <fgColor rgb="FFB1C425"/>
        <bgColor indexed="64"/>
      </patternFill>
    </fill>
    <fill>
      <patternFill patternType="solid">
        <fgColor rgb="FFADADAD"/>
        <bgColor indexed="64"/>
      </patternFill>
    </fill>
    <fill>
      <patternFill patternType="solid">
        <fgColor rgb="FFFFFFFF"/>
        <bgColor indexed="64"/>
      </patternFill>
    </fill>
    <fill>
      <patternFill patternType="solid">
        <fgColor theme="3" tint="0.5999938962981048"/>
        <bgColor indexed="64"/>
      </patternFill>
    </fill>
    <fill>
      <patternFill patternType="solid">
        <fgColor theme="0" tint="-0.499984740745262"/>
        <bgColor indexed="64"/>
      </patternFill>
    </fill>
    <fill>
      <patternFill patternType="solid">
        <fgColor indexed="62"/>
      </patternFill>
    </fill>
    <fill>
      <patternFill patternType="solid">
        <fgColor rgb="FF1E9BD7"/>
        <bgColor indexed="64"/>
      </patternFill>
    </fill>
    <fill>
      <patternFill patternType="solid">
        <fgColor rgb="FFD9D9D9"/>
        <bgColor indexed="64"/>
      </patternFill>
    </fill>
    <fill>
      <patternFill patternType="solid">
        <fgColor rgb="FFD8D8D8"/>
        <bgColor indexed="64"/>
      </patternFill>
    </fill>
    <fill>
      <patternFill patternType="solid">
        <fgColor theme="0" tint="-0.0499893185216834"/>
        <bgColor indexed="64"/>
      </patternFill>
    </fill>
    <fill>
      <patternFill patternType="solid">
        <fgColor rgb="FFB9F7EF"/>
        <bgColor indexed="64"/>
      </patternFill>
    </fill>
    <fill>
      <patternFill patternType="solid">
        <fgColor rgb="FFD6D1EB"/>
        <bgColor indexed="64"/>
      </patternFill>
    </fill>
    <fill>
      <patternFill patternType="solid">
        <fgColor rgb="FF73C5EC"/>
        <bgColor indexed="64"/>
      </patternFill>
    </fill>
    <fill>
      <patternFill patternType="solid">
        <fgColor rgb="FFFFD87B"/>
        <bgColor indexed="64"/>
      </patternFill>
    </fill>
    <fill>
      <patternFill patternType="solid">
        <fgColor rgb="FF998DCD"/>
        <bgColor indexed="64"/>
      </patternFill>
    </fill>
    <fill>
      <patternFill patternType="solid">
        <fgColor rgb="FF1CD8C0"/>
        <bgColor indexed="64"/>
      </patternFill>
    </fill>
    <fill>
      <patternFill patternType="solid">
        <fgColor theme="9" tint="0.3999755851924192"/>
        <bgColor indexed="64"/>
      </patternFill>
    </fill>
  </fills>
  <borders count="1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diagonal/>
    </border>
    <border>
      <left style="thin">
        <color theme="0" tint="-0.249946592608417"/>
      </left>
      <right style="thin">
        <color theme="0" tint="-0.249946592608417"/>
      </right>
      <top style="thin">
        <color theme="0" tint="-0.249946592608417"/>
      </top>
      <bottom style="thin">
        <color theme="0" tint="-0.249946592608417"/>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diagonalDown="1">
      <left/>
      <right/>
      <top/>
      <bottom/>
      <diagonal/>
    </border>
    <border>
      <left/>
      <right/>
      <top/>
      <bottom style="thick">
        <color indexed="64"/>
      </bottom>
      <diagonal/>
    </border>
    <border>
      <left/>
      <right style="thin">
        <color indexed="8"/>
      </right>
      <top/>
      <bottom style="thin">
        <color indexed="8"/>
      </bottom>
      <diagonal/>
    </border>
    <border>
      <left/>
      <right/>
      <top/>
      <bottom style="double">
        <color indexed="64"/>
      </bottom>
      <diagonal/>
    </border>
    <border>
      <left style="thin">
        <color indexed="8"/>
      </left>
      <right style="thin">
        <color indexed="8"/>
      </right>
      <top style="thin">
        <color indexed="8"/>
      </top>
      <bottom style="thin">
        <color indexed="8"/>
      </bottom>
      <diagonal/>
    </border>
    <border>
      <left/>
      <right/>
      <top style="medium">
        <color indexed="64"/>
      </top>
      <bottom style="thin">
        <color indexed="64"/>
      </bottom>
      <diagonal/>
    </border>
    <border>
      <left style="thin">
        <color indexed="22"/>
      </left>
      <right style="thin">
        <color indexed="61"/>
      </right>
      <top style="thin">
        <color indexed="22"/>
      </top>
      <bottom style="thin">
        <color indexed="6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FF0000"/>
      </left>
      <right/>
      <top/>
      <bottom/>
      <diagonal/>
    </border>
    <border>
      <left style="thin">
        <color indexed="23"/>
      </left>
      <right style="thin">
        <color indexed="23"/>
      </right>
      <top style="thin">
        <color indexed="23"/>
      </top>
      <bottom style="thin">
        <color indexed="23"/>
      </bottom>
      <diagonal/>
    </border>
    <border>
      <left/>
      <right style="thin">
        <color rgb="FFFF0000"/>
      </right>
      <top/>
      <bottom/>
      <diagonal/>
    </border>
    <border>
      <left style="double">
        <color indexed="63"/>
      </left>
      <right style="double">
        <color indexed="63"/>
      </right>
      <top style="double">
        <color indexed="63"/>
      </top>
      <bottom style="double">
        <color indexed="63"/>
      </bottom>
      <diagonal/>
    </border>
    <border>
      <left/>
      <right/>
      <top/>
      <bottom style="thin">
        <color theme="0"/>
      </bottom>
      <diagonal/>
    </border>
    <border>
      <left/>
      <right/>
      <top/>
      <bottom style="mediumDashed">
        <color indexed="64"/>
      </bottom>
      <diagonal/>
    </border>
    <border>
      <left/>
      <right/>
      <top style="thick">
        <color rgb="FFFFFFFF"/>
      </top>
      <bottom/>
      <diagonal/>
    </border>
    <border>
      <left style="thick">
        <color rgb="FFFFFFFF"/>
      </left>
      <right/>
      <top style="thick">
        <color rgb="FFFFFFFF"/>
      </top>
      <bottom style="thick">
        <color rgb="FFFFFFFF"/>
      </bottom>
      <diagonal/>
    </border>
    <border>
      <left/>
      <right/>
      <top style="thick">
        <color rgb="FFFFFFFF"/>
      </top>
      <bottom style="thick">
        <color rgb="FFFFFFFF"/>
      </bottom>
      <diagonal/>
    </border>
    <border>
      <left/>
      <right style="thin">
        <color rgb="FFADADAD"/>
      </right>
      <top/>
      <bottom/>
      <diagonal/>
    </border>
    <border>
      <left style="thin">
        <color rgb="FFADADAD"/>
      </left>
      <right style="thin">
        <color rgb="FFADADAD"/>
      </right>
      <top/>
      <bottom/>
      <diagonal/>
    </border>
    <border>
      <left/>
      <right style="thin">
        <color rgb="FFADADAD"/>
      </right>
      <top style="thick">
        <color rgb="FFFFFFFF"/>
      </top>
      <bottom/>
      <diagonal/>
    </border>
    <border>
      <left/>
      <right style="thin">
        <color rgb="FFADADAD"/>
      </right>
      <top style="thick">
        <color rgb="FFFFFFFF"/>
      </top>
      <bottom style="thick">
        <color rgb="FFFFFFFF"/>
      </bottom>
      <diagonal/>
    </border>
    <border>
      <left style="thin">
        <color rgb="FFADADAD"/>
      </left>
      <right style="thin">
        <color rgb="FFADADAD"/>
      </right>
      <top style="thick">
        <color rgb="FFFFFFFF"/>
      </top>
      <bottom style="thick">
        <color rgb="FFFFFFFF"/>
      </bottom>
      <diagonal/>
    </border>
    <border>
      <left style="thin">
        <color rgb="FFADADAD"/>
      </left>
      <right/>
      <top style="thick">
        <color rgb="FFFFFFFF"/>
      </top>
      <bottom style="thick">
        <color rgb="FFFFFFFF"/>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ADADAD"/>
      </left>
      <right/>
      <top/>
      <bottom/>
      <diagonal/>
    </border>
    <border>
      <left style="thin">
        <color rgb="FFADADAD"/>
      </left>
      <right style="thin">
        <color rgb="FFADADAD"/>
      </right>
      <top style="thick">
        <color rgb="FFFFFFFF"/>
      </top>
      <bottom/>
      <diagonal/>
    </border>
    <border>
      <left style="thin">
        <color rgb="FFADADAD"/>
      </left>
      <right/>
      <top style="thick">
        <color rgb="FFFFFFFF"/>
      </top>
      <bottom/>
      <diagonal/>
    </border>
    <border>
      <left/>
      <right/>
      <top/>
      <bottom style="thick">
        <color rgb="FFFFFFFF"/>
      </bottom>
      <diagonal/>
    </border>
    <border>
      <left style="thick">
        <color rgb="FFFFFFFF"/>
      </left>
      <right/>
      <top/>
      <bottom/>
      <diagonal/>
    </border>
    <border>
      <left style="thin">
        <color theme="4" tint="0.3999755851924192"/>
      </left>
      <right style="thin">
        <color theme="4" tint="0.3999755851924192"/>
      </right>
      <top/>
      <bottom/>
      <diagonal/>
    </border>
    <border>
      <left/>
      <right style="thin">
        <color theme="4"/>
      </right>
      <top/>
      <bottom/>
      <diagonal/>
    </border>
    <border>
      <left style="thin">
        <color rgb="FFADADAD"/>
      </left>
      <right style="thin">
        <color theme="4"/>
      </right>
      <top/>
      <bottom/>
      <diagonal/>
    </border>
    <border>
      <left/>
      <right/>
      <top style="thin">
        <color rgb="FF000000"/>
      </top>
      <bottom/>
      <diagonal/>
    </border>
    <border>
      <left/>
      <right/>
      <top/>
      <bottom style="thin">
        <color auto="1"/>
      </bottom>
      <diagonal/>
    </border>
  </borders>
  <cellStyleXfs count="2198">
    <xf numFmtId="0" fontId="1" fillId="0" borderId="0"/>
    <xf numFmtId="43" fontId="1" fillId="0" borderId="0"/>
    <xf numFmtId="9" fontId="1" fillId="0" borderId="0"/>
    <xf numFmtId="0" fontId="4" fillId="0" borderId="0"/>
    <xf numFmtId="0" fontId="4" fillId="0" borderId="0"/>
    <xf numFmtId="191" fontId="4" fillId="0" borderId="0"/>
    <xf numFmtId="0" fontId="12" fillId="0" borderId="0"/>
    <xf numFmtId="0" fontId="13" fillId="0" borderId="0"/>
    <xf numFmtId="0" fontId="55" fillId="0" borderId="0"/>
    <xf numFmtId="0" fontId="56" fillId="0" borderId="0"/>
    <xf numFmtId="0" fontId="56" fillId="0" borderId="0"/>
    <xf numFmtId="0" fontId="56" fillId="0" borderId="0"/>
    <xf numFmtId="0" fontId="56" fillId="0" borderId="0"/>
    <xf numFmtId="0" fontId="57" fillId="13" borderId="0"/>
    <xf numFmtId="0" fontId="58" fillId="0" borderId="0"/>
    <xf numFmtId="0" fontId="59" fillId="14" borderId="0"/>
    <xf numFmtId="0" fontId="17" fillId="15" borderId="0"/>
    <xf numFmtId="0" fontId="60" fillId="0" borderId="0"/>
    <xf numFmtId="0" fontId="61" fillId="16" borderId="0"/>
    <xf numFmtId="0" fontId="62" fillId="0" borderId="0"/>
    <xf numFmtId="0" fontId="63" fillId="0" borderId="0"/>
    <xf numFmtId="0" fontId="64" fillId="0" borderId="0"/>
    <xf numFmtId="0" fontId="65" fillId="0" borderId="0"/>
    <xf numFmtId="0" fontId="66" fillId="0" borderId="0"/>
    <xf numFmtId="0" fontId="67" fillId="0" borderId="0"/>
    <xf numFmtId="0" fontId="64" fillId="0" borderId="0" applyAlignment="1">
      <alignment wrapText="1"/>
    </xf>
    <xf numFmtId="43" fontId="69" fillId="0" borderId="0"/>
    <xf numFmtId="0" fontId="69" fillId="0" borderId="0" applyAlignment="1">
      <alignment vertical="center"/>
    </xf>
    <xf numFmtId="0" fontId="1" fillId="0" borderId="0"/>
    <xf numFmtId="0" fontId="4" fillId="0" borderId="0"/>
    <xf numFmtId="0" fontId="4" fillId="0" borderId="0"/>
    <xf numFmtId="0" fontId="1" fillId="0" borderId="0"/>
    <xf numFmtId="0" fontId="4" fillId="0" borderId="0"/>
    <xf numFmtId="9" fontId="69" fillId="0" borderId="0"/>
    <xf numFmtId="9" fontId="4" fillId="0" borderId="0"/>
    <xf numFmtId="0" fontId="77" fillId="0" borderId="0"/>
    <xf numFmtId="43" fontId="77" fillId="0" borderId="0"/>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3" fontId="79" fillId="0" borderId="0"/>
    <xf numFmtId="0" fontId="78" fillId="0" borderId="0" applyAlignment="1" applyProtection="1">
      <alignment vertical="top"/>
      <protection locked="0" hidden="0"/>
    </xf>
    <xf numFmtId="3" fontId="79" fillId="0" borderId="0"/>
    <xf numFmtId="3" fontId="79" fillId="0" borderId="0"/>
    <xf numFmtId="0" fontId="78" fillId="0" borderId="0" applyAlignment="1" applyProtection="1">
      <alignment vertical="top"/>
      <protection locked="0" hidden="0"/>
    </xf>
    <xf numFmtId="0" fontId="80" fillId="0" borderId="0"/>
    <xf numFmtId="0" fontId="78" fillId="0" borderId="0" applyAlignment="1" applyProtection="1">
      <alignment vertical="top"/>
      <protection locked="0" hidden="0"/>
    </xf>
    <xf numFmtId="0" fontId="4" fillId="0" borderId="0" applyAlignment="1">
      <alignment horizontal="left" wrapText="1"/>
    </xf>
    <xf numFmtId="0" fontId="81" fillId="0" borderId="0" applyAlignment="1" applyProtection="1">
      <alignment vertical="top"/>
      <protection locked="0" hidden="0"/>
    </xf>
    <xf numFmtId="0" fontId="4" fillId="0" borderId="0"/>
    <xf numFmtId="0" fontId="4" fillId="0" borderId="0" applyAlignment="1">
      <alignment horizontal="left" wrapText="1"/>
    </xf>
    <xf numFmtId="3" fontId="79" fillId="0" borderId="0"/>
    <xf numFmtId="0" fontId="80" fillId="0" borderId="0"/>
    <xf numFmtId="0" fontId="80" fillId="0" borderId="0"/>
    <xf numFmtId="0" fontId="78" fillId="0" borderId="0" applyAlignment="1" applyProtection="1">
      <alignment vertical="top"/>
      <protection locked="0" hidden="0"/>
    </xf>
    <xf numFmtId="3" fontId="79" fillId="0" borderId="0"/>
    <xf numFmtId="0" fontId="82" fillId="0" borderId="0" applyAlignment="1" applyProtection="1">
      <alignment vertical="top"/>
      <protection locked="0" hidden="0"/>
    </xf>
    <xf numFmtId="0" fontId="83" fillId="0" borderId="0"/>
    <xf numFmtId="0" fontId="84" fillId="0" borderId="0"/>
    <xf numFmtId="9" fontId="85" fillId="0" borderId="0"/>
    <xf numFmtId="192" fontId="4" fillId="0" borderId="0"/>
    <xf numFmtId="193" fontId="4" fillId="0" borderId="0"/>
    <xf numFmtId="0" fontId="4" fillId="0" borderId="0"/>
    <xf numFmtId="0" fontId="86" fillId="0" borderId="15" applyAlignment="1">
      <alignment horizontal="center" vertical="center"/>
    </xf>
    <xf numFmtId="194" fontId="4" fillId="0" borderId="0"/>
    <xf numFmtId="195" fontId="4" fillId="0" borderId="0"/>
    <xf numFmtId="0" fontId="87" fillId="0" borderId="28" applyAlignment="1">
      <alignment horizontal="left"/>
    </xf>
    <xf numFmtId="0" fontId="88" fillId="0" borderId="28" applyAlignment="1">
      <alignment horizontal="left" wrapText="1"/>
    </xf>
    <xf numFmtId="0" fontId="89" fillId="0" borderId="0"/>
    <xf numFmtId="0" fontId="90" fillId="18" borderId="0"/>
    <xf numFmtId="0" fontId="91" fillId="0" borderId="0"/>
    <xf numFmtId="196" fontId="92" fillId="0" borderId="29"/>
    <xf numFmtId="41" fontId="4" fillId="0" borderId="0"/>
    <xf numFmtId="0" fontId="93" fillId="0" borderId="0"/>
    <xf numFmtId="41" fontId="4" fillId="0" borderId="0"/>
    <xf numFmtId="197" fontId="86" fillId="0" borderId="0"/>
    <xf numFmtId="0" fontId="4" fillId="19" borderId="9"/>
    <xf numFmtId="0" fontId="86" fillId="0" borderId="0"/>
    <xf numFmtId="0" fontId="88" fillId="0" borderId="0" applyAlignment="1">
      <alignment horizontal="right" vertical="center"/>
    </xf>
    <xf numFmtId="0" fontId="94" fillId="0" borderId="0"/>
    <xf numFmtId="0" fontId="94" fillId="0" borderId="0"/>
    <xf numFmtId="0" fontId="94" fillId="0" borderId="0"/>
    <xf numFmtId="0" fontId="94" fillId="0" borderId="0"/>
    <xf numFmtId="0" fontId="95" fillId="0" borderId="0" applyAlignment="1" applyProtection="1">
      <alignment horizontal="center"/>
      <protection locked="0" hidden="0"/>
    </xf>
    <xf numFmtId="198" fontId="86" fillId="0" borderId="0"/>
    <xf numFmtId="199" fontId="86" fillId="0" borderId="0"/>
    <xf numFmtId="0" fontId="87" fillId="0" borderId="0" applyAlignment="1">
      <alignment horizontal="center" vertical="center" wrapText="1"/>
    </xf>
    <xf numFmtId="0" fontId="96" fillId="0" borderId="0"/>
    <xf numFmtId="0" fontId="97" fillId="0" borderId="0" applyAlignment="1" applyProtection="1">
      <alignment horizontal="center" wrapText="1"/>
      <protection locked="1" hidden="1"/>
    </xf>
    <xf numFmtId="0" fontId="94" fillId="0" borderId="0"/>
    <xf numFmtId="0" fontId="94" fillId="0" borderId="0"/>
    <xf numFmtId="0" fontId="9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85" fontId="98" fillId="0" borderId="0"/>
    <xf numFmtId="43" fontId="99" fillId="20" borderId="0"/>
    <xf numFmtId="43" fontId="4" fillId="0" borderId="0"/>
    <xf numFmtId="200" fontId="91" fillId="0" borderId="30"/>
    <xf numFmtId="3" fontId="4" fillId="0" borderId="0"/>
    <xf numFmtId="0" fontId="100" fillId="0" borderId="0"/>
    <xf numFmtId="3" fontId="4" fillId="0" borderId="0"/>
    <xf numFmtId="0" fontId="101" fillId="21" borderId="0" applyAlignment="1">
      <alignment horizontal="center" vertical="center" wrapText="1"/>
    </xf>
    <xf numFmtId="0" fontId="102" fillId="0" borderId="0" applyProtection="1">
      <protection locked="0" hidden="0"/>
    </xf>
    <xf numFmtId="0" fontId="103" fillId="0" borderId="0" applyAlignment="1">
      <alignment horizontal="left"/>
    </xf>
    <xf numFmtId="0" fontId="97" fillId="0" borderId="0" applyAlignment="1" applyProtection="1">
      <alignment horizontal="right"/>
      <protection locked="0" hidden="0"/>
    </xf>
    <xf numFmtId="0" fontId="100" fillId="0" borderId="0"/>
    <xf numFmtId="201" fontId="86" fillId="0" borderId="0"/>
    <xf numFmtId="202" fontId="99" fillId="20" borderId="0" applyProtection="1">
      <protection locked="0" hidden="0"/>
    </xf>
    <xf numFmtId="44" fontId="99" fillId="20" borderId="0" applyProtection="1">
      <protection locked="0" hidden="0"/>
    </xf>
    <xf numFmtId="44" fontId="4" fillId="0" borderId="0"/>
    <xf numFmtId="44" fontId="4" fillId="0" borderId="0"/>
    <xf numFmtId="5" fontId="4" fillId="0" borderId="0"/>
    <xf numFmtId="203" fontId="92" fillId="0" borderId="0"/>
    <xf numFmtId="0" fontId="104" fillId="0" borderId="0" applyAlignment="1">
      <alignment vertical="center"/>
    </xf>
    <xf numFmtId="14" fontId="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04" fontId="86" fillId="0" borderId="31"/>
    <xf numFmtId="205" fontId="105" fillId="0" borderId="0"/>
    <xf numFmtId="180" fontId="86" fillId="0" borderId="0"/>
    <xf numFmtId="180" fontId="86" fillId="0" borderId="19"/>
    <xf numFmtId="0" fontId="86" fillId="22" borderId="0"/>
    <xf numFmtId="0" fontId="106" fillId="0" borderId="0" applyAlignment="1">
      <alignment horizontal="left"/>
    </xf>
    <xf numFmtId="9" fontId="107" fillId="0" borderId="9" applyProtection="1">
      <protection locked="0" hidden="0"/>
    </xf>
    <xf numFmtId="206" fontId="86" fillId="0" borderId="31"/>
    <xf numFmtId="207" fontId="86" fillId="0" borderId="0"/>
    <xf numFmtId="208" fontId="86" fillId="0" borderId="0"/>
    <xf numFmtId="209" fontId="86" fillId="0" borderId="0"/>
    <xf numFmtId="210" fontId="86" fillId="0" borderId="0"/>
    <xf numFmtId="211" fontId="86" fillId="0" borderId="0"/>
    <xf numFmtId="212" fontId="108" fillId="0" borderId="31"/>
    <xf numFmtId="175" fontId="92" fillId="0" borderId="0"/>
    <xf numFmtId="213" fontId="86" fillId="0" borderId="0"/>
    <xf numFmtId="214" fontId="86" fillId="0" borderId="0"/>
    <xf numFmtId="215" fontId="86" fillId="0" borderId="0"/>
    <xf numFmtId="216" fontId="109" fillId="0" borderId="0" applyAlignment="1" applyProtection="1">
      <alignment horizontal="right"/>
      <protection locked="0" hidden="0"/>
    </xf>
    <xf numFmtId="0" fontId="94" fillId="0" borderId="0"/>
    <xf numFmtId="11" fontId="97" fillId="23" borderId="9"/>
    <xf numFmtId="2" fontId="4" fillId="0" borderId="0"/>
    <xf numFmtId="0" fontId="110" fillId="0" borderId="0" applyAlignment="1" applyProtection="1">
      <alignment vertical="top"/>
      <protection locked="0" hidden="0"/>
    </xf>
    <xf numFmtId="0" fontId="94" fillId="0" borderId="0"/>
    <xf numFmtId="0" fontId="111" fillId="0" borderId="0" applyAlignment="1">
      <alignment horizontal="left"/>
    </xf>
    <xf numFmtId="38" fontId="72" fillId="22" borderId="0"/>
    <xf numFmtId="0" fontId="112" fillId="24" borderId="0" applyAlignment="1">
      <alignment horizontal="left"/>
    </xf>
    <xf numFmtId="0" fontId="113" fillId="0" borderId="27" applyAlignment="1">
      <alignment horizontal="left" vertical="center"/>
    </xf>
    <xf numFmtId="0" fontId="113" fillId="0" borderId="15" applyAlignment="1">
      <alignment horizontal="left" vertical="center"/>
    </xf>
    <xf numFmtId="0" fontId="114" fillId="0" borderId="0" applyProtection="1">
      <protection locked="0" hidden="0"/>
    </xf>
    <xf numFmtId="0" fontId="95" fillId="0" borderId="0" applyProtection="1">
      <protection locked="0" hidden="0"/>
    </xf>
    <xf numFmtId="0" fontId="95" fillId="0" borderId="16" applyProtection="1">
      <protection locked="0" hidden="0"/>
    </xf>
    <xf numFmtId="0" fontId="4" fillId="0" borderId="0" applyAlignment="1">
      <alignment wrapText="1"/>
    </xf>
    <xf numFmtId="0" fontId="4" fillId="0" borderId="0" applyAlignment="1">
      <alignment horizontal="justify" vertical="top" wrapText="1"/>
    </xf>
    <xf numFmtId="0" fontId="115" fillId="0" borderId="0" applyAlignment="1" applyProtection="1">
      <alignment vertical="top"/>
      <protection locked="0" hidden="0"/>
    </xf>
    <xf numFmtId="10" fontId="72" fillId="25" borderId="9"/>
    <xf numFmtId="0" fontId="97" fillId="0" borderId="0" applyAlignment="1" applyProtection="1">
      <alignment horizontal="right"/>
      <protection locked="0" hidden="0"/>
    </xf>
    <xf numFmtId="0" fontId="97" fillId="0" borderId="0" applyAlignment="1" applyProtection="1">
      <alignment horizontal="right"/>
      <protection locked="0" hidden="0"/>
    </xf>
    <xf numFmtId="0" fontId="9" fillId="20" borderId="32" applyAlignment="1">
      <alignment horizontal="left" vertical="center" wrapText="1"/>
    </xf>
    <xf numFmtId="0" fontId="116" fillId="0" borderId="0" applyAlignment="1">
      <alignment horizontal="left" vertical="center"/>
    </xf>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17" fontId="40" fillId="0" borderId="0"/>
    <xf numFmtId="38" fontId="40" fillId="0" borderId="0"/>
    <xf numFmtId="38" fontId="40" fillId="0" borderId="0"/>
    <xf numFmtId="218" fontId="4" fillId="0" borderId="0"/>
    <xf numFmtId="0" fontId="117" fillId="0" borderId="0"/>
    <xf numFmtId="37" fontId="118" fillId="0" borderId="0"/>
    <xf numFmtId="0" fontId="86" fillId="0" borderId="0"/>
    <xf numFmtId="0" fontId="1" fillId="0" borderId="0"/>
    <xf numFmtId="219" fontId="4" fillId="0" borderId="0" applyAlignment="1">
      <alignment horizontal="center"/>
    </xf>
    <xf numFmtId="0" fontId="92" fillId="0" borderId="0" applyAlignment="1">
      <alignment horizontal="left"/>
    </xf>
    <xf numFmtId="37" fontId="86" fillId="0" borderId="0" applyAlignment="1">
      <alignment vertical="top"/>
    </xf>
    <xf numFmtId="175" fontId="86" fillId="0" borderId="0" applyAlignment="1" applyProtection="1">
      <alignment vertical="top"/>
      <protection locked="0" hidden="0"/>
    </xf>
    <xf numFmtId="39" fontId="86" fillId="0" borderId="0" applyAlignment="1">
      <alignment vertical="top"/>
    </xf>
    <xf numFmtId="3" fontId="79" fillId="0" borderId="10"/>
    <xf numFmtId="37" fontId="119" fillId="0" borderId="0" applyAlignment="1">
      <alignment horizontal="center"/>
    </xf>
    <xf numFmtId="220" fontId="79" fillId="0" borderId="0"/>
    <xf numFmtId="172" fontId="86" fillId="0" borderId="0"/>
    <xf numFmtId="221" fontId="99" fillId="20" borderId="0"/>
    <xf numFmtId="222" fontId="120" fillId="0" borderId="0"/>
    <xf numFmtId="10" fontId="4" fillId="0" borderId="0"/>
    <xf numFmtId="9" fontId="86" fillId="0" borderId="0"/>
    <xf numFmtId="10" fontId="86" fillId="0" borderId="0"/>
    <xf numFmtId="0" fontId="97" fillId="0" borderId="0" applyAlignment="1" applyProtection="1">
      <alignment horizontal="right"/>
      <protection locked="0" hidden="0"/>
    </xf>
    <xf numFmtId="0" fontId="97" fillId="0" borderId="0" applyAlignment="1">
      <alignment horizontal="left"/>
    </xf>
    <xf numFmtId="15" fontId="97" fillId="0" borderId="0"/>
    <xf numFmtId="4" fontId="97" fillId="0" borderId="0"/>
    <xf numFmtId="0" fontId="121" fillId="0" borderId="7" applyAlignment="1">
      <alignment horizontal="center"/>
    </xf>
    <xf numFmtId="3" fontId="97" fillId="0" borderId="0"/>
    <xf numFmtId="0" fontId="97" fillId="26" borderId="0"/>
    <xf numFmtId="0" fontId="97" fillId="0" borderId="0" applyAlignment="1" applyProtection="1">
      <alignment horizontal="right"/>
      <protection locked="0" hidden="0"/>
    </xf>
    <xf numFmtId="49" fontId="79" fillId="0" borderId="0" applyAlignment="1">
      <alignment horizontal="right"/>
    </xf>
    <xf numFmtId="0" fontId="122" fillId="0" borderId="0" applyAlignment="1">
      <alignment horizontal="center" wrapText="1"/>
    </xf>
    <xf numFmtId="0" fontId="80" fillId="0" borderId="11"/>
    <xf numFmtId="223" fontId="123" fillId="0" borderId="0" applyAlignment="1">
      <alignment horizontal="left"/>
    </xf>
    <xf numFmtId="0" fontId="88" fillId="0" borderId="0" applyAlignment="1">
      <alignment horizontal="left" vertical="center" wrapText="1"/>
    </xf>
    <xf numFmtId="0" fontId="124" fillId="0" borderId="0"/>
    <xf numFmtId="0" fontId="125" fillId="0" borderId="33"/>
    <xf numFmtId="0" fontId="86" fillId="0" borderId="9"/>
    <xf numFmtId="0" fontId="122" fillId="2" borderId="0" applyAlignment="1">
      <alignment horizontal="center" wrapText="1"/>
    </xf>
    <xf numFmtId="0" fontId="126" fillId="21" borderId="9" applyAlignment="1" applyProtection="1">
      <alignment horizontal="center" vertical="center" wrapText="1"/>
      <protection locked="1" hidden="1"/>
    </xf>
    <xf numFmtId="0" fontId="4" fillId="25" borderId="34"/>
    <xf numFmtId="0" fontId="86" fillId="0" borderId="16" applyAlignment="1">
      <alignment horizontal="center" vertical="center"/>
    </xf>
    <xf numFmtId="0" fontId="4" fillId="27" borderId="0"/>
    <xf numFmtId="0" fontId="100" fillId="28" borderId="0"/>
    <xf numFmtId="0" fontId="4" fillId="0" borderId="0"/>
    <xf numFmtId="3" fontId="72" fillId="0" borderId="0"/>
    <xf numFmtId="0" fontId="87" fillId="0" borderId="0" applyAlignment="1">
      <alignment horizontal="left" vertical="center" wrapText="1"/>
    </xf>
    <xf numFmtId="0" fontId="97" fillId="0" borderId="0"/>
    <xf numFmtId="0" fontId="127" fillId="0" borderId="0"/>
    <xf numFmtId="224" fontId="123" fillId="0" borderId="0"/>
    <xf numFmtId="0" fontId="78" fillId="0" borderId="0" applyAlignment="1" applyProtection="1">
      <alignment vertical="top"/>
      <protection locked="0" hidden="0"/>
    </xf>
    <xf numFmtId="0" fontId="128" fillId="15" borderId="0"/>
    <xf numFmtId="0" fontId="102" fillId="0" borderId="0"/>
    <xf numFmtId="0" fontId="15" fillId="15" borderId="0"/>
    <xf numFmtId="0" fontId="113" fillId="0" borderId="0"/>
    <xf numFmtId="0" fontId="9" fillId="0" borderId="0"/>
    <xf numFmtId="0" fontId="17" fillId="18" borderId="0"/>
    <xf numFmtId="0" fontId="17" fillId="18" borderId="0" applyAlignment="1">
      <alignment horizontal="center"/>
    </xf>
    <xf numFmtId="0" fontId="129" fillId="18" borderId="0"/>
    <xf numFmtId="0" fontId="4" fillId="0" borderId="0" applyAlignment="1">
      <alignment horizontal="right"/>
    </xf>
    <xf numFmtId="0" fontId="4" fillId="0" borderId="0" applyAlignment="1">
      <alignment horizontal="left"/>
    </xf>
    <xf numFmtId="0" fontId="72" fillId="0" borderId="0"/>
    <xf numFmtId="0" fontId="130" fillId="0" borderId="0"/>
    <xf numFmtId="0" fontId="4" fillId="14" borderId="0"/>
    <xf numFmtId="170" fontId="4" fillId="0" borderId="0"/>
    <xf numFmtId="2" fontId="4" fillId="0" borderId="0"/>
    <xf numFmtId="180" fontId="4" fillId="0" borderId="0"/>
    <xf numFmtId="0" fontId="4" fillId="0" borderId="7"/>
    <xf numFmtId="0" fontId="4" fillId="0" borderId="7"/>
    <xf numFmtId="0" fontId="131" fillId="0" borderId="0"/>
    <xf numFmtId="0" fontId="122" fillId="0" borderId="0" applyAlignment="1">
      <alignment horizontal="left"/>
    </xf>
    <xf numFmtId="0" fontId="132" fillId="0" borderId="0"/>
    <xf numFmtId="40" fontId="133" fillId="0" borderId="0" applyAlignment="1">
      <alignment horizontal="right"/>
    </xf>
    <xf numFmtId="225" fontId="122" fillId="25" borderId="9"/>
    <xf numFmtId="0" fontId="94" fillId="0" borderId="0"/>
    <xf numFmtId="0" fontId="94" fillId="0" borderId="0"/>
    <xf numFmtId="0" fontId="94" fillId="0" borderId="0"/>
    <xf numFmtId="0" fontId="94" fillId="0" borderId="0"/>
    <xf numFmtId="0" fontId="94" fillId="0" borderId="0"/>
    <xf numFmtId="0" fontId="94" fillId="0" borderId="0"/>
    <xf numFmtId="3" fontId="134" fillId="0" borderId="0"/>
    <xf numFmtId="0" fontId="94" fillId="0" borderId="0"/>
    <xf numFmtId="0" fontId="94" fillId="0" borderId="0"/>
    <xf numFmtId="0" fontId="94" fillId="0" borderId="0"/>
    <xf numFmtId="226" fontId="94" fillId="0" borderId="0"/>
    <xf numFmtId="227" fontId="94" fillId="0" borderId="0"/>
    <xf numFmtId="0" fontId="94" fillId="0" borderId="0"/>
    <xf numFmtId="0" fontId="94" fillId="0" borderId="0"/>
    <xf numFmtId="226" fontId="94" fillId="0" borderId="0"/>
    <xf numFmtId="0" fontId="112" fillId="0" borderId="0" applyAlignment="1">
      <alignment horizontal="centerContinuous"/>
    </xf>
    <xf numFmtId="0" fontId="135" fillId="0" borderId="0" applyAlignment="1">
      <alignment horizontal="left"/>
    </xf>
    <xf numFmtId="0" fontId="135" fillId="0" borderId="0" applyAlignment="1">
      <alignment horizontal="right"/>
    </xf>
    <xf numFmtId="0" fontId="136" fillId="0" borderId="0" applyAlignment="1">
      <alignment horizontal="right"/>
    </xf>
    <xf numFmtId="0" fontId="112" fillId="0" borderId="0" applyAlignment="1">
      <alignment horizontal="centerContinuous"/>
    </xf>
    <xf numFmtId="0" fontId="137" fillId="0" borderId="0"/>
    <xf numFmtId="0" fontId="94" fillId="0" borderId="0"/>
    <xf numFmtId="40" fontId="138" fillId="0" borderId="0"/>
    <xf numFmtId="3" fontId="139" fillId="0" borderId="0"/>
    <xf numFmtId="0" fontId="97" fillId="0" borderId="0"/>
    <xf numFmtId="0" fontId="140" fillId="0" borderId="0"/>
    <xf numFmtId="0" fontId="134" fillId="0" borderId="15" applyAlignment="1">
      <alignment horizontal="center" wrapText="1"/>
    </xf>
    <xf numFmtId="3" fontId="134" fillId="0" borderId="16"/>
    <xf numFmtId="228" fontId="86" fillId="0" borderId="0"/>
    <xf numFmtId="0" fontId="141" fillId="0" borderId="0"/>
    <xf numFmtId="0" fontId="142" fillId="0" borderId="0"/>
    <xf numFmtId="0" fontId="55" fillId="0" borderId="0"/>
    <xf numFmtId="0" fontId="55" fillId="0" borderId="0"/>
    <xf numFmtId="0" fontId="56" fillId="0" borderId="0"/>
    <xf numFmtId="0" fontId="56" fillId="0" borderId="0"/>
    <xf numFmtId="0" fontId="143" fillId="0" borderId="0"/>
    <xf numFmtId="0" fontId="4" fillId="0" borderId="0"/>
    <xf numFmtId="0" fontId="4" fillId="0" borderId="0"/>
    <xf numFmtId="0" fontId="144" fillId="0" borderId="0"/>
    <xf numFmtId="0" fontId="4" fillId="0" borderId="0"/>
    <xf numFmtId="0" fontId="4" fillId="0" borderId="0"/>
    <xf numFmtId="180" fontId="145" fillId="57" borderId="37"/>
    <xf numFmtId="43" fontId="55" fillId="0" borderId="0"/>
    <xf numFmtId="229" fontId="55" fillId="0" borderId="0"/>
    <xf numFmtId="41" fontId="86" fillId="0" borderId="0"/>
    <xf numFmtId="4" fontId="146" fillId="58" borderId="142" applyAlignment="1" applyProtection="1">
      <alignment readingOrder="1"/>
      <protection locked="0" hidden="0"/>
    </xf>
    <xf numFmtId="0" fontId="147" fillId="0" borderId="0"/>
    <xf numFmtId="167" fontId="148" fillId="59" borderId="0"/>
    <xf numFmtId="167" fontId="149" fillId="59" borderId="0"/>
    <xf numFmtId="0" fontId="148" fillId="60" borderId="0"/>
    <xf numFmtId="230" fontId="150" fillId="33" borderId="0"/>
    <xf numFmtId="231" fontId="149" fillId="59" borderId="0"/>
    <xf numFmtId="0" fontId="149" fillId="59" borderId="0"/>
    <xf numFmtId="167" fontId="148" fillId="59" borderId="0"/>
    <xf numFmtId="167" fontId="148" fillId="59" borderId="0"/>
    <xf numFmtId="0" fontId="150" fillId="33" borderId="0"/>
    <xf numFmtId="0" fontId="150" fillId="33" borderId="0"/>
    <xf numFmtId="0" fontId="150" fillId="33" borderId="0"/>
    <xf numFmtId="230" fontId="149" fillId="59" borderId="0"/>
    <xf numFmtId="230" fontId="150" fillId="33" borderId="0"/>
    <xf numFmtId="231" fontId="150" fillId="33" borderId="0"/>
    <xf numFmtId="0" fontId="150" fillId="33" borderId="0"/>
    <xf numFmtId="0" fontId="150" fillId="33" borderId="0"/>
    <xf numFmtId="0" fontId="150" fillId="33" borderId="0"/>
    <xf numFmtId="167" fontId="149" fillId="59" borderId="0"/>
    <xf numFmtId="0" fontId="150" fillId="33" borderId="0"/>
    <xf numFmtId="231" fontId="150" fillId="33" borderId="0"/>
    <xf numFmtId="0" fontId="150" fillId="33" borderId="0"/>
    <xf numFmtId="230" fontId="150" fillId="33" borderId="0"/>
    <xf numFmtId="230" fontId="150" fillId="33" borderId="0"/>
    <xf numFmtId="231" fontId="150" fillId="33" borderId="0"/>
    <xf numFmtId="0" fontId="150" fillId="33" borderId="0"/>
    <xf numFmtId="0" fontId="150" fillId="33" borderId="0"/>
    <xf numFmtId="167" fontId="148" fillId="60"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50" fillId="33" borderId="0"/>
    <xf numFmtId="0" fontId="150" fillId="33"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48" fillId="60"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0" fontId="150" fillId="33" borderId="0"/>
    <xf numFmtId="230" fontId="151" fillId="33" borderId="0"/>
    <xf numFmtId="0" fontId="150" fillId="33" borderId="0"/>
    <xf numFmtId="0" fontId="150" fillId="33" borderId="0"/>
    <xf numFmtId="0" fontId="150" fillId="33" borderId="0"/>
    <xf numFmtId="231" fontId="150" fillId="33" borderId="0"/>
    <xf numFmtId="167" fontId="148" fillId="61" borderId="0"/>
    <xf numFmtId="167" fontId="149" fillId="61" borderId="0"/>
    <xf numFmtId="0" fontId="148" fillId="62" borderId="0"/>
    <xf numFmtId="230" fontId="150" fillId="37" borderId="0"/>
    <xf numFmtId="231" fontId="149" fillId="61" borderId="0"/>
    <xf numFmtId="0" fontId="149" fillId="61" borderId="0"/>
    <xf numFmtId="167" fontId="148" fillId="61" borderId="0"/>
    <xf numFmtId="167" fontId="148" fillId="61" borderId="0"/>
    <xf numFmtId="0" fontId="150" fillId="37" borderId="0"/>
    <xf numFmtId="0" fontId="150" fillId="37" borderId="0"/>
    <xf numFmtId="0" fontId="150" fillId="37" borderId="0"/>
    <xf numFmtId="230" fontId="149" fillId="61" borderId="0"/>
    <xf numFmtId="230" fontId="150" fillId="37" borderId="0"/>
    <xf numFmtId="231" fontId="150" fillId="37" borderId="0"/>
    <xf numFmtId="0" fontId="150" fillId="37" borderId="0"/>
    <xf numFmtId="0" fontId="150" fillId="37" borderId="0"/>
    <xf numFmtId="0" fontId="150" fillId="37" borderId="0"/>
    <xf numFmtId="167" fontId="149" fillId="61" borderId="0"/>
    <xf numFmtId="0" fontId="150" fillId="37" borderId="0"/>
    <xf numFmtId="231" fontId="150" fillId="37" borderId="0"/>
    <xf numFmtId="0" fontId="150" fillId="37" borderId="0"/>
    <xf numFmtId="230" fontId="150" fillId="37" borderId="0"/>
    <xf numFmtId="230" fontId="150" fillId="37" borderId="0"/>
    <xf numFmtId="231" fontId="150" fillId="37" borderId="0"/>
    <xf numFmtId="0" fontId="150" fillId="37" borderId="0"/>
    <xf numFmtId="0" fontId="150" fillId="37" borderId="0"/>
    <xf numFmtId="167" fontId="148" fillId="63"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50" fillId="37" borderId="0"/>
    <xf numFmtId="0" fontId="150" fillId="37"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48" fillId="62"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0" fontId="150" fillId="37" borderId="0"/>
    <xf numFmtId="230" fontId="151" fillId="37" borderId="0"/>
    <xf numFmtId="0" fontId="150" fillId="37" borderId="0"/>
    <xf numFmtId="0" fontId="150" fillId="37" borderId="0"/>
    <xf numFmtId="0" fontId="150" fillId="37" borderId="0"/>
    <xf numFmtId="231" fontId="150" fillId="37" borderId="0"/>
    <xf numFmtId="167" fontId="148" fillId="64" borderId="0"/>
    <xf numFmtId="0" fontId="150" fillId="41" borderId="0"/>
    <xf numFmtId="0" fontId="150" fillId="41" borderId="0"/>
    <xf numFmtId="167" fontId="149" fillId="64" borderId="0"/>
    <xf numFmtId="0" fontId="148" fillId="65" borderId="0"/>
    <xf numFmtId="230" fontId="150" fillId="41" borderId="0"/>
    <xf numFmtId="231" fontId="149" fillId="64" borderId="0"/>
    <xf numFmtId="0" fontId="149" fillId="64" borderId="0"/>
    <xf numFmtId="167" fontId="148" fillId="61" borderId="0"/>
    <xf numFmtId="0" fontId="150" fillId="41" borderId="0"/>
    <xf numFmtId="0" fontId="148" fillId="61" borderId="0"/>
    <xf numFmtId="0" fontId="150" fillId="41" borderId="0"/>
    <xf numFmtId="0" fontId="150" fillId="41" borderId="0"/>
    <xf numFmtId="0" fontId="148" fillId="61" borderId="0"/>
    <xf numFmtId="167" fontId="148" fillId="64" borderId="0"/>
    <xf numFmtId="167" fontId="148" fillId="64" borderId="0"/>
    <xf numFmtId="0" fontId="150" fillId="41" borderId="0"/>
    <xf numFmtId="230" fontId="150" fillId="41" borderId="0"/>
    <xf numFmtId="230" fontId="150" fillId="41" borderId="0"/>
    <xf numFmtId="231" fontId="150" fillId="41" borderId="0"/>
    <xf numFmtId="0" fontId="149" fillId="64" borderId="0"/>
    <xf numFmtId="167" fontId="148" fillId="64" borderId="0"/>
    <xf numFmtId="0" fontId="150" fillId="41" borderId="0"/>
    <xf numFmtId="167" fontId="149" fillId="64" borderId="0"/>
    <xf numFmtId="167" fontId="148" fillId="64" borderId="0"/>
    <xf numFmtId="0" fontId="150" fillId="41" borderId="0"/>
    <xf numFmtId="0" fontId="148" fillId="64" borderId="0"/>
    <xf numFmtId="0" fontId="150" fillId="41" borderId="0"/>
    <xf numFmtId="0" fontId="150" fillId="41" borderId="0"/>
    <xf numFmtId="0" fontId="148" fillId="64" borderId="0"/>
    <xf numFmtId="167" fontId="148" fillId="64" borderId="0"/>
    <xf numFmtId="231" fontId="150" fillId="41" borderId="0"/>
    <xf numFmtId="0" fontId="150" fillId="41" borderId="0"/>
    <xf numFmtId="0" fontId="150" fillId="41" borderId="0"/>
    <xf numFmtId="230" fontId="150" fillId="41" borderId="0"/>
    <xf numFmtId="231" fontId="150" fillId="41" borderId="0"/>
    <xf numFmtId="0" fontId="150" fillId="41" borderId="0"/>
    <xf numFmtId="0" fontId="150" fillId="41" borderId="0"/>
    <xf numFmtId="0" fontId="150" fillId="41" borderId="0"/>
    <xf numFmtId="167" fontId="148" fillId="6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230" fontId="151" fillId="41" borderId="0"/>
    <xf numFmtId="231" fontId="148" fillId="61" borderId="0"/>
    <xf numFmtId="0" fontId="150" fillId="41" borderId="0"/>
    <xf numFmtId="0" fontId="148" fillId="61" borderId="0"/>
    <xf numFmtId="167" fontId="148" fillId="63" borderId="0"/>
    <xf numFmtId="0" fontId="150" fillId="41" borderId="0"/>
    <xf numFmtId="230" fontId="151" fillId="41" borderId="0"/>
    <xf numFmtId="230" fontId="151" fillId="41" borderId="0"/>
    <xf numFmtId="230" fontId="151" fillId="4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0" fontId="148" fillId="65"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0" fontId="150" fillId="41" borderId="0"/>
    <xf numFmtId="230" fontId="151" fillId="41" borderId="0"/>
    <xf numFmtId="0" fontId="150" fillId="41" borderId="0"/>
    <xf numFmtId="0" fontId="150" fillId="41" borderId="0"/>
    <xf numFmtId="0" fontId="150" fillId="41" borderId="0"/>
    <xf numFmtId="231" fontId="150" fillId="41" borderId="0"/>
    <xf numFmtId="167" fontId="148" fillId="60" borderId="0"/>
    <xf numFmtId="167" fontId="149" fillId="60" borderId="0"/>
    <xf numFmtId="0" fontId="148" fillId="60" borderId="0"/>
    <xf numFmtId="230" fontId="150" fillId="45" borderId="0"/>
    <xf numFmtId="231" fontId="149" fillId="60" borderId="0"/>
    <xf numFmtId="0" fontId="149" fillId="60" borderId="0"/>
    <xf numFmtId="167" fontId="148" fillId="60" borderId="0"/>
    <xf numFmtId="167" fontId="148" fillId="60" borderId="0"/>
    <xf numFmtId="0" fontId="150" fillId="45" borderId="0"/>
    <xf numFmtId="0" fontId="150" fillId="45" borderId="0"/>
    <xf numFmtId="0" fontId="150" fillId="45" borderId="0"/>
    <xf numFmtId="230" fontId="149" fillId="60" borderId="0"/>
    <xf numFmtId="230" fontId="150" fillId="45" borderId="0"/>
    <xf numFmtId="231" fontId="150" fillId="45" borderId="0"/>
    <xf numFmtId="0" fontId="150" fillId="45" borderId="0"/>
    <xf numFmtId="0" fontId="150" fillId="45" borderId="0"/>
    <xf numFmtId="0" fontId="150" fillId="45" borderId="0"/>
    <xf numFmtId="167" fontId="149" fillId="60" borderId="0"/>
    <xf numFmtId="0" fontId="150" fillId="45" borderId="0"/>
    <xf numFmtId="231" fontId="150" fillId="45" borderId="0"/>
    <xf numFmtId="0" fontId="150" fillId="45" borderId="0"/>
    <xf numFmtId="230" fontId="150" fillId="45" borderId="0"/>
    <xf numFmtId="230" fontId="150" fillId="45" borderId="0"/>
    <xf numFmtId="231" fontId="150" fillId="45" borderId="0"/>
    <xf numFmtId="0" fontId="150" fillId="45" borderId="0"/>
    <xf numFmtId="0" fontId="150" fillId="45" borderId="0"/>
    <xf numFmtId="167" fontId="148" fillId="60"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50" fillId="45" borderId="0"/>
    <xf numFmtId="0" fontId="150" fillId="45"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48" fillId="60"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0" fontId="150" fillId="45" borderId="0"/>
    <xf numFmtId="230" fontId="151" fillId="45" borderId="0"/>
    <xf numFmtId="0" fontId="150" fillId="45" borderId="0"/>
    <xf numFmtId="0" fontId="150" fillId="45" borderId="0"/>
    <xf numFmtId="0" fontId="150" fillId="45" borderId="0"/>
    <xf numFmtId="231" fontId="150" fillId="45" borderId="0"/>
    <xf numFmtId="167" fontId="148" fillId="59" borderId="0"/>
    <xf numFmtId="167" fontId="149" fillId="59" borderId="0"/>
    <xf numFmtId="0" fontId="148" fillId="66" borderId="0"/>
    <xf numFmtId="230" fontId="150" fillId="49" borderId="0"/>
    <xf numFmtId="231" fontId="149" fillId="59" borderId="0"/>
    <xf numFmtId="0" fontId="149" fillId="59" borderId="0"/>
    <xf numFmtId="167" fontId="148" fillId="59" borderId="0"/>
    <xf numFmtId="167" fontId="148" fillId="59" borderId="0"/>
    <xf numFmtId="0" fontId="150" fillId="49" borderId="0"/>
    <xf numFmtId="0" fontId="150" fillId="49" borderId="0"/>
    <xf numFmtId="0" fontId="150" fillId="49" borderId="0"/>
    <xf numFmtId="230" fontId="149" fillId="59" borderId="0"/>
    <xf numFmtId="230" fontId="150" fillId="49" borderId="0"/>
    <xf numFmtId="231" fontId="150" fillId="49" borderId="0"/>
    <xf numFmtId="0" fontId="150" fillId="49" borderId="0"/>
    <xf numFmtId="0" fontId="150" fillId="49" borderId="0"/>
    <xf numFmtId="0" fontId="150" fillId="49" borderId="0"/>
    <xf numFmtId="167" fontId="149" fillId="59" borderId="0"/>
    <xf numFmtId="0" fontId="150" fillId="49" borderId="0"/>
    <xf numFmtId="231" fontId="150" fillId="49" borderId="0"/>
    <xf numFmtId="0" fontId="150" fillId="49" borderId="0"/>
    <xf numFmtId="230" fontId="150" fillId="49" borderId="0"/>
    <xf numFmtId="230" fontId="150" fillId="49" borderId="0"/>
    <xf numFmtId="231" fontId="150" fillId="49" borderId="0"/>
    <xf numFmtId="0" fontId="150" fillId="49" borderId="0"/>
    <xf numFmtId="0" fontId="150" fillId="49" borderId="0"/>
    <xf numFmtId="167" fontId="148" fillId="66"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50" fillId="49" borderId="0"/>
    <xf numFmtId="0" fontId="150" fillId="49"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48" fillId="66"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0" fontId="150" fillId="49" borderId="0"/>
    <xf numFmtId="230" fontId="151" fillId="49" borderId="0"/>
    <xf numFmtId="0" fontId="150" fillId="49" borderId="0"/>
    <xf numFmtId="0" fontId="150" fillId="49" borderId="0"/>
    <xf numFmtId="0" fontId="150" fillId="49" borderId="0"/>
    <xf numFmtId="231" fontId="150" fillId="49" borderId="0"/>
    <xf numFmtId="167" fontId="148" fillId="67" borderId="0"/>
    <xf numFmtId="167" fontId="149" fillId="67" borderId="0"/>
    <xf numFmtId="0" fontId="148" fillId="62" borderId="0"/>
    <xf numFmtId="230" fontId="150" fillId="53" borderId="0"/>
    <xf numFmtId="231" fontId="149" fillId="67" borderId="0"/>
    <xf numFmtId="0" fontId="149" fillId="67" borderId="0"/>
    <xf numFmtId="167" fontId="148" fillId="67" borderId="0"/>
    <xf numFmtId="167" fontId="148" fillId="67" borderId="0"/>
    <xf numFmtId="0" fontId="150" fillId="53" borderId="0"/>
    <xf numFmtId="0" fontId="150" fillId="53" borderId="0"/>
    <xf numFmtId="0" fontId="150" fillId="53" borderId="0"/>
    <xf numFmtId="230" fontId="149" fillId="67" borderId="0"/>
    <xf numFmtId="230" fontId="150" fillId="53" borderId="0"/>
    <xf numFmtId="231" fontId="150" fillId="53" borderId="0"/>
    <xf numFmtId="0" fontId="150" fillId="53" borderId="0"/>
    <xf numFmtId="0" fontId="150" fillId="53" borderId="0"/>
    <xf numFmtId="0" fontId="150" fillId="53" borderId="0"/>
    <xf numFmtId="167" fontId="149" fillId="67" borderId="0"/>
    <xf numFmtId="0" fontId="150" fillId="53" borderId="0"/>
    <xf numFmtId="231" fontId="150" fillId="53" borderId="0"/>
    <xf numFmtId="0" fontId="150" fillId="53" borderId="0"/>
    <xf numFmtId="230" fontId="150" fillId="53" borderId="0"/>
    <xf numFmtId="230" fontId="150" fillId="53" borderId="0"/>
    <xf numFmtId="231" fontId="150" fillId="53" borderId="0"/>
    <xf numFmtId="0" fontId="150" fillId="53" borderId="0"/>
    <xf numFmtId="0" fontId="150" fillId="53" borderId="0"/>
    <xf numFmtId="167" fontId="148" fillId="62"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50" fillId="53" borderId="0"/>
    <xf numFmtId="0" fontId="150" fillId="53"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48" fillId="62"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0" fontId="150" fillId="53" borderId="0"/>
    <xf numFmtId="230" fontId="151" fillId="53" borderId="0"/>
    <xf numFmtId="0" fontId="150" fillId="53" borderId="0"/>
    <xf numFmtId="0" fontId="150" fillId="53" borderId="0"/>
    <xf numFmtId="0" fontId="150" fillId="53" borderId="0"/>
    <xf numFmtId="231" fontId="150" fillId="53" borderId="0"/>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6" borderId="0" applyAlignment="1">
      <alignment vertical="center"/>
    </xf>
    <xf numFmtId="167" fontId="152" fillId="66" borderId="0" applyAlignment="1">
      <alignment vertical="center"/>
    </xf>
    <xf numFmtId="230" fontId="152" fillId="66" borderId="0" applyAlignment="1">
      <alignment vertical="center"/>
    </xf>
    <xf numFmtId="230" fontId="153" fillId="66" borderId="0" applyAlignment="1">
      <alignment vertical="center"/>
    </xf>
    <xf numFmtId="230" fontId="153" fillId="66" borderId="0" applyAlignment="1">
      <alignment vertical="center"/>
    </xf>
    <xf numFmtId="231" fontId="152" fillId="66" borderId="0" applyAlignment="1">
      <alignment vertical="center"/>
    </xf>
    <xf numFmtId="0" fontId="152" fillId="66"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0" fontId="154" fillId="69" borderId="0" applyAlignment="1">
      <alignment vertical="center"/>
    </xf>
    <xf numFmtId="0" fontId="155" fillId="69" borderId="0" applyAlignment="1">
      <alignment vertical="center"/>
    </xf>
    <xf numFmtId="0" fontId="154" fillId="61" borderId="0" applyAlignment="1">
      <alignment vertical="center"/>
    </xf>
    <xf numFmtId="0" fontId="155" fillId="61" borderId="0" applyAlignment="1">
      <alignment vertical="center"/>
    </xf>
    <xf numFmtId="0" fontId="154" fillId="70" borderId="0" applyAlignment="1">
      <alignment vertical="center"/>
    </xf>
    <xf numFmtId="0" fontId="155" fillId="70" borderId="0" applyAlignment="1">
      <alignment vertical="center"/>
    </xf>
    <xf numFmtId="0" fontId="154" fillId="59" borderId="0" applyAlignment="1">
      <alignment vertical="center"/>
    </xf>
    <xf numFmtId="0" fontId="155" fillId="59" borderId="0" applyAlignment="1">
      <alignment vertical="center"/>
    </xf>
    <xf numFmtId="0" fontId="154" fillId="66" borderId="0" applyAlignment="1">
      <alignment vertical="center"/>
    </xf>
    <xf numFmtId="0" fontId="155" fillId="66" borderId="0" applyAlignment="1">
      <alignment vertical="center"/>
    </xf>
    <xf numFmtId="0" fontId="154" fillId="62" borderId="0" applyAlignment="1">
      <alignment vertical="center"/>
    </xf>
    <xf numFmtId="0" fontId="155" fillId="62" borderId="0" applyAlignment="1">
      <alignment vertical="center"/>
    </xf>
    <xf numFmtId="167" fontId="148" fillId="59" borderId="0"/>
    <xf numFmtId="167" fontId="149" fillId="59" borderId="0"/>
    <xf numFmtId="0" fontId="148" fillId="71" borderId="0"/>
    <xf numFmtId="230" fontId="150" fillId="34" borderId="0"/>
    <xf numFmtId="231" fontId="149" fillId="59" borderId="0"/>
    <xf numFmtId="0" fontId="149" fillId="59" borderId="0"/>
    <xf numFmtId="167" fontId="148" fillId="59" borderId="0"/>
    <xf numFmtId="167" fontId="148" fillId="59" borderId="0"/>
    <xf numFmtId="0" fontId="150" fillId="34" borderId="0"/>
    <xf numFmtId="0" fontId="150" fillId="34" borderId="0"/>
    <xf numFmtId="0" fontId="150" fillId="34" borderId="0"/>
    <xf numFmtId="230" fontId="149" fillId="59" borderId="0"/>
    <xf numFmtId="230" fontId="150" fillId="34" borderId="0"/>
    <xf numFmtId="231" fontId="150" fillId="34" borderId="0"/>
    <xf numFmtId="0" fontId="150" fillId="34" borderId="0"/>
    <xf numFmtId="0" fontId="150" fillId="34" borderId="0"/>
    <xf numFmtId="0" fontId="150" fillId="34" borderId="0"/>
    <xf numFmtId="167" fontId="149" fillId="59" borderId="0"/>
    <xf numFmtId="0" fontId="150" fillId="34" borderId="0"/>
    <xf numFmtId="231" fontId="150" fillId="34" borderId="0"/>
    <xf numFmtId="0" fontId="150" fillId="34" borderId="0"/>
    <xf numFmtId="230" fontId="150" fillId="34" borderId="0"/>
    <xf numFmtId="230" fontId="150" fillId="34" borderId="0"/>
    <xf numFmtId="231" fontId="150" fillId="34" borderId="0"/>
    <xf numFmtId="0" fontId="150" fillId="34" borderId="0"/>
    <xf numFmtId="0" fontId="150" fillId="34" borderId="0"/>
    <xf numFmtId="167" fontId="148" fillId="71"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50" fillId="34" borderId="0"/>
    <xf numFmtId="0" fontId="150" fillId="34"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48" fillId="71"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0" fontId="150" fillId="34" borderId="0"/>
    <xf numFmtId="230" fontId="151" fillId="34" borderId="0"/>
    <xf numFmtId="0" fontId="150" fillId="34" borderId="0"/>
    <xf numFmtId="0" fontId="150" fillId="34" borderId="0"/>
    <xf numFmtId="0" fontId="150" fillId="34" borderId="0"/>
    <xf numFmtId="231" fontId="150" fillId="34" borderId="0"/>
    <xf numFmtId="167" fontId="148" fillId="61" borderId="0"/>
    <xf numFmtId="167" fontId="149" fillId="61" borderId="0"/>
    <xf numFmtId="0" fontId="148" fillId="62" borderId="0"/>
    <xf numFmtId="230" fontId="150" fillId="38" borderId="0"/>
    <xf numFmtId="231" fontId="149" fillId="61" borderId="0"/>
    <xf numFmtId="0" fontId="149" fillId="61" borderId="0"/>
    <xf numFmtId="167" fontId="148" fillId="61" borderId="0"/>
    <xf numFmtId="167" fontId="148" fillId="61" borderId="0"/>
    <xf numFmtId="0" fontId="150" fillId="38" borderId="0"/>
    <xf numFmtId="0" fontId="150" fillId="38" borderId="0"/>
    <xf numFmtId="0" fontId="150" fillId="38" borderId="0"/>
    <xf numFmtId="230" fontId="149" fillId="61" borderId="0"/>
    <xf numFmtId="230" fontId="150" fillId="38" borderId="0"/>
    <xf numFmtId="231" fontId="150" fillId="38" borderId="0"/>
    <xf numFmtId="0" fontId="150" fillId="38" borderId="0"/>
    <xf numFmtId="0" fontId="150" fillId="38" borderId="0"/>
    <xf numFmtId="0" fontId="150" fillId="38" borderId="0"/>
    <xf numFmtId="167" fontId="149" fillId="61" borderId="0"/>
    <xf numFmtId="0" fontId="150" fillId="38" borderId="0"/>
    <xf numFmtId="231" fontId="150" fillId="38" borderId="0"/>
    <xf numFmtId="0" fontId="150" fillId="38" borderId="0"/>
    <xf numFmtId="230" fontId="150" fillId="38" borderId="0"/>
    <xf numFmtId="230" fontId="150" fillId="38" borderId="0"/>
    <xf numFmtId="231" fontId="150" fillId="38" borderId="0"/>
    <xf numFmtId="0" fontId="150" fillId="38" borderId="0"/>
    <xf numFmtId="0" fontId="150" fillId="38" borderId="0"/>
    <xf numFmtId="167" fontId="148" fillId="6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50" fillId="38" borderId="0"/>
    <xf numFmtId="0" fontId="150" fillId="3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48" fillId="62"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0" fontId="150" fillId="38" borderId="0"/>
    <xf numFmtId="230" fontId="151" fillId="38" borderId="0"/>
    <xf numFmtId="0" fontId="150" fillId="38" borderId="0"/>
    <xf numFmtId="0" fontId="150" fillId="38" borderId="0"/>
    <xf numFmtId="0" fontId="150" fillId="38" borderId="0"/>
    <xf numFmtId="231" fontId="150" fillId="38" borderId="0"/>
    <xf numFmtId="167" fontId="148" fillId="64" borderId="0"/>
    <xf numFmtId="167" fontId="149" fillId="64" borderId="0"/>
    <xf numFmtId="0" fontId="148" fillId="67" borderId="0"/>
    <xf numFmtId="230" fontId="150" fillId="42" borderId="0"/>
    <xf numFmtId="231" fontId="149" fillId="64" borderId="0"/>
    <xf numFmtId="0" fontId="149" fillId="64" borderId="0"/>
    <xf numFmtId="167" fontId="148" fillId="64" borderId="0"/>
    <xf numFmtId="167" fontId="148" fillId="64" borderId="0"/>
    <xf numFmtId="0" fontId="150" fillId="42" borderId="0"/>
    <xf numFmtId="0" fontId="150" fillId="42" borderId="0"/>
    <xf numFmtId="0" fontId="150" fillId="42" borderId="0"/>
    <xf numFmtId="230" fontId="149" fillId="64" borderId="0"/>
    <xf numFmtId="230" fontId="150" fillId="42" borderId="0"/>
    <xf numFmtId="231" fontId="150" fillId="42" borderId="0"/>
    <xf numFmtId="0" fontId="150" fillId="42" borderId="0"/>
    <xf numFmtId="0" fontId="150" fillId="42" borderId="0"/>
    <xf numFmtId="0" fontId="150" fillId="42" borderId="0"/>
    <xf numFmtId="167" fontId="149" fillId="64" borderId="0"/>
    <xf numFmtId="0" fontId="150" fillId="42" borderId="0"/>
    <xf numFmtId="231" fontId="150" fillId="42" borderId="0"/>
    <xf numFmtId="0" fontId="150" fillId="42" borderId="0"/>
    <xf numFmtId="230" fontId="150" fillId="42" borderId="0"/>
    <xf numFmtId="230" fontId="150" fillId="42" borderId="0"/>
    <xf numFmtId="231" fontId="150" fillId="42" borderId="0"/>
    <xf numFmtId="0" fontId="150" fillId="42" borderId="0"/>
    <xf numFmtId="0" fontId="150" fillId="42" borderId="0"/>
    <xf numFmtId="167" fontId="148" fillId="63"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50" fillId="42" borderId="0"/>
    <xf numFmtId="0" fontId="150" fillId="42"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48" fillId="67"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0" fontId="150" fillId="42" borderId="0"/>
    <xf numFmtId="230" fontId="151" fillId="42" borderId="0"/>
    <xf numFmtId="0" fontId="150" fillId="42" borderId="0"/>
    <xf numFmtId="0" fontId="150" fillId="42" borderId="0"/>
    <xf numFmtId="0" fontId="150" fillId="42" borderId="0"/>
    <xf numFmtId="231" fontId="150" fillId="42" borderId="0"/>
    <xf numFmtId="167" fontId="148" fillId="71" borderId="0"/>
    <xf numFmtId="167" fontId="149" fillId="71" borderId="0"/>
    <xf numFmtId="0" fontId="148" fillId="71" borderId="0"/>
    <xf numFmtId="230" fontId="150" fillId="46" borderId="0"/>
    <xf numFmtId="231" fontId="149" fillId="71" borderId="0"/>
    <xf numFmtId="0" fontId="149" fillId="71" borderId="0"/>
    <xf numFmtId="167" fontId="148" fillId="71" borderId="0"/>
    <xf numFmtId="167" fontId="148" fillId="71" borderId="0"/>
    <xf numFmtId="0" fontId="150" fillId="46" borderId="0"/>
    <xf numFmtId="0" fontId="150" fillId="46" borderId="0"/>
    <xf numFmtId="0" fontId="150" fillId="46" borderId="0"/>
    <xf numFmtId="230" fontId="149" fillId="71" borderId="0"/>
    <xf numFmtId="230" fontId="150" fillId="46" borderId="0"/>
    <xf numFmtId="231" fontId="150" fillId="46" borderId="0"/>
    <xf numFmtId="0" fontId="150" fillId="46" borderId="0"/>
    <xf numFmtId="0" fontId="150" fillId="46" borderId="0"/>
    <xf numFmtId="0" fontId="150" fillId="46" borderId="0"/>
    <xf numFmtId="167" fontId="149" fillId="71" borderId="0"/>
    <xf numFmtId="0" fontId="150" fillId="46" borderId="0"/>
    <xf numFmtId="231" fontId="150" fillId="46" borderId="0"/>
    <xf numFmtId="0" fontId="150" fillId="46" borderId="0"/>
    <xf numFmtId="230" fontId="150" fillId="46" borderId="0"/>
    <xf numFmtId="230" fontId="150" fillId="46" borderId="0"/>
    <xf numFmtId="231" fontId="150" fillId="46" borderId="0"/>
    <xf numFmtId="0" fontId="150" fillId="46" borderId="0"/>
    <xf numFmtId="0" fontId="150" fillId="46" borderId="0"/>
    <xf numFmtId="167" fontId="148" fillId="71"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50" fillId="46" borderId="0"/>
    <xf numFmtId="0" fontId="150" fillId="46"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48" fillId="71"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0" fontId="150" fillId="46" borderId="0"/>
    <xf numFmtId="230" fontId="151" fillId="46" borderId="0"/>
    <xf numFmtId="0" fontId="150" fillId="46" borderId="0"/>
    <xf numFmtId="0" fontId="150" fillId="46" borderId="0"/>
    <xf numFmtId="0" fontId="150" fillId="46" borderId="0"/>
    <xf numFmtId="231" fontId="150" fillId="46" borderId="0"/>
    <xf numFmtId="167" fontId="148" fillId="59" borderId="0"/>
    <xf numFmtId="167" fontId="149" fillId="59" borderId="0"/>
    <xf numFmtId="0" fontId="148" fillId="64" borderId="0"/>
    <xf numFmtId="230" fontId="150" fillId="50" borderId="0"/>
    <xf numFmtId="231" fontId="149" fillId="59" borderId="0"/>
    <xf numFmtId="0" fontId="149" fillId="59" borderId="0"/>
    <xf numFmtId="167" fontId="148" fillId="59" borderId="0"/>
    <xf numFmtId="167" fontId="148" fillId="59" borderId="0"/>
    <xf numFmtId="0" fontId="150" fillId="50" borderId="0"/>
    <xf numFmtId="0" fontId="150" fillId="50" borderId="0"/>
    <xf numFmtId="0" fontId="150" fillId="50" borderId="0"/>
    <xf numFmtId="230" fontId="149" fillId="59" borderId="0"/>
    <xf numFmtId="230" fontId="150" fillId="50" borderId="0"/>
    <xf numFmtId="231" fontId="150" fillId="50" borderId="0"/>
    <xf numFmtId="0" fontId="150" fillId="50" borderId="0"/>
    <xf numFmtId="0" fontId="150" fillId="50" borderId="0"/>
    <xf numFmtId="0" fontId="150" fillId="50" borderId="0"/>
    <xf numFmtId="167" fontId="149" fillId="59" borderId="0"/>
    <xf numFmtId="0" fontId="150" fillId="50" borderId="0"/>
    <xf numFmtId="231" fontId="150" fillId="50" borderId="0"/>
    <xf numFmtId="0" fontId="150" fillId="50" borderId="0"/>
    <xf numFmtId="230" fontId="150" fillId="50" borderId="0"/>
    <xf numFmtId="230" fontId="150" fillId="50" borderId="0"/>
    <xf numFmtId="231" fontId="150" fillId="50" borderId="0"/>
    <xf numFmtId="0" fontId="150" fillId="50" borderId="0"/>
    <xf numFmtId="0" fontId="150" fillId="50" borderId="0"/>
    <xf numFmtId="167" fontId="148" fillId="64"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50" fillId="50" borderId="0"/>
    <xf numFmtId="0" fontId="150" fillId="50"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48" fillId="64"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0" fontId="150" fillId="50" borderId="0"/>
    <xf numFmtId="230" fontId="151" fillId="50" borderId="0"/>
    <xf numFmtId="0" fontId="150" fillId="50" borderId="0"/>
    <xf numFmtId="0" fontId="150" fillId="50" borderId="0"/>
    <xf numFmtId="0" fontId="150" fillId="50" borderId="0"/>
    <xf numFmtId="231" fontId="150" fillId="50" borderId="0"/>
    <xf numFmtId="167" fontId="148" fillId="67" borderId="0"/>
    <xf numFmtId="167" fontId="149" fillId="67" borderId="0"/>
    <xf numFmtId="0" fontId="148" fillId="62" borderId="0"/>
    <xf numFmtId="230" fontId="150" fillId="54" borderId="0"/>
    <xf numFmtId="231" fontId="149" fillId="67" borderId="0"/>
    <xf numFmtId="0" fontId="149" fillId="67" borderId="0"/>
    <xf numFmtId="167" fontId="148" fillId="67" borderId="0"/>
    <xf numFmtId="167" fontId="148" fillId="67" borderId="0"/>
    <xf numFmtId="0" fontId="150" fillId="54" borderId="0"/>
    <xf numFmtId="0" fontId="150" fillId="54" borderId="0"/>
    <xf numFmtId="0" fontId="150" fillId="54" borderId="0"/>
    <xf numFmtId="230" fontId="149" fillId="67" borderId="0"/>
    <xf numFmtId="230" fontId="150" fillId="54" borderId="0"/>
    <xf numFmtId="231" fontId="150" fillId="54" borderId="0"/>
    <xf numFmtId="0" fontId="150" fillId="54" borderId="0"/>
    <xf numFmtId="0" fontId="150" fillId="54" borderId="0"/>
    <xf numFmtId="0" fontId="150" fillId="54" borderId="0"/>
    <xf numFmtId="167" fontId="149" fillId="67" borderId="0"/>
    <xf numFmtId="0" fontId="150" fillId="54" borderId="0"/>
    <xf numFmtId="231" fontId="150" fillId="54" borderId="0"/>
    <xf numFmtId="0" fontId="150" fillId="54" borderId="0"/>
    <xf numFmtId="230" fontId="150" fillId="54" borderId="0"/>
    <xf numFmtId="230" fontId="150" fillId="54" borderId="0"/>
    <xf numFmtId="231" fontId="150" fillId="54" borderId="0"/>
    <xf numFmtId="0" fontId="150" fillId="54" borderId="0"/>
    <xf numFmtId="0" fontId="150" fillId="54" borderId="0"/>
    <xf numFmtId="167" fontId="148" fillId="62"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50" fillId="54" borderId="0"/>
    <xf numFmtId="0" fontId="150" fillId="54"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48" fillId="62"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0" fontId="150" fillId="54" borderId="0"/>
    <xf numFmtId="230" fontId="151" fillId="54" borderId="0"/>
    <xf numFmtId="0" fontId="150" fillId="54" borderId="0"/>
    <xf numFmtId="0" fontId="150" fillId="54" borderId="0"/>
    <xf numFmtId="0" fontId="150" fillId="54" borderId="0"/>
    <xf numFmtId="231" fontId="150" fillId="54" borderId="0"/>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4" borderId="0" applyAlignment="1">
      <alignment vertical="center"/>
    </xf>
    <xf numFmtId="167" fontId="152" fillId="64" borderId="0" applyAlignment="1">
      <alignment vertical="center"/>
    </xf>
    <xf numFmtId="230" fontId="152" fillId="64" borderId="0" applyAlignment="1">
      <alignment vertical="center"/>
    </xf>
    <xf numFmtId="230" fontId="153" fillId="64" borderId="0" applyAlignment="1">
      <alignment vertical="center"/>
    </xf>
    <xf numFmtId="230" fontId="153" fillId="64" borderId="0" applyAlignment="1">
      <alignment vertical="center"/>
    </xf>
    <xf numFmtId="231" fontId="152" fillId="64" borderId="0" applyAlignment="1">
      <alignment vertical="center"/>
    </xf>
    <xf numFmtId="0" fontId="152" fillId="64"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0" fontId="154" fillId="64" borderId="0" applyAlignment="1">
      <alignment vertical="center"/>
    </xf>
    <xf numFmtId="0" fontId="155" fillId="64" borderId="0" applyAlignment="1">
      <alignment vertical="center"/>
    </xf>
    <xf numFmtId="0" fontId="154" fillId="68" borderId="0" applyAlignment="1">
      <alignment vertical="center"/>
    </xf>
    <xf numFmtId="0" fontId="155" fillId="68" borderId="0" applyAlignment="1">
      <alignment vertical="center"/>
    </xf>
    <xf numFmtId="0" fontId="154" fillId="72" borderId="0" applyAlignment="1">
      <alignment vertical="center"/>
    </xf>
    <xf numFmtId="0" fontId="155" fillId="72" borderId="0" applyAlignment="1">
      <alignment vertical="center"/>
    </xf>
    <xf numFmtId="0" fontId="154" fillId="59" borderId="0" applyAlignment="1">
      <alignment vertical="center"/>
    </xf>
    <xf numFmtId="0" fontId="155" fillId="59" borderId="0" applyAlignment="1">
      <alignment vertical="center"/>
    </xf>
    <xf numFmtId="0" fontId="154" fillId="64" borderId="0" applyAlignment="1">
      <alignment vertical="center"/>
    </xf>
    <xf numFmtId="0" fontId="155" fillId="64" borderId="0" applyAlignment="1">
      <alignment vertical="center"/>
    </xf>
    <xf numFmtId="0" fontId="154" fillId="73" borderId="0" applyAlignment="1">
      <alignment vertical="center"/>
    </xf>
    <xf numFmtId="0" fontId="155" fillId="73" borderId="0" applyAlignment="1">
      <alignment vertical="center"/>
    </xf>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5" borderId="0"/>
    <xf numFmtId="231" fontId="156" fillId="70" borderId="0"/>
    <xf numFmtId="0" fontId="157" fillId="70" borderId="0"/>
    <xf numFmtId="167" fontId="156" fillId="70" borderId="0"/>
    <xf numFmtId="0" fontId="158" fillId="35" borderId="0"/>
    <xf numFmtId="0" fontId="156" fillId="70" borderId="0"/>
    <xf numFmtId="167" fontId="157" fillId="70" borderId="0"/>
    <xf numFmtId="0" fontId="156" fillId="74" borderId="0"/>
    <xf numFmtId="230" fontId="158" fillId="35" borderId="0"/>
    <xf numFmtId="231" fontId="157" fillId="70" borderId="0"/>
    <xf numFmtId="0" fontId="157" fillId="70" borderId="0"/>
    <xf numFmtId="167" fontId="156" fillId="74" borderId="0"/>
    <xf numFmtId="230" fontId="159" fillId="35" borderId="0"/>
    <xf numFmtId="230" fontId="159" fillId="35" borderId="0"/>
    <xf numFmtId="230" fontId="158" fillId="35" borderId="0"/>
    <xf numFmtId="231" fontId="158" fillId="35" borderId="0"/>
    <xf numFmtId="167" fontId="156" fillId="61" borderId="0"/>
    <xf numFmtId="167" fontId="157" fillId="61" borderId="0"/>
    <xf numFmtId="0" fontId="156" fillId="62" borderId="0"/>
    <xf numFmtId="0" fontId="157" fillId="61" borderId="0"/>
    <xf numFmtId="0" fontId="156" fillId="62" borderId="0"/>
    <xf numFmtId="0" fontId="157" fillId="61" borderId="0"/>
    <xf numFmtId="167" fontId="156" fillId="61" borderId="0"/>
    <xf numFmtId="0" fontId="158" fillId="39" borderId="0"/>
    <xf numFmtId="231" fontId="156" fillId="61" borderId="0"/>
    <xf numFmtId="0" fontId="157" fillId="61" borderId="0"/>
    <xf numFmtId="167" fontId="156" fillId="61" borderId="0"/>
    <xf numFmtId="0" fontId="158" fillId="39" borderId="0"/>
    <xf numFmtId="0" fontId="156" fillId="61" borderId="0"/>
    <xf numFmtId="167" fontId="157" fillId="61" borderId="0"/>
    <xf numFmtId="0" fontId="156" fillId="62" borderId="0"/>
    <xf numFmtId="230" fontId="158" fillId="39" borderId="0"/>
    <xf numFmtId="231" fontId="157" fillId="61" borderId="0"/>
    <xf numFmtId="0" fontId="157" fillId="61" borderId="0"/>
    <xf numFmtId="167" fontId="156" fillId="68" borderId="0"/>
    <xf numFmtId="230" fontId="159" fillId="39" borderId="0"/>
    <xf numFmtId="230" fontId="159" fillId="39" borderId="0"/>
    <xf numFmtId="230" fontId="158" fillId="39" borderId="0"/>
    <xf numFmtId="231" fontId="158" fillId="39" borderId="0"/>
    <xf numFmtId="167" fontId="156" fillId="64" borderId="0"/>
    <xf numFmtId="167" fontId="157" fillId="64" borderId="0"/>
    <xf numFmtId="0" fontId="156" fillId="67" borderId="0"/>
    <xf numFmtId="0" fontId="157" fillId="64" borderId="0"/>
    <xf numFmtId="0" fontId="156" fillId="67" borderId="0"/>
    <xf numFmtId="0" fontId="157" fillId="64" borderId="0"/>
    <xf numFmtId="167" fontId="156" fillId="64" borderId="0"/>
    <xf numFmtId="0" fontId="158" fillId="43" borderId="0"/>
    <xf numFmtId="231" fontId="156" fillId="64" borderId="0"/>
    <xf numFmtId="0" fontId="157" fillId="64" borderId="0"/>
    <xf numFmtId="167" fontId="156" fillId="64" borderId="0"/>
    <xf numFmtId="0" fontId="158" fillId="43" borderId="0"/>
    <xf numFmtId="0" fontId="156" fillId="64" borderId="0"/>
    <xf numFmtId="167" fontId="157" fillId="64" borderId="0"/>
    <xf numFmtId="0" fontId="156" fillId="67" borderId="0"/>
    <xf numFmtId="230" fontId="158" fillId="43" borderId="0"/>
    <xf numFmtId="231" fontId="157" fillId="64" borderId="0"/>
    <xf numFmtId="0" fontId="157" fillId="64" borderId="0"/>
    <xf numFmtId="167" fontId="156" fillId="63" borderId="0"/>
    <xf numFmtId="230" fontId="159" fillId="43" borderId="0"/>
    <xf numFmtId="230" fontId="159" fillId="43" borderId="0"/>
    <xf numFmtId="230" fontId="158" fillId="43" borderId="0"/>
    <xf numFmtId="231" fontId="158" fillId="43" borderId="0"/>
    <xf numFmtId="167" fontId="156" fillId="71" borderId="0"/>
    <xf numFmtId="167" fontId="157" fillId="71" borderId="0"/>
    <xf numFmtId="0" fontId="156" fillId="71" borderId="0"/>
    <xf numFmtId="0" fontId="157" fillId="71" borderId="0"/>
    <xf numFmtId="0" fontId="156" fillId="71" borderId="0"/>
    <xf numFmtId="0" fontId="157" fillId="71" borderId="0"/>
    <xf numFmtId="167" fontId="156" fillId="71" borderId="0"/>
    <xf numFmtId="0" fontId="158" fillId="47" borderId="0"/>
    <xf numFmtId="231" fontId="156" fillId="71" borderId="0"/>
    <xf numFmtId="0" fontId="157" fillId="71" borderId="0"/>
    <xf numFmtId="167" fontId="156" fillId="71" borderId="0"/>
    <xf numFmtId="0" fontId="158" fillId="47" borderId="0"/>
    <xf numFmtId="0" fontId="156" fillId="71" borderId="0"/>
    <xf numFmtId="167" fontId="157" fillId="71" borderId="0"/>
    <xf numFmtId="0" fontId="156" fillId="71" borderId="0"/>
    <xf numFmtId="230" fontId="158" fillId="47" borderId="0"/>
    <xf numFmtId="231" fontId="157" fillId="71" borderId="0"/>
    <xf numFmtId="0" fontId="157" fillId="71" borderId="0"/>
    <xf numFmtId="167" fontId="156" fillId="71" borderId="0"/>
    <xf numFmtId="230" fontId="159" fillId="47" borderId="0"/>
    <xf numFmtId="230" fontId="159" fillId="47" borderId="0"/>
    <xf numFmtId="230" fontId="158" fillId="47" borderId="0"/>
    <xf numFmtId="231" fontId="158" fillId="47"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51" borderId="0"/>
    <xf numFmtId="231" fontId="156" fillId="70" borderId="0"/>
    <xf numFmtId="0" fontId="157" fillId="70" borderId="0"/>
    <xf numFmtId="167" fontId="156" fillId="70" borderId="0"/>
    <xf numFmtId="0" fontId="158" fillId="51" borderId="0"/>
    <xf numFmtId="0" fontId="156" fillId="70" borderId="0"/>
    <xf numFmtId="167" fontId="157" fillId="70" borderId="0"/>
    <xf numFmtId="0" fontId="156" fillId="74" borderId="0"/>
    <xf numFmtId="230" fontId="158" fillId="51" borderId="0"/>
    <xf numFmtId="231" fontId="157" fillId="70" borderId="0"/>
    <xf numFmtId="0" fontId="157" fillId="70" borderId="0"/>
    <xf numFmtId="167" fontId="156" fillId="74" borderId="0"/>
    <xf numFmtId="230" fontId="159" fillId="51" borderId="0"/>
    <xf numFmtId="230" fontId="159" fillId="51" borderId="0"/>
    <xf numFmtId="230" fontId="158" fillId="51" borderId="0"/>
    <xf numFmtId="231" fontId="158" fillId="51" borderId="0"/>
    <xf numFmtId="167" fontId="156" fillId="67" borderId="0"/>
    <xf numFmtId="167" fontId="157" fillId="67" borderId="0"/>
    <xf numFmtId="0" fontId="156" fillId="62" borderId="0"/>
    <xf numFmtId="0" fontId="157" fillId="67" borderId="0"/>
    <xf numFmtId="0" fontId="156" fillId="62" borderId="0"/>
    <xf numFmtId="0" fontId="157" fillId="67" borderId="0"/>
    <xf numFmtId="167" fontId="156" fillId="67" borderId="0"/>
    <xf numFmtId="0" fontId="158" fillId="55" borderId="0"/>
    <xf numFmtId="231" fontId="156" fillId="67" borderId="0"/>
    <xf numFmtId="0" fontId="157" fillId="67" borderId="0"/>
    <xf numFmtId="167" fontId="156" fillId="67" borderId="0"/>
    <xf numFmtId="0" fontId="158" fillId="55" borderId="0"/>
    <xf numFmtId="0" fontId="156" fillId="67" borderId="0"/>
    <xf numFmtId="167" fontId="157" fillId="67" borderId="0"/>
    <xf numFmtId="0" fontId="156" fillId="62" borderId="0"/>
    <xf numFmtId="230" fontId="158" fillId="55" borderId="0"/>
    <xf numFmtId="231" fontId="157" fillId="67" borderId="0"/>
    <xf numFmtId="0" fontId="157" fillId="67" borderId="0"/>
    <xf numFmtId="167" fontId="156" fillId="62" borderId="0"/>
    <xf numFmtId="230" fontId="159" fillId="55" borderId="0"/>
    <xf numFmtId="230" fontId="159" fillId="55" borderId="0"/>
    <xf numFmtId="230" fontId="158" fillId="55" borderId="0"/>
    <xf numFmtId="231" fontId="158" fillId="55" borderId="0"/>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167" fontId="160" fillId="67" borderId="0" applyAlignment="1">
      <alignment vertical="center"/>
    </xf>
    <xf numFmtId="167" fontId="160" fillId="67" borderId="0" applyAlignment="1">
      <alignment vertical="center"/>
    </xf>
    <xf numFmtId="230" fontId="160" fillId="67" borderId="0" applyAlignment="1">
      <alignment vertical="center"/>
    </xf>
    <xf numFmtId="230" fontId="161" fillId="67" borderId="0" applyAlignment="1">
      <alignment vertical="center"/>
    </xf>
    <xf numFmtId="230" fontId="161" fillId="67" borderId="0" applyAlignment="1">
      <alignment vertical="center"/>
    </xf>
    <xf numFmtId="231" fontId="160" fillId="67" borderId="0" applyAlignment="1">
      <alignment vertical="center"/>
    </xf>
    <xf numFmtId="0" fontId="160" fillId="67" borderId="0" applyAlignment="1">
      <alignment vertical="center"/>
    </xf>
    <xf numFmtId="167" fontId="160" fillId="71" borderId="0" applyAlignment="1">
      <alignment vertical="center"/>
    </xf>
    <xf numFmtId="167" fontId="160" fillId="71" borderId="0" applyAlignment="1">
      <alignment vertical="center"/>
    </xf>
    <xf numFmtId="230" fontId="160" fillId="71" borderId="0" applyAlignment="1">
      <alignment vertical="center"/>
    </xf>
    <xf numFmtId="230" fontId="161" fillId="71" borderId="0" applyAlignment="1">
      <alignment vertical="center"/>
    </xf>
    <xf numFmtId="230" fontId="161" fillId="71" borderId="0" applyAlignment="1">
      <alignment vertical="center"/>
    </xf>
    <xf numFmtId="231" fontId="160" fillId="71" borderId="0" applyAlignment="1">
      <alignment vertical="center"/>
    </xf>
    <xf numFmtId="0" fontId="160" fillId="71" borderId="0" applyAlignment="1">
      <alignment vertical="center"/>
    </xf>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0" fontId="162" fillId="75" borderId="0" applyAlignment="1">
      <alignment vertical="center"/>
    </xf>
    <xf numFmtId="0" fontId="163" fillId="75" borderId="0" applyAlignment="1">
      <alignment vertical="center"/>
    </xf>
    <xf numFmtId="0" fontId="162" fillId="68" borderId="0" applyAlignment="1">
      <alignment vertical="center"/>
    </xf>
    <xf numFmtId="0" fontId="163" fillId="68" borderId="0" applyAlignment="1">
      <alignment vertical="center"/>
    </xf>
    <xf numFmtId="0" fontId="162" fillId="72" borderId="0" applyAlignment="1">
      <alignment vertical="center"/>
    </xf>
    <xf numFmtId="0" fontId="163" fillId="72" borderId="0" applyAlignment="1">
      <alignment vertical="center"/>
    </xf>
    <xf numFmtId="0" fontId="162" fillId="76" borderId="0" applyAlignment="1">
      <alignment vertical="center"/>
    </xf>
    <xf numFmtId="0" fontId="163" fillId="76" borderId="0" applyAlignment="1">
      <alignment vertical="center"/>
    </xf>
    <xf numFmtId="0" fontId="162" fillId="74" borderId="0" applyAlignment="1">
      <alignment vertical="center"/>
    </xf>
    <xf numFmtId="0" fontId="163" fillId="74" borderId="0" applyAlignment="1">
      <alignment vertical="center"/>
    </xf>
    <xf numFmtId="0" fontId="162" fillId="77" borderId="0" applyAlignment="1">
      <alignment vertical="center"/>
    </xf>
    <xf numFmtId="0" fontId="163" fillId="77" borderId="0" applyAlignment="1">
      <alignment vertical="center"/>
    </xf>
    <xf numFmtId="0" fontId="148" fillId="78" borderId="0"/>
    <xf numFmtId="0" fontId="148" fillId="79" borderId="0"/>
    <xf numFmtId="0" fontId="156" fillId="80"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2" borderId="0"/>
    <xf numFmtId="231" fontId="156" fillId="70" borderId="0"/>
    <xf numFmtId="0" fontId="157" fillId="70" borderId="0"/>
    <xf numFmtId="167" fontId="156" fillId="70" borderId="0"/>
    <xf numFmtId="0" fontId="158" fillId="32" borderId="0"/>
    <xf numFmtId="0" fontId="156" fillId="70" borderId="0"/>
    <xf numFmtId="167" fontId="157" fillId="70" borderId="0"/>
    <xf numFmtId="0" fontId="156" fillId="74" borderId="0"/>
    <xf numFmtId="230" fontId="158" fillId="32" borderId="0"/>
    <xf numFmtId="231" fontId="157" fillId="70" borderId="0"/>
    <xf numFmtId="0" fontId="159" fillId="32" borderId="0"/>
    <xf numFmtId="0" fontId="157" fillId="70" borderId="0"/>
    <xf numFmtId="167" fontId="156" fillId="74" borderId="0"/>
    <xf numFmtId="0" fontId="159" fillId="32" borderId="0"/>
    <xf numFmtId="230" fontId="159" fillId="32" borderId="0"/>
    <xf numFmtId="230" fontId="159" fillId="32" borderId="0"/>
    <xf numFmtId="230" fontId="158" fillId="32" borderId="0"/>
    <xf numFmtId="231" fontId="158" fillId="32" borderId="0"/>
    <xf numFmtId="0" fontId="159" fillId="32" borderId="0"/>
    <xf numFmtId="0" fontId="148" fillId="81" borderId="0"/>
    <xf numFmtId="0" fontId="148" fillId="82" borderId="0"/>
    <xf numFmtId="0" fontId="156" fillId="83" borderId="0"/>
    <xf numFmtId="167" fontId="156" fillId="84" borderId="0"/>
    <xf numFmtId="167" fontId="157" fillId="84" borderId="0"/>
    <xf numFmtId="0" fontId="156" fillId="85" borderId="0"/>
    <xf numFmtId="0" fontId="157" fillId="84" borderId="0"/>
    <xf numFmtId="0" fontId="156" fillId="85" borderId="0"/>
    <xf numFmtId="0" fontId="157" fillId="84" borderId="0"/>
    <xf numFmtId="167" fontId="156" fillId="84" borderId="0"/>
    <xf numFmtId="0" fontId="158" fillId="36" borderId="0"/>
    <xf numFmtId="231" fontId="156" fillId="84" borderId="0"/>
    <xf numFmtId="0" fontId="157" fillId="84" borderId="0"/>
    <xf numFmtId="167" fontId="156" fillId="84" borderId="0"/>
    <xf numFmtId="0" fontId="158" fillId="36" borderId="0"/>
    <xf numFmtId="0" fontId="156" fillId="84" borderId="0"/>
    <xf numFmtId="167" fontId="157" fillId="84" borderId="0"/>
    <xf numFmtId="0" fontId="156" fillId="85" borderId="0"/>
    <xf numFmtId="230" fontId="158" fillId="36" borderId="0"/>
    <xf numFmtId="231" fontId="157" fillId="84" borderId="0"/>
    <xf numFmtId="0" fontId="159" fillId="36" borderId="0"/>
    <xf numFmtId="0" fontId="157" fillId="84" borderId="0"/>
    <xf numFmtId="167" fontId="156" fillId="85" borderId="0"/>
    <xf numFmtId="0" fontId="159" fillId="36" borderId="0"/>
    <xf numFmtId="230" fontId="159" fillId="36" borderId="0"/>
    <xf numFmtId="230" fontId="159" fillId="36" borderId="0"/>
    <xf numFmtId="230" fontId="158" fillId="36" borderId="0"/>
    <xf numFmtId="231" fontId="158" fillId="36" borderId="0"/>
    <xf numFmtId="0" fontId="159" fillId="36" borderId="0"/>
    <xf numFmtId="0" fontId="148" fillId="86" borderId="0"/>
    <xf numFmtId="0" fontId="148" fillId="87" borderId="0"/>
    <xf numFmtId="0" fontId="156" fillId="88" borderId="0"/>
    <xf numFmtId="167" fontId="156" fillId="65" borderId="0"/>
    <xf numFmtId="167" fontId="157" fillId="65" borderId="0"/>
    <xf numFmtId="0" fontId="156" fillId="89" borderId="0"/>
    <xf numFmtId="0" fontId="157" fillId="65" borderId="0"/>
    <xf numFmtId="0" fontId="156" fillId="89" borderId="0"/>
    <xf numFmtId="0" fontId="157" fillId="65" borderId="0"/>
    <xf numFmtId="167" fontId="156" fillId="65" borderId="0"/>
    <xf numFmtId="0" fontId="158" fillId="40" borderId="0"/>
    <xf numFmtId="231" fontId="156" fillId="65" borderId="0"/>
    <xf numFmtId="0" fontId="157" fillId="65" borderId="0"/>
    <xf numFmtId="167" fontId="156" fillId="65" borderId="0"/>
    <xf numFmtId="0" fontId="158" fillId="40" borderId="0"/>
    <xf numFmtId="0" fontId="156" fillId="65" borderId="0"/>
    <xf numFmtId="167" fontId="157" fillId="65" borderId="0"/>
    <xf numFmtId="0" fontId="156" fillId="89" borderId="0"/>
    <xf numFmtId="230" fontId="158" fillId="40" borderId="0"/>
    <xf numFmtId="231" fontId="157" fillId="65" borderId="0"/>
    <xf numFmtId="0" fontId="159" fillId="40" borderId="0"/>
    <xf numFmtId="0" fontId="157" fillId="65" borderId="0"/>
    <xf numFmtId="167" fontId="156" fillId="63" borderId="0"/>
    <xf numFmtId="0" fontId="159" fillId="40" borderId="0"/>
    <xf numFmtId="230" fontId="159" fillId="40" borderId="0"/>
    <xf numFmtId="230" fontId="159" fillId="40" borderId="0"/>
    <xf numFmtId="230" fontId="158" fillId="40" borderId="0"/>
    <xf numFmtId="231" fontId="158" fillId="40" borderId="0"/>
    <xf numFmtId="0" fontId="159" fillId="40" borderId="0"/>
    <xf numFmtId="0" fontId="148" fillId="87" borderId="0"/>
    <xf numFmtId="0" fontId="148" fillId="88" borderId="0"/>
    <xf numFmtId="0" fontId="156" fillId="88" borderId="0"/>
    <xf numFmtId="167" fontId="156" fillId="66" borderId="0"/>
    <xf numFmtId="167" fontId="157" fillId="66" borderId="0"/>
    <xf numFmtId="0" fontId="156" fillId="90" borderId="0"/>
    <xf numFmtId="0" fontId="157" fillId="66" borderId="0"/>
    <xf numFmtId="0" fontId="156" fillId="90" borderId="0"/>
    <xf numFmtId="0" fontId="157" fillId="66" borderId="0"/>
    <xf numFmtId="167" fontId="156" fillId="66" borderId="0"/>
    <xf numFmtId="0" fontId="158" fillId="44" borderId="0"/>
    <xf numFmtId="231" fontId="156" fillId="66" borderId="0"/>
    <xf numFmtId="0" fontId="157" fillId="66" borderId="0"/>
    <xf numFmtId="167" fontId="156" fillId="66" borderId="0"/>
    <xf numFmtId="0" fontId="158" fillId="44" borderId="0"/>
    <xf numFmtId="0" fontId="156" fillId="66" borderId="0"/>
    <xf numFmtId="167" fontId="157" fillId="66" borderId="0"/>
    <xf numFmtId="0" fontId="156" fillId="90" borderId="0"/>
    <xf numFmtId="230" fontId="158" fillId="44" borderId="0"/>
    <xf numFmtId="231" fontId="157" fillId="66" borderId="0"/>
    <xf numFmtId="0" fontId="159" fillId="44" borderId="0"/>
    <xf numFmtId="0" fontId="157" fillId="66" borderId="0"/>
    <xf numFmtId="167" fontId="156" fillId="90" borderId="0"/>
    <xf numFmtId="0" fontId="159" fillId="44" borderId="0"/>
    <xf numFmtId="230" fontId="159" fillId="44" borderId="0"/>
    <xf numFmtId="230" fontId="159" fillId="44" borderId="0"/>
    <xf numFmtId="230" fontId="158" fillId="44" borderId="0"/>
    <xf numFmtId="231" fontId="158" fillId="44" borderId="0"/>
    <xf numFmtId="0" fontId="159" fillId="44" borderId="0"/>
    <xf numFmtId="0" fontId="148" fillId="78" borderId="0"/>
    <xf numFmtId="0" fontId="148" fillId="79" borderId="0"/>
    <xf numFmtId="0" fontId="156" fillId="79" borderId="0"/>
    <xf numFmtId="167" fontId="156" fillId="74" borderId="0"/>
    <xf numFmtId="167" fontId="157" fillId="74" borderId="0"/>
    <xf numFmtId="0" fontId="156" fillId="74" borderId="0"/>
    <xf numFmtId="0" fontId="157" fillId="74" borderId="0"/>
    <xf numFmtId="0" fontId="156" fillId="74" borderId="0"/>
    <xf numFmtId="0" fontId="157" fillId="74" borderId="0"/>
    <xf numFmtId="167" fontId="156" fillId="74" borderId="0"/>
    <xf numFmtId="0" fontId="158" fillId="48" borderId="0"/>
    <xf numFmtId="231" fontId="156" fillId="74" borderId="0"/>
    <xf numFmtId="0" fontId="157" fillId="74" borderId="0"/>
    <xf numFmtId="167" fontId="156" fillId="74" borderId="0"/>
    <xf numFmtId="0" fontId="158" fillId="48" borderId="0"/>
    <xf numFmtId="0" fontId="156" fillId="74" borderId="0"/>
    <xf numFmtId="167" fontId="157" fillId="74" borderId="0"/>
    <xf numFmtId="0" fontId="156" fillId="74" borderId="0"/>
    <xf numFmtId="230" fontId="158" fillId="48" borderId="0"/>
    <xf numFmtId="231" fontId="157" fillId="74" borderId="0"/>
    <xf numFmtId="0" fontId="159" fillId="48" borderId="0"/>
    <xf numFmtId="0" fontId="157" fillId="74" borderId="0"/>
    <xf numFmtId="167" fontId="156" fillId="74" borderId="0"/>
    <xf numFmtId="0" fontId="159" fillId="48" borderId="0"/>
    <xf numFmtId="230" fontId="159" fillId="48" borderId="0"/>
    <xf numFmtId="230" fontId="159" fillId="48" borderId="0"/>
    <xf numFmtId="230" fontId="158" fillId="48" borderId="0"/>
    <xf numFmtId="231" fontId="158" fillId="48" borderId="0"/>
    <xf numFmtId="0" fontId="159" fillId="48" borderId="0"/>
    <xf numFmtId="0" fontId="148" fillId="91" borderId="0"/>
    <xf numFmtId="0" fontId="148" fillId="82" borderId="0"/>
    <xf numFmtId="0" fontId="156" fillId="92" borderId="0"/>
    <xf numFmtId="167" fontId="156" fillId="67" borderId="0"/>
    <xf numFmtId="167" fontId="157" fillId="67" borderId="0"/>
    <xf numFmtId="0" fontId="156" fillId="93" borderId="0"/>
    <xf numFmtId="0" fontId="157" fillId="67" borderId="0"/>
    <xf numFmtId="0" fontId="156" fillId="93" borderId="0"/>
    <xf numFmtId="0" fontId="157" fillId="67" borderId="0"/>
    <xf numFmtId="167" fontId="156" fillId="67" borderId="0"/>
    <xf numFmtId="0" fontId="158" fillId="52" borderId="0"/>
    <xf numFmtId="231" fontId="156" fillId="67" borderId="0"/>
    <xf numFmtId="0" fontId="157" fillId="67" borderId="0"/>
    <xf numFmtId="167" fontId="156" fillId="67" borderId="0"/>
    <xf numFmtId="0" fontId="158" fillId="52" borderId="0"/>
    <xf numFmtId="0" fontId="156" fillId="67" borderId="0"/>
    <xf numFmtId="167" fontId="157" fillId="67" borderId="0"/>
    <xf numFmtId="0" fontId="156" fillId="93" borderId="0"/>
    <xf numFmtId="230" fontId="158" fillId="52" borderId="0"/>
    <xf numFmtId="231" fontId="157" fillId="67" borderId="0"/>
    <xf numFmtId="0" fontId="159" fillId="52" borderId="0"/>
    <xf numFmtId="0" fontId="157" fillId="67" borderId="0"/>
    <xf numFmtId="167" fontId="156" fillId="93" borderId="0"/>
    <xf numFmtId="0" fontId="159" fillId="52" borderId="0"/>
    <xf numFmtId="230" fontId="159" fillId="52" borderId="0"/>
    <xf numFmtId="230" fontId="159" fillId="52" borderId="0"/>
    <xf numFmtId="230" fontId="158" fillId="52" borderId="0"/>
    <xf numFmtId="231" fontId="158" fillId="52" borderId="0"/>
    <xf numFmtId="0" fontId="159" fillId="52" borderId="0"/>
    <xf numFmtId="180" fontId="164" fillId="56" borderId="39"/>
    <xf numFmtId="167" fontId="165" fillId="94" borderId="0"/>
    <xf numFmtId="167" fontId="166" fillId="94" borderId="0"/>
    <xf numFmtId="0" fontId="167" fillId="61" borderId="0"/>
    <xf numFmtId="0" fontId="166" fillId="94" borderId="0"/>
    <xf numFmtId="0" fontId="167" fillId="61" borderId="0"/>
    <xf numFmtId="0" fontId="166" fillId="94" borderId="0"/>
    <xf numFmtId="167" fontId="165" fillId="94" borderId="0"/>
    <xf numFmtId="0" fontId="168" fillId="29" borderId="0"/>
    <xf numFmtId="231" fontId="165" fillId="94" borderId="0"/>
    <xf numFmtId="0" fontId="166" fillId="94" borderId="0"/>
    <xf numFmtId="167" fontId="165" fillId="94" borderId="0"/>
    <xf numFmtId="0" fontId="168" fillId="29" borderId="0"/>
    <xf numFmtId="0" fontId="165" fillId="94" borderId="0"/>
    <xf numFmtId="167" fontId="166" fillId="94" borderId="0"/>
    <xf numFmtId="0" fontId="167" fillId="61" borderId="0"/>
    <xf numFmtId="230" fontId="168" fillId="29" borderId="0"/>
    <xf numFmtId="231" fontId="166" fillId="94" borderId="0"/>
    <xf numFmtId="0" fontId="166" fillId="94" borderId="0"/>
    <xf numFmtId="167" fontId="165" fillId="61" borderId="0"/>
    <xf numFmtId="230" fontId="169" fillId="29" borderId="0"/>
    <xf numFmtId="230" fontId="169" fillId="29" borderId="0"/>
    <xf numFmtId="230" fontId="168" fillId="29" borderId="0"/>
    <xf numFmtId="231" fontId="168" fillId="29" borderId="0"/>
    <xf numFmtId="167" fontId="170" fillId="60" borderId="142"/>
    <xf numFmtId="167" fontId="171" fillId="60" borderId="142"/>
    <xf numFmtId="0" fontId="170" fillId="60" borderId="142"/>
    <xf numFmtId="0" fontId="170" fillId="60" borderId="142"/>
    <xf numFmtId="0" fontId="171" fillId="60" borderId="142"/>
    <xf numFmtId="0" fontId="170" fillId="60" borderId="142"/>
    <xf numFmtId="0" fontId="170" fillId="60" borderId="142"/>
    <xf numFmtId="0" fontId="170" fillId="60" borderId="142"/>
    <xf numFmtId="0" fontId="171" fillId="60" borderId="142"/>
    <xf numFmtId="167" fontId="170" fillId="60" borderId="142"/>
    <xf numFmtId="0" fontId="170" fillId="60" borderId="142"/>
    <xf numFmtId="0" fontId="170" fillId="60" borderId="142"/>
    <xf numFmtId="0" fontId="170" fillId="60" borderId="142"/>
    <xf numFmtId="0" fontId="170" fillId="60" borderId="142"/>
    <xf numFmtId="0" fontId="172" fillId="30" borderId="35"/>
    <xf numFmtId="0" fontId="173" fillId="0" borderId="0"/>
    <xf numFmtId="0" fontId="170" fillId="60" borderId="142"/>
    <xf numFmtId="0" fontId="170" fillId="60" borderId="142"/>
    <xf numFmtId="0" fontId="170" fillId="60" borderId="142"/>
    <xf numFmtId="0" fontId="173" fillId="0" borderId="0"/>
    <xf numFmtId="0" fontId="170" fillId="60" borderId="142"/>
    <xf numFmtId="0" fontId="170" fillId="60" borderId="142"/>
    <xf numFmtId="0" fontId="170" fillId="60" borderId="142"/>
    <xf numFmtId="0" fontId="170" fillId="60" borderId="142"/>
    <xf numFmtId="0" fontId="174" fillId="71" borderId="142"/>
    <xf numFmtId="0" fontId="172" fillId="30" borderId="35"/>
    <xf numFmtId="0" fontId="170" fillId="60" borderId="142"/>
    <xf numFmtId="167" fontId="171" fillId="60" borderId="142"/>
    <xf numFmtId="0" fontId="170" fillId="60" borderId="142"/>
    <xf numFmtId="230" fontId="172" fillId="30" borderId="35"/>
    <xf numFmtId="231" fontId="171" fillId="60" borderId="142"/>
    <xf numFmtId="0" fontId="171" fillId="60" borderId="142"/>
    <xf numFmtId="167" fontId="170" fillId="60" borderId="142"/>
    <xf numFmtId="230" fontId="175" fillId="30" borderId="35"/>
    <xf numFmtId="230" fontId="175" fillId="30" borderId="35"/>
    <xf numFmtId="230" fontId="172" fillId="30" borderId="35"/>
    <xf numFmtId="231" fontId="172" fillId="30" borderId="35"/>
    <xf numFmtId="167" fontId="176" fillId="95" borderId="40"/>
    <xf numFmtId="167" fontId="177" fillId="95" borderId="40"/>
    <xf numFmtId="0" fontId="176" fillId="95" borderId="40"/>
    <xf numFmtId="0" fontId="177" fillId="95" borderId="40"/>
    <xf numFmtId="0" fontId="176" fillId="95" borderId="40"/>
    <xf numFmtId="0" fontId="177" fillId="95" borderId="40"/>
    <xf numFmtId="167" fontId="176" fillId="95" borderId="40"/>
    <xf numFmtId="0" fontId="178" fillId="31" borderId="36"/>
    <xf numFmtId="0" fontId="179" fillId="31" borderId="36"/>
    <xf numFmtId="0" fontId="179" fillId="31" borderId="36"/>
    <xf numFmtId="0" fontId="180" fillId="95" borderId="40"/>
    <xf numFmtId="0" fontId="178" fillId="31" borderId="36"/>
    <xf numFmtId="0" fontId="176" fillId="95" borderId="40"/>
    <xf numFmtId="167" fontId="177" fillId="95" borderId="40"/>
    <xf numFmtId="0" fontId="176" fillId="95" borderId="40"/>
    <xf numFmtId="230" fontId="178" fillId="31" borderId="36"/>
    <xf numFmtId="231" fontId="177" fillId="95" borderId="40"/>
    <xf numFmtId="0" fontId="177" fillId="95" borderId="40"/>
    <xf numFmtId="167" fontId="176" fillId="95" borderId="40"/>
    <xf numFmtId="230" fontId="179" fillId="31" borderId="36"/>
    <xf numFmtId="230" fontId="179" fillId="31" borderId="36"/>
    <xf numFmtId="230" fontId="178" fillId="31" borderId="36"/>
    <xf numFmtId="231" fontId="178" fillId="31" borderId="36"/>
    <xf numFmtId="232" fontId="181" fillId="0" borderId="0" applyAlignment="1">
      <alignment vertical="center"/>
    </xf>
    <xf numFmtId="0" fontId="4" fillId="0" borderId="0"/>
    <xf numFmtId="0" fontId="4" fillId="0" borderId="0"/>
    <xf numFmtId="0" fontId="148" fillId="69" borderId="0"/>
    <xf numFmtId="0" fontId="148" fillId="61" borderId="0"/>
    <xf numFmtId="0" fontId="148" fillId="70" borderId="0"/>
    <xf numFmtId="0" fontId="148" fillId="59" borderId="0"/>
    <xf numFmtId="0" fontId="156" fillId="103" borderId="0"/>
    <xf numFmtId="0" fontId="156" fillId="93" borderId="0"/>
    <xf numFmtId="0" fontId="148" fillId="64" borderId="0"/>
    <xf numFmtId="0" fontId="148" fillId="68" borderId="0"/>
    <xf numFmtId="0" fontId="148" fillId="72" borderId="0"/>
    <xf numFmtId="0" fontId="148" fillId="59" borderId="0"/>
    <xf numFmtId="0" fontId="208" fillId="62" borderId="142"/>
    <xf numFmtId="0" fontId="148" fillId="73" borderId="0"/>
    <xf numFmtId="0" fontId="156" fillId="75" borderId="0"/>
    <xf numFmtId="0" fontId="156" fillId="68" borderId="0"/>
    <xf numFmtId="0" fontId="156" fillId="72" borderId="0"/>
    <xf numFmtId="0" fontId="156" fillId="76" borderId="0"/>
    <xf numFmtId="0" fontId="170" fillId="71" borderId="142"/>
    <xf numFmtId="0" fontId="156" fillId="77"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65" fillId="61" borderId="0"/>
    <xf numFmtId="0" fontId="170" fillId="71" borderId="142"/>
    <xf numFmtId="0" fontId="156" fillId="103" borderId="0"/>
    <xf numFmtId="44" fontId="4" fillId="0" borderId="0"/>
    <xf numFmtId="0" fontId="91" fillId="0" borderId="0"/>
    <xf numFmtId="233" fontId="4" fillId="0" borderId="0"/>
    <xf numFmtId="0" fontId="203" fillId="0" borderId="0"/>
    <xf numFmtId="0" fontId="204" fillId="70" borderId="0"/>
    <xf numFmtId="0" fontId="148" fillId="65" borderId="143"/>
    <xf numFmtId="0" fontId="113" fillId="0" borderId="52" applyAlignment="1">
      <alignment horizontal="left" vertical="center"/>
    </xf>
    <xf numFmtId="0" fontId="205" fillId="0" borderId="53"/>
    <xf numFmtId="0" fontId="206" fillId="0" borderId="54"/>
    <xf numFmtId="0" fontId="207" fillId="0" borderId="55"/>
    <xf numFmtId="0" fontId="207" fillId="0" borderId="0"/>
    <xf numFmtId="0" fontId="208" fillId="62" borderId="142"/>
    <xf numFmtId="0" fontId="209" fillId="0" borderId="56"/>
    <xf numFmtId="0" fontId="210" fillId="67" borderId="0"/>
    <xf numFmtId="0" fontId="148" fillId="65" borderId="143"/>
    <xf numFmtId="0" fontId="211" fillId="71" borderId="144"/>
    <xf numFmtId="0" fontId="212" fillId="0" borderId="0"/>
    <xf numFmtId="0" fontId="213" fillId="0" borderId="145"/>
    <xf numFmtId="43" fontId="214" fillId="0" borderId="0"/>
    <xf numFmtId="44" fontId="4" fillId="0" borderId="0"/>
    <xf numFmtId="0" fontId="215" fillId="0" borderId="0"/>
    <xf numFmtId="0" fontId="202" fillId="0" borderId="0"/>
    <xf numFmtId="0" fontId="4" fillId="0" borderId="0"/>
    <xf numFmtId="9" fontId="4" fillId="0" borderId="0"/>
    <xf numFmtId="0" fontId="156" fillId="85" borderId="0"/>
    <xf numFmtId="0" fontId="156" fillId="89" borderId="0"/>
    <xf numFmtId="44" fontId="4" fillId="0" borderId="0"/>
    <xf numFmtId="0" fontId="156" fillId="76" borderId="0"/>
    <xf numFmtId="0" fontId="156" fillId="74" borderId="0"/>
    <xf numFmtId="0" fontId="156" fillId="93" borderId="0"/>
    <xf numFmtId="0" fontId="156" fillId="103" borderId="0"/>
    <xf numFmtId="0" fontId="156" fillId="85" borderId="0"/>
    <xf numFmtId="44" fontId="4" fillId="0" borderId="0"/>
    <xf numFmtId="0" fontId="156" fillId="89" borderId="0"/>
    <xf numFmtId="0" fontId="170" fillId="71" borderId="142"/>
    <xf numFmtId="0" fontId="156" fillId="76"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156" fillId="85" borderId="0"/>
    <xf numFmtId="0" fontId="156" fillId="103"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208" fillId="62" borderId="142"/>
    <xf numFmtId="0" fontId="156" fillId="103" borderId="0"/>
    <xf numFmtId="0" fontId="156" fillId="74" borderId="0"/>
    <xf numFmtId="44" fontId="4" fillId="0" borderId="0"/>
    <xf numFmtId="0" fontId="156" fillId="89" borderId="0"/>
    <xf numFmtId="0" fontId="156" fillId="85" borderId="0"/>
    <xf numFmtId="0" fontId="156" fillId="103" borderId="0"/>
    <xf numFmtId="0" fontId="208" fillId="62" borderId="142"/>
    <xf numFmtId="0" fontId="156" fillId="76" borderId="0"/>
    <xf numFmtId="0" fontId="4" fillId="0" borderId="0"/>
    <xf numFmtId="0" fontId="156" fillId="76" borderId="0"/>
    <xf numFmtId="0" fontId="170" fillId="71" borderId="142"/>
    <xf numFmtId="9" fontId="4" fillId="0" borderId="0"/>
    <xf numFmtId="0" fontId="156" fillId="85" borderId="0"/>
    <xf numFmtId="0" fontId="156" fillId="85" borderId="0"/>
    <xf numFmtId="0" fontId="208" fillId="62" borderId="142"/>
    <xf numFmtId="44" fontId="4" fillId="0" borderId="0"/>
    <xf numFmtId="0" fontId="156" fillId="93" borderId="0"/>
    <xf numFmtId="0" fontId="156" fillId="103" borderId="0"/>
    <xf numFmtId="0" fontId="4" fillId="0" borderId="0"/>
    <xf numFmtId="0" fontId="156" fillId="89" borderId="0"/>
    <xf numFmtId="44" fontId="4" fillId="0" borderId="0"/>
    <xf numFmtId="9" fontId="4" fillId="0" borderId="0"/>
    <xf numFmtId="0" fontId="156" fillId="85" borderId="0"/>
    <xf numFmtId="0" fontId="156" fillId="74" borderId="0"/>
    <xf numFmtId="0" fontId="156" fillId="74" borderId="0"/>
    <xf numFmtId="0" fontId="156" fillId="76" borderId="0"/>
    <xf numFmtId="0" fontId="208" fillId="62" borderId="142"/>
    <xf numFmtId="0" fontId="156" fillId="89" borderId="0"/>
    <xf numFmtId="0" fontId="156" fillId="85" borderId="0"/>
    <xf numFmtId="0" fontId="156" fillId="74" borderId="0"/>
    <xf numFmtId="0" fontId="4" fillId="0" borderId="0"/>
    <xf numFmtId="0" fontId="156" fillId="93" borderId="0"/>
    <xf numFmtId="0" fontId="156" fillId="93" borderId="0"/>
    <xf numFmtId="9" fontId="4" fillId="0" borderId="0"/>
    <xf numFmtId="0" fontId="156" fillId="89" borderId="0"/>
    <xf numFmtId="44" fontId="4" fillId="0" borderId="0"/>
    <xf numFmtId="0" fontId="156" fillId="93" borderId="0"/>
    <xf numFmtId="0" fontId="208" fillId="62" borderId="142"/>
    <xf numFmtId="0" fontId="156" fillId="85" borderId="0"/>
    <xf numFmtId="0" fontId="156" fillId="103" borderId="0"/>
    <xf numFmtId="0" fontId="4" fillId="0" borderId="0"/>
    <xf numFmtId="0" fontId="156" fillId="85" borderId="0"/>
    <xf numFmtId="0" fontId="156" fillId="89" borderId="0"/>
    <xf numFmtId="9" fontId="4" fillId="0"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4" fillId="0" borderId="0"/>
    <xf numFmtId="0" fontId="156" fillId="76" borderId="0"/>
    <xf numFmtId="0" fontId="156" fillId="103" borderId="0"/>
    <xf numFmtId="9" fontId="4" fillId="0" borderId="0"/>
    <xf numFmtId="44" fontId="4" fillId="0" borderId="0"/>
    <xf numFmtId="0" fontId="148" fillId="65" borderId="143"/>
    <xf numFmtId="0" fontId="211" fillId="71" borderId="144"/>
    <xf numFmtId="0" fontId="156" fillId="89" borderId="0"/>
    <xf numFmtId="0" fontId="213" fillId="0" borderId="145"/>
    <xf numFmtId="0" fontId="156" fillId="85" borderId="0"/>
    <xf numFmtId="0" fontId="148" fillId="65" borderId="143"/>
    <xf numFmtId="0" fontId="4" fillId="0" borderId="0"/>
    <xf numFmtId="0" fontId="208" fillId="62" borderId="142"/>
    <xf numFmtId="44" fontId="4" fillId="0" borderId="0"/>
    <xf numFmtId="9" fontId="4" fillId="0" borderId="0"/>
    <xf numFmtId="0" fontId="156" fillId="89" borderId="0"/>
    <xf numFmtId="0" fontId="208" fillId="62" borderId="142"/>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156" fillId="85" borderId="0"/>
    <xf numFmtId="0" fontId="156" fillId="103" borderId="0"/>
    <xf numFmtId="0" fontId="208" fillId="62" borderId="142"/>
    <xf numFmtId="0" fontId="4" fillId="0"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4" fillId="0" borderId="0"/>
    <xf numFmtId="9" fontId="4" fillId="0" borderId="0"/>
    <xf numFmtId="0" fontId="148" fillId="65" borderId="143"/>
    <xf numFmtId="0" fontId="211" fillId="71" borderId="144"/>
    <xf numFmtId="0" fontId="213" fillId="0" borderId="145"/>
    <xf numFmtId="9" fontId="4" fillId="0" borderId="0"/>
    <xf numFmtId="0" fontId="1" fillId="0" borderId="0"/>
    <xf numFmtId="0" fontId="151" fillId="0" borderId="0"/>
    <xf numFmtId="0" fontId="217" fillId="0" borderId="0"/>
    <xf numFmtId="0" fontId="151" fillId="0" borderId="0"/>
  </cellStyleXfs>
  <cellXfs count="1011">
    <xf numFmtId="0" fontId="0" fillId="0" borderId="0" pivotButton="0" quotePrefix="0" xfId="0"/>
    <xf numFmtId="0" fontId="4" fillId="0" borderId="0" pivotButton="0" quotePrefix="0" xfId="3"/>
    <xf numFmtId="0" fontId="5" fillId="2" borderId="0" pivotButton="0" quotePrefix="0" xfId="3"/>
    <xf numFmtId="0" fontId="4" fillId="2" borderId="0" pivotButton="0" quotePrefix="0" xfId="3"/>
    <xf numFmtId="0" fontId="6" fillId="2" borderId="0" pivotButton="0" quotePrefix="0" xfId="3"/>
    <xf numFmtId="0" fontId="4" fillId="3" borderId="0" pivotButton="0" quotePrefix="0" xfId="3"/>
    <xf numFmtId="0" fontId="7" fillId="2" borderId="1" pivotButton="0" quotePrefix="0" xfId="3"/>
    <xf numFmtId="0" fontId="4" fillId="2" borderId="2" pivotButton="0" quotePrefix="0" xfId="3"/>
    <xf numFmtId="0" fontId="4" fillId="2" borderId="3" pivotButton="0" quotePrefix="0" xfId="3"/>
    <xf numFmtId="0" fontId="8" fillId="2" borderId="4" pivotButton="0" quotePrefix="0" xfId="3"/>
    <xf numFmtId="0" fontId="4" fillId="2" borderId="5" pivotButton="0" quotePrefix="0" xfId="3"/>
    <xf numFmtId="0" fontId="9" fillId="2" borderId="4" pivotButton="0" quotePrefix="0" xfId="3"/>
    <xf numFmtId="0" fontId="10" fillId="2" borderId="4" pivotButton="0" quotePrefix="0" xfId="3"/>
    <xf numFmtId="0" fontId="11" fillId="2" borderId="6" pivotButton="0" quotePrefix="0" xfId="3"/>
    <xf numFmtId="0" fontId="4" fillId="2" borderId="7" pivotButton="0" quotePrefix="0" xfId="3"/>
    <xf numFmtId="0" fontId="4" fillId="2" borderId="8" pivotButton="0" quotePrefix="0" xfId="3"/>
    <xf numFmtId="0" fontId="4" fillId="3" borderId="0" pivotButton="0" quotePrefix="1" xfId="3"/>
    <xf numFmtId="0" fontId="9" fillId="3" borderId="0" pivotButton="0" quotePrefix="0" xfId="3"/>
    <xf numFmtId="0" fontId="4" fillId="3" borderId="0" applyAlignment="1" pivotButton="0" quotePrefix="0" xfId="3">
      <alignment horizontal="left"/>
    </xf>
    <xf numFmtId="0" fontId="4" fillId="3" borderId="0" applyAlignment="1" pivotButton="0" quotePrefix="0" xfId="3">
      <alignment horizontal="right"/>
    </xf>
    <xf numFmtId="0" fontId="0" fillId="3" borderId="0" pivotButton="0" quotePrefix="0" xfId="0"/>
    <xf numFmtId="0" fontId="3" fillId="3" borderId="0" pivotButton="0" quotePrefix="0" xfId="0"/>
    <xf numFmtId="0" fontId="3" fillId="0" borderId="0" pivotButton="0" quotePrefix="0" xfId="0"/>
    <xf numFmtId="0" fontId="14" fillId="0" borderId="0" pivotButton="0" quotePrefix="0" xfId="0"/>
    <xf numFmtId="0" fontId="14" fillId="0" borderId="0" applyAlignment="1" pivotButton="0" quotePrefix="0" xfId="0">
      <alignment horizontal="right"/>
    </xf>
    <xf numFmtId="0" fontId="0" fillId="0" borderId="0" applyAlignment="1" pivotButton="0" quotePrefix="0" xfId="0">
      <alignment horizontal="right"/>
    </xf>
    <xf numFmtId="0" fontId="3" fillId="0" borderId="0" applyAlignment="1" pivotButton="0" quotePrefix="0" xfId="0">
      <alignment horizontal="right"/>
    </xf>
    <xf numFmtId="0" fontId="15" fillId="5" borderId="0" pivotButton="0" quotePrefix="0" xfId="4"/>
    <xf numFmtId="0" fontId="16" fillId="5" borderId="0" pivotButton="0" quotePrefix="0" xfId="4"/>
    <xf numFmtId="164" fontId="9" fillId="0" borderId="0" pivotButton="0" quotePrefix="0" xfId="1"/>
    <xf numFmtId="164" fontId="4" fillId="0" borderId="0" pivotButton="0" quotePrefix="0" xfId="1"/>
    <xf numFmtId="0" fontId="4" fillId="0" borderId="0" pivotButton="0" quotePrefix="0" xfId="0"/>
    <xf numFmtId="0" fontId="3" fillId="3" borderId="0" applyAlignment="1" pivotButton="0" quotePrefix="0" xfId="0">
      <alignment horizontal="left"/>
    </xf>
    <xf numFmtId="0" fontId="0" fillId="0" borderId="0" applyAlignment="1" pivotButton="0" quotePrefix="0" xfId="0">
      <alignment horizontal="left" indent="2"/>
    </xf>
    <xf numFmtId="0" fontId="17" fillId="6" borderId="0" pivotButton="0" quotePrefix="0" xfId="4"/>
    <xf numFmtId="165" fontId="0" fillId="0" borderId="0" pivotButton="0" quotePrefix="0" xfId="0"/>
    <xf numFmtId="0" fontId="28" fillId="0" borderId="0" applyAlignment="1" pivotButton="0" quotePrefix="0" xfId="0">
      <alignment horizontal="center"/>
    </xf>
    <xf numFmtId="0" fontId="17" fillId="5" borderId="0" applyAlignment="1" pivotButton="0" quotePrefix="0" xfId="4">
      <alignment horizontal="center" vertical="top" wrapText="1"/>
    </xf>
    <xf numFmtId="0" fontId="31" fillId="3" borderId="0" applyAlignment="1" pivotButton="0" quotePrefix="0" xfId="0">
      <alignment horizontal="left"/>
    </xf>
    <xf numFmtId="0" fontId="0" fillId="5" borderId="0" pivotButton="0" quotePrefix="0" xfId="0"/>
    <xf numFmtId="0" fontId="3" fillId="0" borderId="0" applyAlignment="1" pivotButton="0" quotePrefix="0" xfId="0">
      <alignment horizontal="left"/>
    </xf>
    <xf numFmtId="165" fontId="3" fillId="0" borderId="0" pivotButton="0" quotePrefix="0" xfId="0"/>
    <xf numFmtId="0" fontId="32" fillId="0" borderId="0" pivotButton="0" quotePrefix="0" xfId="0"/>
    <xf numFmtId="0" fontId="19" fillId="0" borderId="0" applyAlignment="1" pivotButton="0" quotePrefix="0" xfId="0">
      <alignment horizontal="left" indent="1"/>
    </xf>
    <xf numFmtId="0" fontId="19" fillId="0" borderId="0" pivotButton="0" quotePrefix="0" xfId="0"/>
    <xf numFmtId="165" fontId="33" fillId="0" borderId="0" pivotButton="0" quotePrefix="0" xfId="0"/>
    <xf numFmtId="14" fontId="19" fillId="0" borderId="0" pivotButton="0" quotePrefix="0" xfId="0"/>
    <xf numFmtId="39" fontId="19" fillId="0" borderId="0" pivotButton="0" quotePrefix="0" xfId="0"/>
    <xf numFmtId="39" fontId="0" fillId="0" borderId="0" pivotButton="0" quotePrefix="0" xfId="0"/>
    <xf numFmtId="0" fontId="28" fillId="0" borderId="0" applyAlignment="1" pivotButton="0" quotePrefix="0" xfId="0">
      <alignment horizontal="right"/>
    </xf>
    <xf numFmtId="37" fontId="0" fillId="0" borderId="0" pivotButton="0" quotePrefix="0" xfId="0"/>
    <xf numFmtId="166" fontId="36" fillId="0" borderId="12" pivotButton="0" quotePrefix="0" xfId="0"/>
    <xf numFmtId="0" fontId="4" fillId="0" borderId="0" applyAlignment="1" pivotButton="0" quotePrefix="0" xfId="4">
      <alignment horizontal="left"/>
    </xf>
    <xf numFmtId="0" fontId="4" fillId="0" borderId="0" pivotButton="0" quotePrefix="0" xfId="4"/>
    <xf numFmtId="165" fontId="37" fillId="0" borderId="0" pivotButton="0" quotePrefix="0" xfId="4"/>
    <xf numFmtId="39" fontId="37" fillId="0" borderId="0" pivotButton="0" quotePrefix="0" xfId="1"/>
    <xf numFmtId="0" fontId="0" fillId="3" borderId="0" applyAlignment="1" pivotButton="0" quotePrefix="0" xfId="0">
      <alignment horizontal="left"/>
    </xf>
    <xf numFmtId="0" fontId="14" fillId="3" borderId="0" pivotButton="0" quotePrefix="0" xfId="0"/>
    <xf numFmtId="14" fontId="14" fillId="3" borderId="0" pivotButton="0" quotePrefix="0" xfId="0"/>
    <xf numFmtId="165" fontId="4" fillId="0" borderId="0" pivotButton="0" quotePrefix="0" xfId="4"/>
    <xf numFmtId="165" fontId="0" fillId="3" borderId="0" pivotButton="0" quotePrefix="0" xfId="0"/>
    <xf numFmtId="0" fontId="3" fillId="3" borderId="0" applyAlignment="1" pivotButton="0" quotePrefix="0" xfId="0">
      <alignment horizontal="center"/>
    </xf>
    <xf numFmtId="0" fontId="31" fillId="3" borderId="0" pivotButton="0" quotePrefix="0" xfId="0"/>
    <xf numFmtId="0" fontId="4" fillId="2" borderId="0" pivotButton="0" quotePrefix="0" xfId="4"/>
    <xf numFmtId="37" fontId="0" fillId="3" borderId="0" pivotButton="0" quotePrefix="0" xfId="0"/>
    <xf numFmtId="167" fontId="2" fillId="0" borderId="0" pivotButton="0" quotePrefix="0" xfId="0"/>
    <xf numFmtId="37" fontId="3" fillId="3" borderId="0" pivotButton="0" quotePrefix="0" xfId="0"/>
    <xf numFmtId="0" fontId="0" fillId="3" borderId="0" applyAlignment="1" pivotButton="0" quotePrefix="0" xfId="0">
      <alignment horizontal="right"/>
    </xf>
    <xf numFmtId="0" fontId="3" fillId="3" borderId="15" pivotButton="0" quotePrefix="0" xfId="0"/>
    <xf numFmtId="168" fontId="9" fillId="3" borderId="15" applyAlignment="1" pivotButton="0" quotePrefix="0" xfId="0">
      <alignment horizontal="right"/>
    </xf>
    <xf numFmtId="39" fontId="0" fillId="3" borderId="0" pivotButton="0" quotePrefix="0" xfId="0"/>
    <xf numFmtId="0" fontId="0" fillId="3" borderId="10" applyAlignment="1" pivotButton="0" quotePrefix="0" xfId="0">
      <alignment horizontal="left"/>
    </xf>
    <xf numFmtId="37" fontId="9" fillId="0" borderId="0" pivotButton="0" quotePrefix="0" xfId="0"/>
    <xf numFmtId="165" fontId="2" fillId="0" borderId="0" pivotButton="0" quotePrefix="0" xfId="0"/>
    <xf numFmtId="0" fontId="0" fillId="0" borderId="0" applyAlignment="1" pivotButton="0" quotePrefix="0" xfId="0">
      <alignment horizontal="left" indent="1"/>
    </xf>
    <xf numFmtId="37" fontId="2" fillId="3" borderId="0" pivotButton="0" quotePrefix="0" xfId="0"/>
    <xf numFmtId="164" fontId="4" fillId="0" borderId="0" pivotButton="0" quotePrefix="0" xfId="0"/>
    <xf numFmtId="0" fontId="23" fillId="0" borderId="0" pivotButton="0" quotePrefix="0" xfId="0"/>
    <xf numFmtId="164" fontId="24" fillId="0" borderId="0" pivotButton="0" quotePrefix="0" xfId="1"/>
    <xf numFmtId="37" fontId="25" fillId="0" borderId="0" pivotButton="0" quotePrefix="0" xfId="0"/>
    <xf numFmtId="164" fontId="25" fillId="0" borderId="0" pivotButton="0" quotePrefix="0" xfId="0"/>
    <xf numFmtId="0" fontId="17" fillId="6" borderId="0" pivotButton="0" quotePrefix="0" xfId="4"/>
    <xf numFmtId="37" fontId="19" fillId="0" borderId="0" pivotButton="0" quotePrefix="0" xfId="0"/>
    <xf numFmtId="166" fontId="40" fillId="0" borderId="0" pivotButton="0" quotePrefix="0" xfId="0"/>
    <xf numFmtId="43" fontId="0" fillId="0" borderId="0" pivotButton="0" quotePrefix="0" xfId="0"/>
    <xf numFmtId="0" fontId="0" fillId="0" borderId="11" pivotButton="0" quotePrefix="0" xfId="0"/>
    <xf numFmtId="164" fontId="24" fillId="0" borderId="0" pivotButton="0" quotePrefix="0" xfId="0"/>
    <xf numFmtId="165" fontId="24" fillId="0" borderId="0" pivotButton="0" quotePrefix="0" xfId="2"/>
    <xf numFmtId="164" fontId="24" fillId="0" borderId="0" pivotButton="0" quotePrefix="0" xfId="1"/>
    <xf numFmtId="0" fontId="0" fillId="3" borderId="0" applyAlignment="1" pivotButton="0" quotePrefix="0" xfId="0">
      <alignment horizontal="left" indent="1"/>
    </xf>
    <xf numFmtId="0" fontId="3" fillId="3" borderId="0" applyAlignment="1" pivotButton="0" quotePrefix="0" xfId="0">
      <alignment horizontal="left" indent="1"/>
    </xf>
    <xf numFmtId="164" fontId="26" fillId="0" borderId="0" pivotButton="0" quotePrefix="0" xfId="1"/>
    <xf numFmtId="9" fontId="4" fillId="3" borderId="0" applyAlignment="1" pivotButton="0" quotePrefix="0" xfId="2">
      <alignment horizontal="left" indent="1"/>
    </xf>
    <xf numFmtId="9" fontId="4" fillId="0" borderId="0" pivotButton="0" quotePrefix="0" xfId="0"/>
    <xf numFmtId="169" fontId="24" fillId="0" borderId="0" pivotButton="0" quotePrefix="0" xfId="1"/>
    <xf numFmtId="0" fontId="29" fillId="0" borderId="0" pivotButton="0" quotePrefix="0" xfId="0"/>
    <xf numFmtId="164" fontId="30" fillId="0" borderId="0" pivotButton="0" quotePrefix="0" xfId="1"/>
    <xf numFmtId="164" fontId="29" fillId="0" borderId="0" pivotButton="0" quotePrefix="0" xfId="1"/>
    <xf numFmtId="164" fontId="9" fillId="0" borderId="0" pivotButton="0" quotePrefix="0" xfId="1"/>
    <xf numFmtId="164" fontId="0" fillId="0" borderId="0" pivotButton="0" quotePrefix="0" xfId="1"/>
    <xf numFmtId="9" fontId="27" fillId="0" borderId="0" pivotButton="0" quotePrefix="0" xfId="2"/>
    <xf numFmtId="0" fontId="17" fillId="0" borderId="0" pivotButton="0" quotePrefix="0" xfId="4"/>
    <xf numFmtId="164" fontId="22" fillId="3" borderId="0" pivotButton="0" quotePrefix="0" xfId="1"/>
    <xf numFmtId="164" fontId="9" fillId="3" borderId="0" pivotButton="0" quotePrefix="0" xfId="1"/>
    <xf numFmtId="0" fontId="4" fillId="0" borderId="0" applyAlignment="1" pivotButton="0" quotePrefix="0" xfId="0">
      <alignment horizontal="left" indent="1"/>
    </xf>
    <xf numFmtId="0" fontId="0" fillId="0" borderId="0" applyAlignment="1" pivotButton="0" quotePrefix="0" xfId="0">
      <alignment horizontal="left"/>
    </xf>
    <xf numFmtId="0" fontId="19" fillId="0" borderId="0" applyAlignment="1" pivotButton="0" quotePrefix="0" xfId="0">
      <alignment horizontal="left"/>
    </xf>
    <xf numFmtId="164" fontId="22" fillId="0" borderId="0" pivotButton="0" quotePrefix="0" xfId="1"/>
    <xf numFmtId="164" fontId="0" fillId="0" borderId="0" pivotButton="0" quotePrefix="0" xfId="0"/>
    <xf numFmtId="9" fontId="0" fillId="0" borderId="0" pivotButton="0" quotePrefix="0" xfId="2"/>
    <xf numFmtId="9" fontId="0" fillId="0" borderId="0" pivotButton="0" quotePrefix="0" xfId="0"/>
    <xf numFmtId="0" fontId="22" fillId="0" borderId="0" pivotButton="0" quotePrefix="0" xfId="0"/>
    <xf numFmtId="164" fontId="22" fillId="0" borderId="0" pivotButton="0" quotePrefix="0" xfId="0"/>
    <xf numFmtId="170" fontId="19" fillId="0" borderId="0" pivotButton="0" quotePrefix="0" xfId="0"/>
    <xf numFmtId="165" fontId="0" fillId="0" borderId="0" pivotButton="0" quotePrefix="0" xfId="1"/>
    <xf numFmtId="0" fontId="9" fillId="3" borderId="9" applyAlignment="1" pivotButton="0" quotePrefix="0" xfId="3">
      <alignment wrapText="1"/>
    </xf>
    <xf numFmtId="0" fontId="4" fillId="3" borderId="9" applyAlignment="1" pivotButton="0" quotePrefix="0" xfId="3">
      <alignment wrapText="1"/>
    </xf>
    <xf numFmtId="0" fontId="4" fillId="8" borderId="9" applyAlignment="1" pivotButton="0" quotePrefix="0" xfId="3">
      <alignment wrapText="1"/>
    </xf>
    <xf numFmtId="43" fontId="26" fillId="0" borderId="0" pivotButton="0" quotePrefix="0" xfId="1"/>
    <xf numFmtId="164" fontId="4" fillId="3" borderId="0" pivotButton="0" quotePrefix="0" xfId="0"/>
    <xf numFmtId="164" fontId="33" fillId="0" borderId="0" pivotButton="0" quotePrefix="0" xfId="0"/>
    <xf numFmtId="164" fontId="26" fillId="0" borderId="0" pivotButton="0" quotePrefix="0" xfId="0"/>
    <xf numFmtId="164" fontId="9" fillId="0" borderId="0" pivotButton="0" quotePrefix="0" xfId="0"/>
    <xf numFmtId="164" fontId="26" fillId="0" borderId="0" pivotButton="0" quotePrefix="0" xfId="1"/>
    <xf numFmtId="171" fontId="4" fillId="0" borderId="0" pivotButton="0" quotePrefix="0" xfId="1"/>
    <xf numFmtId="171" fontId="18" fillId="0" borderId="0" pivotButton="0" quotePrefix="0" xfId="1"/>
    <xf numFmtId="164" fontId="18" fillId="0" borderId="0" pivotButton="0" quotePrefix="0" xfId="1"/>
    <xf numFmtId="164" fontId="22" fillId="0" borderId="0" pivotButton="0" quotePrefix="0" xfId="1"/>
    <xf numFmtId="164" fontId="3" fillId="0" borderId="0" pivotButton="0" quotePrefix="0" xfId="0"/>
    <xf numFmtId="164" fontId="3" fillId="0" borderId="0" pivotButton="0" quotePrefix="0" xfId="1"/>
    <xf numFmtId="172" fontId="0" fillId="0" borderId="0" pivotButton="0" quotePrefix="0" xfId="2"/>
    <xf numFmtId="164" fontId="3" fillId="0" borderId="0" pivotButton="0" quotePrefix="0" xfId="1"/>
    <xf numFmtId="164" fontId="30" fillId="0" borderId="0" pivotButton="0" quotePrefix="0" xfId="1"/>
    <xf numFmtId="164" fontId="29" fillId="0" borderId="0" pivotButton="0" quotePrefix="0" xfId="1"/>
    <xf numFmtId="164" fontId="18" fillId="0" borderId="0" pivotButton="0" quotePrefix="0" xfId="0"/>
    <xf numFmtId="164" fontId="4" fillId="0" borderId="0" pivotButton="0" quotePrefix="0" xfId="1"/>
    <xf numFmtId="0" fontId="20" fillId="0" borderId="0" pivotButton="0" quotePrefix="0" xfId="0"/>
    <xf numFmtId="164" fontId="21" fillId="0" borderId="0" pivotButton="0" quotePrefix="0" xfId="0"/>
    <xf numFmtId="165" fontId="24" fillId="0" borderId="0" pivotButton="0" quotePrefix="0" xfId="0"/>
    <xf numFmtId="43" fontId="30" fillId="0" borderId="0" pivotButton="0" quotePrefix="0" xfId="1"/>
    <xf numFmtId="37" fontId="4" fillId="0" borderId="0" pivotButton="0" quotePrefix="0" xfId="0"/>
    <xf numFmtId="164" fontId="22" fillId="0" borderId="0" pivotButton="0" quotePrefix="0" xfId="1"/>
    <xf numFmtId="164" fontId="0" fillId="0" borderId="0" pivotButton="0" quotePrefix="0" xfId="1"/>
    <xf numFmtId="164" fontId="4" fillId="0" borderId="0" pivotButton="0" quotePrefix="0" xfId="1"/>
    <xf numFmtId="164" fontId="18" fillId="0" borderId="0" pivotButton="0" quotePrefix="0" xfId="1"/>
    <xf numFmtId="164" fontId="18" fillId="0" borderId="0" pivotButton="0" quotePrefix="0" xfId="1"/>
    <xf numFmtId="0" fontId="31" fillId="0" borderId="0" applyAlignment="1" pivotButton="0" quotePrefix="0" xfId="0">
      <alignment horizontal="left"/>
    </xf>
    <xf numFmtId="164" fontId="9" fillId="0" borderId="0" pivotButton="0" quotePrefix="0" xfId="1"/>
    <xf numFmtId="164" fontId="30" fillId="0" borderId="0" pivotButton="0" quotePrefix="0" xfId="1"/>
    <xf numFmtId="164" fontId="39" fillId="0" borderId="0" pivotButton="0" quotePrefix="0" xfId="1"/>
    <xf numFmtId="43" fontId="39" fillId="0" borderId="0" pivotButton="0" quotePrefix="0" xfId="1"/>
    <xf numFmtId="164" fontId="40" fillId="0" borderId="0" pivotButton="0" quotePrefix="0" xfId="0"/>
    <xf numFmtId="37" fontId="24" fillId="0" borderId="0" pivotButton="0" quotePrefix="0" xfId="0"/>
    <xf numFmtId="164" fontId="39" fillId="0" borderId="0" pivotButton="0" quotePrefix="0" xfId="0"/>
    <xf numFmtId="173" fontId="24" fillId="0" borderId="0" pivotButton="0" quotePrefix="0" xfId="1"/>
    <xf numFmtId="9" fontId="4" fillId="0" borderId="0" pivotButton="0" quotePrefix="0" xfId="2"/>
    <xf numFmtId="39" fontId="25" fillId="0" borderId="0" pivotButton="0" quotePrefix="0" xfId="0"/>
    <xf numFmtId="174" fontId="18" fillId="0" borderId="0" pivotButton="0" quotePrefix="0" xfId="2"/>
    <xf numFmtId="164" fontId="26" fillId="3" borderId="0" pivotButton="0" quotePrefix="0" xfId="0"/>
    <xf numFmtId="164" fontId="24" fillId="3" borderId="0" pivotButton="0" quotePrefix="0" xfId="0"/>
    <xf numFmtId="165" fontId="26" fillId="3" borderId="0" pivotButton="0" quotePrefix="0" xfId="2"/>
    <xf numFmtId="165" fontId="26" fillId="0" borderId="0" pivotButton="0" quotePrefix="0" xfId="2"/>
    <xf numFmtId="14" fontId="33" fillId="0" borderId="0" pivotButton="0" quotePrefix="0" xfId="0"/>
    <xf numFmtId="14" fontId="42" fillId="0" borderId="0" pivotButton="0" quotePrefix="0" xfId="0"/>
    <xf numFmtId="39" fontId="33" fillId="0" borderId="0" pivotButton="0" quotePrefix="0" xfId="0"/>
    <xf numFmtId="170" fontId="42" fillId="0" borderId="0" pivotButton="0" quotePrefix="0" xfId="0"/>
    <xf numFmtId="164" fontId="0" fillId="3" borderId="0" pivotButton="0" quotePrefix="0" xfId="0"/>
    <xf numFmtId="43" fontId="18" fillId="0" borderId="0" pivotButton="0" quotePrefix="0" xfId="1"/>
    <xf numFmtId="172" fontId="18" fillId="0" borderId="0" pivotButton="0" quotePrefix="0" xfId="2"/>
    <xf numFmtId="0" fontId="17" fillId="0" borderId="0" pivotButton="0" quotePrefix="0" xfId="4"/>
    <xf numFmtId="164" fontId="29" fillId="0" borderId="0" pivotButton="0" quotePrefix="0" xfId="0"/>
    <xf numFmtId="172" fontId="29" fillId="0" borderId="0" pivotButton="0" quotePrefix="0" xfId="2"/>
    <xf numFmtId="164" fontId="18" fillId="4" borderId="0" pivotButton="0" quotePrefix="0" xfId="0"/>
    <xf numFmtId="43" fontId="22" fillId="0" borderId="0" pivotButton="0" quotePrefix="0" xfId="1"/>
    <xf numFmtId="0" fontId="4" fillId="0" borderId="0" applyAlignment="1" pivotButton="0" quotePrefix="0" xfId="0">
      <alignment horizontal="left"/>
    </xf>
    <xf numFmtId="164" fontId="25" fillId="0" borderId="0" pivotButton="0" quotePrefix="0" xfId="1"/>
    <xf numFmtId="0" fontId="0" fillId="0" borderId="16" pivotButton="0" quotePrefix="0" xfId="0"/>
    <xf numFmtId="165" fontId="4" fillId="0" borderId="16" pivotButton="0" quotePrefix="0" xfId="0"/>
    <xf numFmtId="0" fontId="4" fillId="0" borderId="16" pivotButton="0" quotePrefix="0" xfId="0"/>
    <xf numFmtId="165" fontId="4" fillId="0" borderId="0" pivotButton="0" quotePrefix="0" xfId="0"/>
    <xf numFmtId="165" fontId="0" fillId="0" borderId="10" pivotButton="0" quotePrefix="0" xfId="0"/>
    <xf numFmtId="0" fontId="0" fillId="0" borderId="10" pivotButton="0" quotePrefix="0" xfId="0"/>
    <xf numFmtId="165" fontId="4" fillId="0" borderId="10" pivotButton="0" quotePrefix="0" xfId="0"/>
    <xf numFmtId="0" fontId="4" fillId="0" borderId="10" pivotButton="0" quotePrefix="0" xfId="0"/>
    <xf numFmtId="0" fontId="43" fillId="9" borderId="15" applyAlignment="1" pivotButton="0" quotePrefix="0" xfId="0">
      <alignment horizontal="left"/>
    </xf>
    <xf numFmtId="39" fontId="4" fillId="0" borderId="16" pivotButton="0" quotePrefix="0" xfId="0"/>
    <xf numFmtId="165" fontId="4" fillId="0" borderId="0" applyAlignment="1" pivotButton="0" quotePrefix="0" xfId="0">
      <alignment horizontal="right"/>
    </xf>
    <xf numFmtId="39" fontId="4" fillId="0" borderId="10" pivotButton="0" quotePrefix="0" xfId="0"/>
    <xf numFmtId="168" fontId="43" fillId="9" borderId="15" applyAlignment="1" pivotButton="0" quotePrefix="0" xfId="0">
      <alignment horizontal="right"/>
    </xf>
    <xf numFmtId="0" fontId="44" fillId="9" borderId="15" applyAlignment="1" pivotButton="0" quotePrefix="0" xfId="0">
      <alignment horizontal="left"/>
    </xf>
    <xf numFmtId="9" fontId="4" fillId="0" borderId="0" pivotButton="0" quotePrefix="0" xfId="2"/>
    <xf numFmtId="0" fontId="19" fillId="0" borderId="0" applyAlignment="1" pivotButton="0" quotePrefix="0" xfId="0">
      <alignment horizontal="left" indent="2"/>
    </xf>
    <xf numFmtId="0" fontId="9" fillId="0" borderId="0" pivotButton="0" quotePrefix="0" xfId="4"/>
    <xf numFmtId="43" fontId="4" fillId="0" borderId="0" pivotButton="0" quotePrefix="0" xfId="0"/>
    <xf numFmtId="43" fontId="24" fillId="0" borderId="0" pivotButton="0" quotePrefix="0" xfId="1"/>
    <xf numFmtId="0" fontId="13" fillId="3" borderId="0" pivotButton="0" quotePrefix="0" xfId="7"/>
    <xf numFmtId="0" fontId="13" fillId="3" borderId="0" applyAlignment="1" pivotButton="0" quotePrefix="0" xfId="7">
      <alignment horizontal="center"/>
    </xf>
    <xf numFmtId="4" fontId="13" fillId="3" borderId="0" pivotButton="0" quotePrefix="0" xfId="7"/>
    <xf numFmtId="14" fontId="13" fillId="3" borderId="0" pivotButton="0" quotePrefix="0" xfId="7"/>
    <xf numFmtId="39" fontId="13" fillId="3" borderId="0" pivotButton="0" quotePrefix="0" xfId="7"/>
    <xf numFmtId="165" fontId="13" fillId="3" borderId="0" pivotButton="0" quotePrefix="0" xfId="7"/>
    <xf numFmtId="175" fontId="13" fillId="3" borderId="0" pivotButton="0" quotePrefix="0" xfId="7"/>
    <xf numFmtId="3" fontId="13" fillId="3" borderId="0" pivotButton="0" quotePrefix="0" xfId="7"/>
    <xf numFmtId="0" fontId="13" fillId="10" borderId="0" applyAlignment="1" pivotButton="0" quotePrefix="0" xfId="7">
      <alignment horizontal="center"/>
    </xf>
    <xf numFmtId="0" fontId="45" fillId="7" borderId="0" applyAlignment="1" pivotButton="0" quotePrefix="0" xfId="7">
      <alignment horizontal="center"/>
    </xf>
    <xf numFmtId="4" fontId="13" fillId="7"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0" fontId="13" fillId="3" borderId="0" applyAlignment="1" pivotButton="0" quotePrefix="0" xfId="7">
      <alignment horizontal="right"/>
    </xf>
    <xf numFmtId="176" fontId="13" fillId="10" borderId="0" pivotButton="0" quotePrefix="0" xfId="7"/>
    <xf numFmtId="0" fontId="13" fillId="3" borderId="0" applyAlignment="1" pivotButton="0" quotePrefix="0" xfId="7">
      <alignment horizontal="centerContinuous"/>
    </xf>
    <xf numFmtId="0" fontId="46" fillId="3" borderId="0" applyAlignment="1" pivotButton="0" quotePrefix="0" xfId="7">
      <alignment horizontal="centerContinuous"/>
    </xf>
    <xf numFmtId="0" fontId="47" fillId="9" borderId="0" pivotButton="0" quotePrefix="0" xfId="7"/>
    <xf numFmtId="4" fontId="0" fillId="0" borderId="0" pivotButton="0" quotePrefix="0" xfId="0"/>
    <xf numFmtId="165" fontId="13" fillId="11" borderId="0" pivotButton="0" quotePrefix="0" xfId="7"/>
    <xf numFmtId="165" fontId="48" fillId="12" borderId="0" pivotButton="0" quotePrefix="0" xfId="7"/>
    <xf numFmtId="39" fontId="13" fillId="11" borderId="0" pivotButton="0" quotePrefix="0" xfId="7"/>
    <xf numFmtId="39" fontId="48" fillId="12" borderId="0" pivotButton="0" quotePrefix="0" xfId="7"/>
    <xf numFmtId="0" fontId="13" fillId="7" borderId="0" pivotButton="0" quotePrefix="0" xfId="7"/>
    <xf numFmtId="0" fontId="49" fillId="3" borderId="0" pivotButton="0" quotePrefix="0" xfId="7"/>
    <xf numFmtId="0" fontId="49" fillId="3" borderId="0" applyAlignment="1" pivotButton="0" quotePrefix="0" xfId="7">
      <alignment horizontal="center"/>
    </xf>
    <xf numFmtId="175" fontId="4" fillId="0" borderId="0" pivotButton="0" quotePrefix="0" xfId="0"/>
    <xf numFmtId="39" fontId="43" fillId="9" borderId="17" applyAlignment="1" pivotButton="0" quotePrefix="0" xfId="0">
      <alignment horizontal="right"/>
    </xf>
    <xf numFmtId="0" fontId="50" fillId="9" borderId="18" pivotButton="0" quotePrefix="0" xfId="0"/>
    <xf numFmtId="0" fontId="50" fillId="9" borderId="19" applyAlignment="1" pivotButton="0" quotePrefix="0" xfId="0">
      <alignment horizontal="center"/>
    </xf>
    <xf numFmtId="0" fontId="50" fillId="9" borderId="0" applyAlignment="1" pivotButton="0" quotePrefix="0" xfId="0">
      <alignment horizontal="center"/>
    </xf>
    <xf numFmtId="0" fontId="50" fillId="9" borderId="11" applyAlignment="1" pivotButton="0" quotePrefix="0" xfId="0">
      <alignment horizontal="center"/>
    </xf>
    <xf numFmtId="164" fontId="39" fillId="3" borderId="0" pivotButton="0" quotePrefix="0" xfId="0"/>
    <xf numFmtId="177" fontId="0" fillId="3" borderId="16" pivotButton="0" quotePrefix="0" xfId="0"/>
    <xf numFmtId="174" fontId="0" fillId="3" borderId="16" pivotButton="0" quotePrefix="0" xfId="0"/>
    <xf numFmtId="174" fontId="0" fillId="3" borderId="20" pivotButton="0" quotePrefix="0" xfId="0"/>
    <xf numFmtId="177" fontId="0" fillId="3" borderId="21" pivotButton="0" quotePrefix="0" xfId="0"/>
    <xf numFmtId="39" fontId="0" fillId="3" borderId="22" pivotButton="0" quotePrefix="0" xfId="0"/>
    <xf numFmtId="0" fontId="0" fillId="3" borderId="16" pivotButton="0" quotePrefix="0" xfId="0"/>
    <xf numFmtId="177" fontId="0" fillId="3" borderId="0" pivotButton="0" quotePrefix="0" xfId="0"/>
    <xf numFmtId="174" fontId="0" fillId="3" borderId="0" pivotButton="0" quotePrefix="0" xfId="0"/>
    <xf numFmtId="174" fontId="0" fillId="3" borderId="19" pivotButton="0" quotePrefix="0" xfId="0"/>
    <xf numFmtId="177" fontId="0" fillId="3" borderId="11" pivotButton="0" quotePrefix="0" xfId="0"/>
    <xf numFmtId="39" fontId="0" fillId="3" borderId="14" pivotButton="0" quotePrefix="0" xfId="0"/>
    <xf numFmtId="175" fontId="0" fillId="3" borderId="14" pivotButton="0" quotePrefix="0" xfId="0"/>
    <xf numFmtId="177" fontId="0" fillId="3" borderId="10" pivotButton="0" quotePrefix="0" xfId="0"/>
    <xf numFmtId="174" fontId="0" fillId="3" borderId="10" pivotButton="0" quotePrefix="0" xfId="0"/>
    <xf numFmtId="174" fontId="0" fillId="3" borderId="17" pivotButton="0" quotePrefix="0" xfId="0"/>
    <xf numFmtId="177" fontId="0" fillId="3" borderId="18" pivotButton="0" quotePrefix="0" xfId="0"/>
    <xf numFmtId="175" fontId="0" fillId="3" borderId="13" pivotButton="0" quotePrefix="0" xfId="0"/>
    <xf numFmtId="0" fontId="0" fillId="3" borderId="10" pivotButton="0" quotePrefix="0" xfId="0"/>
    <xf numFmtId="0" fontId="0" fillId="3" borderId="16" applyAlignment="1" pivotButton="0" quotePrefix="0" xfId="0">
      <alignment horizontal="right"/>
    </xf>
    <xf numFmtId="0" fontId="0" fillId="3" borderId="20" applyAlignment="1" pivotButton="0" quotePrefix="0" xfId="0">
      <alignment horizontal="right"/>
    </xf>
    <xf numFmtId="0" fontId="0" fillId="3" borderId="21" applyAlignment="1" pivotButton="0" quotePrefix="0" xfId="0">
      <alignment horizontal="right"/>
    </xf>
    <xf numFmtId="0" fontId="0" fillId="3" borderId="22" applyAlignment="1" pivotButton="0" quotePrefix="0" xfId="0">
      <alignment horizontal="right"/>
    </xf>
    <xf numFmtId="0" fontId="51" fillId="3" borderId="10" applyAlignment="1" pivotButton="0" quotePrefix="0" xfId="0">
      <alignment horizontal="centerContinuous"/>
    </xf>
    <xf numFmtId="0" fontId="51" fillId="3" borderId="17" applyAlignment="1" pivotButton="0" quotePrefix="0" xfId="0">
      <alignment horizontal="centerContinuous"/>
    </xf>
    <xf numFmtId="0" fontId="51" fillId="3" borderId="18" applyAlignment="1" pivotButton="0" quotePrefix="0" xfId="0">
      <alignment horizontal="centerContinuous"/>
    </xf>
    <xf numFmtId="0" fontId="51" fillId="3" borderId="13" applyAlignment="1" pivotButton="0" quotePrefix="0" xfId="0">
      <alignment horizontal="centerContinuous"/>
    </xf>
    <xf numFmtId="177" fontId="0" fillId="0" borderId="16" pivotButton="0" quotePrefix="0" xfId="0"/>
    <xf numFmtId="178" fontId="0" fillId="0" borderId="16" pivotButton="0" quotePrefix="0" xfId="0"/>
    <xf numFmtId="178" fontId="0" fillId="0" borderId="20" pivotButton="0" quotePrefix="0" xfId="0"/>
    <xf numFmtId="177" fontId="0" fillId="0" borderId="21" pivotButton="0" quotePrefix="0" xfId="0"/>
    <xf numFmtId="178" fontId="0" fillId="0" borderId="22" pivotButton="0" quotePrefix="0" xfId="0"/>
    <xf numFmtId="39" fontId="0" fillId="0" borderId="19" pivotButton="0" quotePrefix="0" xfId="0"/>
    <xf numFmtId="165" fontId="0" fillId="0" borderId="11" pivotButton="0" quotePrefix="0" xfId="0"/>
    <xf numFmtId="39" fontId="0" fillId="0" borderId="14" pivotButton="0" quotePrefix="0" xfId="0"/>
    <xf numFmtId="165" fontId="0" fillId="0" borderId="16" pivotButton="0" quotePrefix="0" xfId="0"/>
    <xf numFmtId="165" fontId="0" fillId="0" borderId="20" pivotButton="0" quotePrefix="0" xfId="0"/>
    <xf numFmtId="177" fontId="0" fillId="0" borderId="10" pivotButton="0" quotePrefix="0" xfId="0"/>
    <xf numFmtId="165" fontId="0" fillId="0" borderId="17" pivotButton="0" quotePrefix="0" xfId="0"/>
    <xf numFmtId="177" fontId="0" fillId="0" borderId="18" pivotButton="0" quotePrefix="0" xfId="0"/>
    <xf numFmtId="175" fontId="0" fillId="0" borderId="0" pivotButton="0" quotePrefix="0" xfId="0"/>
    <xf numFmtId="175" fontId="0" fillId="0" borderId="19" pivotButton="0" quotePrefix="0" xfId="0"/>
    <xf numFmtId="175" fontId="0" fillId="0" borderId="14" pivotButton="0" quotePrefix="0" xfId="0"/>
    <xf numFmtId="0" fontId="0" fillId="0" borderId="16" applyAlignment="1" pivotButton="0" quotePrefix="0" xfId="0">
      <alignment horizontal="right"/>
    </xf>
    <xf numFmtId="0" fontId="0" fillId="0" borderId="21" applyAlignment="1" pivotButton="0" quotePrefix="0" xfId="0">
      <alignment horizontal="right"/>
    </xf>
    <xf numFmtId="0" fontId="0" fillId="0" borderId="20" applyAlignment="1" pivotButton="0" quotePrefix="0" xfId="0">
      <alignment horizontal="right"/>
    </xf>
    <xf numFmtId="0" fontId="0" fillId="0" borderId="22" applyAlignment="1" pivotButton="0" quotePrefix="0" xfId="0">
      <alignment horizontal="right"/>
    </xf>
    <xf numFmtId="0" fontId="51" fillId="0" borderId="10" applyAlignment="1" pivotButton="0" quotePrefix="0" xfId="0">
      <alignment horizontal="centerContinuous"/>
    </xf>
    <xf numFmtId="0" fontId="51" fillId="0" borderId="18" applyAlignment="1" pivotButton="0" quotePrefix="0" xfId="0">
      <alignment horizontal="centerContinuous"/>
    </xf>
    <xf numFmtId="0" fontId="51" fillId="0" borderId="17" applyAlignment="1" pivotButton="0" quotePrefix="0" xfId="0">
      <alignment horizontal="centerContinuous"/>
    </xf>
    <xf numFmtId="0" fontId="51" fillId="0" borderId="13" applyAlignment="1" pivotButton="0" quotePrefix="0" xfId="0">
      <alignment horizontal="centerContinuous"/>
    </xf>
    <xf numFmtId="14" fontId="3" fillId="0" borderId="0" pivotButton="0" quotePrefix="0" xfId="0"/>
    <xf numFmtId="0" fontId="52" fillId="0" borderId="0" pivotButton="0" quotePrefix="0" xfId="0"/>
    <xf numFmtId="164" fontId="36" fillId="0" borderId="0" pivotButton="0" quotePrefix="0" xfId="0"/>
    <xf numFmtId="0" fontId="2" fillId="3" borderId="0" pivotButton="0" quotePrefix="0" xfId="0"/>
    <xf numFmtId="0" fontId="38" fillId="0" borderId="0" applyAlignment="1" pivotButton="0" quotePrefix="0" xfId="0">
      <alignment horizontal="left"/>
    </xf>
    <xf numFmtId="0" fontId="2" fillId="0" borderId="0" pivotButton="0" quotePrefix="0" xfId="0"/>
    <xf numFmtId="165" fontId="0" fillId="3" borderId="21" pivotButton="0" quotePrefix="0" xfId="0"/>
    <xf numFmtId="165" fontId="0" fillId="3" borderId="16" pivotButton="0" quotePrefix="0" xfId="0"/>
    <xf numFmtId="165" fontId="0" fillId="3" borderId="20" pivotButton="0" quotePrefix="0" xfId="0"/>
    <xf numFmtId="0" fontId="18" fillId="3" borderId="16" pivotButton="0" quotePrefix="0" xfId="0"/>
    <xf numFmtId="165" fontId="0" fillId="3" borderId="11" pivotButton="0" quotePrefix="0" xfId="0"/>
    <xf numFmtId="165" fontId="0" fillId="3" borderId="19" pivotButton="0" quotePrefix="0" xfId="0"/>
    <xf numFmtId="0" fontId="18" fillId="3" borderId="0" pivotButton="0" quotePrefix="0" xfId="0"/>
    <xf numFmtId="0" fontId="50" fillId="9" borderId="0" pivotButton="0" quotePrefix="0" xfId="0"/>
    <xf numFmtId="0" fontId="50" fillId="9" borderId="11" pivotButton="0" quotePrefix="0" xfId="0"/>
    <xf numFmtId="0" fontId="50" fillId="9" borderId="19" pivotButton="0" quotePrefix="0" xfId="0"/>
    <xf numFmtId="0" fontId="43" fillId="9" borderId="0" pivotButton="0" quotePrefix="0" xfId="0"/>
    <xf numFmtId="165" fontId="0" fillId="3" borderId="0" applyAlignment="1" pivotButton="0" quotePrefix="0" xfId="0">
      <alignment horizontal="right"/>
    </xf>
    <xf numFmtId="37" fontId="0" fillId="3" borderId="11" pivotButton="0" quotePrefix="0" xfId="0"/>
    <xf numFmtId="37" fontId="0" fillId="3" borderId="19" pivotButton="0" quotePrefix="0" xfId="0"/>
    <xf numFmtId="39" fontId="0" fillId="3" borderId="11" pivotButton="0" quotePrefix="0" xfId="0"/>
    <xf numFmtId="39" fontId="0" fillId="3" borderId="19" pivotButton="0" quotePrefix="0" xfId="0"/>
    <xf numFmtId="0" fontId="0" fillId="3" borderId="11" applyAlignment="1" pivotButton="0" quotePrefix="0" xfId="0">
      <alignment horizontal="right"/>
    </xf>
    <xf numFmtId="0" fontId="0" fillId="3" borderId="19" applyAlignment="1" pivotButton="0" quotePrefix="0" xfId="0">
      <alignment horizontal="right"/>
    </xf>
    <xf numFmtId="0" fontId="0" fillId="3" borderId="15" applyAlignment="1" pivotButton="0" quotePrefix="0" xfId="0">
      <alignment horizontal="right"/>
    </xf>
    <xf numFmtId="0" fontId="0" fillId="3" borderId="23" applyAlignment="1" pivotButton="0" quotePrefix="0" xfId="0">
      <alignment horizontal="right"/>
    </xf>
    <xf numFmtId="0" fontId="0" fillId="3" borderId="24" applyAlignment="1" pivotButton="0" quotePrefix="0" xfId="0">
      <alignment horizontal="right"/>
    </xf>
    <xf numFmtId="0" fontId="0" fillId="3" borderId="15" pivotButton="0" quotePrefix="0" xfId="0"/>
    <xf numFmtId="0" fontId="18" fillId="3" borderId="25" applyAlignment="1" pivotButton="0" quotePrefix="0" xfId="0">
      <alignment horizontal="center"/>
    </xf>
    <xf numFmtId="0" fontId="0" fillId="3" borderId="26" pivotButton="0" quotePrefix="0" xfId="0"/>
    <xf numFmtId="0" fontId="17" fillId="9" borderId="0" pivotButton="0" quotePrefix="0" xfId="4"/>
    <xf numFmtId="165" fontId="0" fillId="3" borderId="16" applyAlignment="1" pivotButton="0" quotePrefix="0" xfId="0">
      <alignment horizontal="right"/>
    </xf>
    <xf numFmtId="165" fontId="0" fillId="3" borderId="21" applyAlignment="1" pivotButton="0" quotePrefix="0" xfId="0">
      <alignment horizontal="right"/>
    </xf>
    <xf numFmtId="0" fontId="50" fillId="9" borderId="0" applyAlignment="1" pivotButton="0" quotePrefix="0" xfId="0">
      <alignment horizontal="left"/>
    </xf>
    <xf numFmtId="0" fontId="0" fillId="3" borderId="11" pivotButton="0" quotePrefix="0" xfId="0"/>
    <xf numFmtId="0" fontId="17" fillId="9" borderId="0" applyAlignment="1" pivotButton="0" quotePrefix="0" xfId="4">
      <alignment horizontal="left"/>
    </xf>
    <xf numFmtId="43" fontId="9" fillId="0" borderId="0" pivotButton="0" quotePrefix="0" xfId="1"/>
    <xf numFmtId="0" fontId="0" fillId="3" borderId="27" pivotButton="0" quotePrefix="0" xfId="0"/>
    <xf numFmtId="0" fontId="17" fillId="0" borderId="0" applyAlignment="1" pivotButton="0" quotePrefix="0" xfId="4">
      <alignment horizontal="left"/>
    </xf>
    <xf numFmtId="0" fontId="18" fillId="0" borderId="0" applyAlignment="1" pivotButton="0" quotePrefix="0" xfId="0">
      <alignment horizontal="center"/>
    </xf>
    <xf numFmtId="0" fontId="54" fillId="9" borderId="19" applyAlignment="1" pivotButton="0" quotePrefix="0" xfId="0">
      <alignment horizontal="centerContinuous"/>
    </xf>
    <xf numFmtId="0" fontId="54" fillId="9" borderId="0" applyAlignment="1" pivotButton="0" quotePrefix="0" xfId="0">
      <alignment horizontal="centerContinuous"/>
    </xf>
    <xf numFmtId="0" fontId="54" fillId="9" borderId="11" applyAlignment="1" pivotButton="0" quotePrefix="0" xfId="0">
      <alignment horizontal="centerContinuous"/>
    </xf>
    <xf numFmtId="0" fontId="53" fillId="9" borderId="0" applyAlignment="1" pivotButton="0" quotePrefix="0" xfId="0">
      <alignment horizontal="centerContinuous"/>
    </xf>
    <xf numFmtId="0" fontId="50" fillId="9" borderId="17" applyAlignment="1" pivotButton="0" quotePrefix="0" xfId="0">
      <alignment horizontal="right"/>
    </xf>
    <xf numFmtId="0" fontId="50" fillId="9" borderId="10" applyAlignment="1" pivotButton="0" quotePrefix="0" xfId="0">
      <alignment horizontal="right"/>
    </xf>
    <xf numFmtId="0" fontId="50" fillId="9" borderId="18" applyAlignment="1" pivotButton="0" quotePrefix="0" xfId="0">
      <alignment horizontal="right"/>
    </xf>
    <xf numFmtId="0" fontId="0" fillId="3" borderId="18" applyAlignment="1" pivotButton="0" quotePrefix="0" xfId="0">
      <alignment horizontal="left"/>
    </xf>
    <xf numFmtId="37" fontId="0" fillId="3" borderId="10" pivotButton="0" quotePrefix="0" xfId="0"/>
    <xf numFmtId="37" fontId="0" fillId="3" borderId="18" pivotButton="0" quotePrefix="0" xfId="0"/>
    <xf numFmtId="0" fontId="0" fillId="3" borderId="11" applyAlignment="1" pivotButton="0" quotePrefix="0" xfId="0">
      <alignment horizontal="left"/>
    </xf>
    <xf numFmtId="0" fontId="0" fillId="3" borderId="21" applyAlignment="1" pivotButton="0" quotePrefix="0" xfId="0">
      <alignment horizontal="left"/>
    </xf>
    <xf numFmtId="39" fontId="0" fillId="3" borderId="10" pivotButton="0" quotePrefix="0" xfId="0"/>
    <xf numFmtId="0" fontId="4" fillId="3" borderId="0" applyAlignment="1" pivotButton="0" quotePrefix="0" xfId="0">
      <alignment horizontal="center" vertical="center"/>
    </xf>
    <xf numFmtId="39" fontId="48" fillId="3" borderId="0" pivotButton="0" quotePrefix="0" xfId="7"/>
    <xf numFmtId="9" fontId="0" fillId="3" borderId="0" pivotButton="0" quotePrefix="0" xfId="0"/>
    <xf numFmtId="37" fontId="3" fillId="3" borderId="10" pivotButton="0" quotePrefix="0" xfId="0"/>
    <xf numFmtId="0" fontId="3" fillId="3" borderId="10" applyAlignment="1" pivotButton="0" quotePrefix="0" xfId="0">
      <alignment horizontal="left"/>
    </xf>
    <xf numFmtId="0" fontId="3" fillId="3" borderId="15" applyAlignment="1" pivotButton="0" quotePrefix="0" xfId="0">
      <alignment horizontal="right"/>
    </xf>
    <xf numFmtId="0" fontId="3" fillId="3" borderId="15" applyAlignment="1" pivotButton="0" quotePrefix="0" xfId="0">
      <alignment horizontal="left"/>
    </xf>
    <xf numFmtId="39" fontId="0" fillId="3" borderId="16" pivotButton="0" quotePrefix="0" xfId="0"/>
    <xf numFmtId="0" fontId="0" fillId="3" borderId="16" applyAlignment="1" pivotButton="0" quotePrefix="0" xfId="0">
      <alignment horizontal="left"/>
    </xf>
    <xf numFmtId="166" fontId="0" fillId="3" borderId="0" pivotButton="0" quotePrefix="0" xfId="0"/>
    <xf numFmtId="0" fontId="0" fillId="0" borderId="0" applyAlignment="1" pivotButton="0" quotePrefix="1" xfId="0">
      <alignment horizontal="left" indent="1"/>
    </xf>
    <xf numFmtId="164" fontId="3" fillId="3" borderId="0" pivotButton="0" quotePrefix="0" xfId="0"/>
    <xf numFmtId="164" fontId="3" fillId="3" borderId="0" pivotButton="0" quotePrefix="0" xfId="1"/>
    <xf numFmtId="173" fontId="24" fillId="0" borderId="0" pivotButton="0" quotePrefix="0" xfId="1"/>
    <xf numFmtId="173" fontId="4" fillId="0" borderId="0" pivotButton="0" quotePrefix="0" xfId="1"/>
    <xf numFmtId="164" fontId="18" fillId="8" borderId="0" pivotButton="0" quotePrefix="0" xfId="1"/>
    <xf numFmtId="164" fontId="18" fillId="0" borderId="13" pivotButton="0" quotePrefix="0" xfId="1"/>
    <xf numFmtId="164" fontId="18" fillId="0" borderId="22" pivotButton="0" quotePrefix="0" xfId="1"/>
    <xf numFmtId="165" fontId="18" fillId="0" borderId="0" pivotButton="0" quotePrefix="0" xfId="1"/>
    <xf numFmtId="37" fontId="50" fillId="3" borderId="11" pivotButton="0" quotePrefix="0" xfId="0"/>
    <xf numFmtId="165" fontId="50" fillId="3" borderId="21" applyAlignment="1" pivotButton="0" quotePrefix="0" xfId="0">
      <alignment horizontal="right"/>
    </xf>
    <xf numFmtId="39" fontId="50" fillId="3" borderId="0" pivotButton="0" quotePrefix="0" xfId="0"/>
    <xf numFmtId="165" fontId="50" fillId="3" borderId="16" applyAlignment="1" pivotButton="0" quotePrefix="0" xfId="0">
      <alignment horizontal="right"/>
    </xf>
    <xf numFmtId="0" fontId="29" fillId="0" borderId="0" pivotButton="0" quotePrefix="0" xfId="1"/>
    <xf numFmtId="43" fontId="24" fillId="0" borderId="0" pivotButton="0" quotePrefix="0" xfId="0"/>
    <xf numFmtId="9" fontId="40" fillId="0" borderId="0" pivotButton="0" quotePrefix="0" xfId="2"/>
    <xf numFmtId="165" fontId="4" fillId="3" borderId="0" pivotButton="0" quotePrefix="0" xfId="0"/>
    <xf numFmtId="174" fontId="4" fillId="0" borderId="0" pivotButton="0" quotePrefix="0" xfId="0"/>
    <xf numFmtId="0" fontId="13" fillId="0" borderId="0" applyAlignment="1" pivotButton="0" quotePrefix="0" xfId="7">
      <alignment horizontal="right"/>
    </xf>
    <xf numFmtId="0" fontId="13" fillId="0" borderId="0" pivotButton="0" quotePrefix="0" xfId="7"/>
    <xf numFmtId="4" fontId="13" fillId="0" borderId="0" pivotButton="0" quotePrefix="0" xfId="7"/>
    <xf numFmtId="37" fontId="50" fillId="3" borderId="0" pivotButton="0" quotePrefix="0" xfId="0"/>
    <xf numFmtId="166" fontId="50" fillId="3" borderId="0" pivotButton="0" quotePrefix="0" xfId="0"/>
    <xf numFmtId="174" fontId="18" fillId="0" borderId="0" pivotButton="0" quotePrefix="0" xfId="1"/>
    <xf numFmtId="164" fontId="18" fillId="7" borderId="0" pivotButton="0" quotePrefix="0" xfId="1"/>
    <xf numFmtId="172" fontId="26" fillId="0" borderId="0" pivotButton="0" quotePrefix="0" xfId="2"/>
    <xf numFmtId="166" fontId="13" fillId="3" borderId="0" pivotButton="0" quotePrefix="0" xfId="7"/>
    <xf numFmtId="174" fontId="68" fillId="3" borderId="24" pivotButton="0" quotePrefix="0" xfId="7"/>
    <xf numFmtId="174" fontId="68" fillId="3" borderId="23" pivotButton="0" quotePrefix="0" xfId="7"/>
    <xf numFmtId="39" fontId="13" fillId="7" borderId="0" pivotButton="0" quotePrefix="0" xfId="7"/>
    <xf numFmtId="166" fontId="13" fillId="7" borderId="0" pivotButton="0" quotePrefix="0" xfId="7"/>
    <xf numFmtId="39" fontId="13" fillId="0" borderId="0" pivotButton="0" quotePrefix="0" xfId="7"/>
    <xf numFmtId="166" fontId="13" fillId="0" borderId="0" pivotButton="0" quotePrefix="0" xfId="7"/>
    <xf numFmtId="164" fontId="22" fillId="17" borderId="0" pivotButton="0" quotePrefix="0" xfId="1"/>
    <xf numFmtId="169" fontId="3" fillId="0" borderId="16" applyAlignment="1" pivotButton="0" quotePrefix="0" xfId="0">
      <alignment horizontal="center"/>
    </xf>
    <xf numFmtId="0" fontId="0" fillId="0" borderId="11" applyAlignment="1" pivotButton="0" quotePrefix="0" xfId="0">
      <alignment horizontal="left"/>
    </xf>
    <xf numFmtId="37" fontId="0" fillId="0" borderId="11" pivotButton="0" quotePrefix="0" xfId="0"/>
    <xf numFmtId="0" fontId="16" fillId="0" borderId="0" pivotButton="0" quotePrefix="0" xfId="4"/>
    <xf numFmtId="164" fontId="0" fillId="3" borderId="0" pivotButton="0" quotePrefix="0" xfId="1"/>
    <xf numFmtId="43" fontId="40" fillId="0" borderId="0" pivotButton="0" quotePrefix="0" xfId="0"/>
    <xf numFmtId="43" fontId="22" fillId="0" borderId="0" pivotButton="0" quotePrefix="0" xfId="1"/>
    <xf numFmtId="164" fontId="38" fillId="0" borderId="0" pivotButton="0" quotePrefix="0" xfId="1"/>
    <xf numFmtId="0" fontId="71" fillId="6" borderId="0" pivotButton="0" quotePrefix="0" xfId="4"/>
    <xf numFmtId="0" fontId="71" fillId="0" borderId="0" pivotButton="0" quotePrefix="0" xfId="4"/>
    <xf numFmtId="0" fontId="70" fillId="0" borderId="0" applyAlignment="1" pivotButton="0" quotePrefix="0" xfId="0">
      <alignment horizontal="left"/>
    </xf>
    <xf numFmtId="0" fontId="28" fillId="0" borderId="0" applyAlignment="1" pivotButton="0" quotePrefix="0" xfId="0">
      <alignment horizontal="left" indent="1"/>
    </xf>
    <xf numFmtId="0" fontId="28" fillId="0" borderId="0" pivotButton="0" quotePrefix="0" xfId="0"/>
    <xf numFmtId="0" fontId="70" fillId="0" borderId="0" pivotButton="0" quotePrefix="0" xfId="0"/>
    <xf numFmtId="0" fontId="72" fillId="0" borderId="0" applyAlignment="1" pivotButton="0" quotePrefix="0" xfId="0">
      <alignment horizontal="left" indent="1"/>
    </xf>
    <xf numFmtId="0" fontId="28" fillId="3" borderId="0" applyAlignment="1" pivotButton="0" quotePrefix="0" xfId="0">
      <alignment horizontal="left" indent="1"/>
    </xf>
    <xf numFmtId="0" fontId="70" fillId="3" borderId="0" applyAlignment="1" pivotButton="0" quotePrefix="0" xfId="0">
      <alignment horizontal="left" indent="1"/>
    </xf>
    <xf numFmtId="9" fontId="72" fillId="3" borderId="0" applyAlignment="1" pivotButton="0" quotePrefix="0" xfId="2">
      <alignment horizontal="left" indent="1"/>
    </xf>
    <xf numFmtId="0" fontId="28" fillId="0" borderId="0" applyAlignment="1" pivotButton="0" quotePrefix="0" xfId="0">
      <alignment horizontal="left"/>
    </xf>
    <xf numFmtId="0" fontId="73" fillId="0" borderId="0" pivotButton="0" quotePrefix="0" xfId="0"/>
    <xf numFmtId="9" fontId="0" fillId="3" borderId="0" pivotButton="0" quotePrefix="0" xfId="2"/>
    <xf numFmtId="0" fontId="66" fillId="0" borderId="0" applyAlignment="1" pivotButton="0" quotePrefix="0" xfId="0">
      <alignment horizontal="left" vertical="top"/>
    </xf>
    <xf numFmtId="164" fontId="2" fillId="0" borderId="0" pivotButton="0" quotePrefix="0" xfId="1"/>
    <xf numFmtId="9" fontId="36" fillId="0" borderId="0" pivotButton="0" quotePrefix="0" xfId="2"/>
    <xf numFmtId="0" fontId="38" fillId="3" borderId="0" pivotButton="0" quotePrefix="0" xfId="0"/>
    <xf numFmtId="164" fontId="2" fillId="0" borderId="0" pivotButton="0" quotePrefix="0" xfId="1"/>
    <xf numFmtId="1" fontId="0" fillId="0" borderId="0" pivotButton="0" quotePrefix="0" xfId="0"/>
    <xf numFmtId="174" fontId="0" fillId="0" borderId="0" pivotButton="0" quotePrefix="0" xfId="0"/>
    <xf numFmtId="37" fontId="3" fillId="0" borderId="0" pivotButton="0" quotePrefix="0" xfId="0"/>
    <xf numFmtId="174" fontId="24" fillId="0" borderId="0" pivotButton="0" quotePrefix="0" xfId="0"/>
    <xf numFmtId="164" fontId="4" fillId="8" borderId="0" pivotButton="0" quotePrefix="0" xfId="1"/>
    <xf numFmtId="3" fontId="0" fillId="0" borderId="0" pivotButton="0" quotePrefix="0" xfId="0"/>
    <xf numFmtId="172" fontId="0" fillId="0" borderId="0" pivotButton="0" quotePrefix="0" xfId="2"/>
    <xf numFmtId="173" fontId="4" fillId="0" borderId="0" pivotButton="0" quotePrefix="0" xfId="1"/>
    <xf numFmtId="0" fontId="74" fillId="9" borderId="0" applyAlignment="1" pivotButton="0" quotePrefix="0" xfId="0">
      <alignment vertical="center"/>
    </xf>
    <xf numFmtId="0" fontId="3" fillId="0" borderId="0" applyAlignment="1" pivotButton="0" quotePrefix="0" xfId="0">
      <alignment horizontal="left" indent="1"/>
    </xf>
    <xf numFmtId="0" fontId="3" fillId="0" borderId="0" pivotButton="0" quotePrefix="0" xfId="4"/>
    <xf numFmtId="0" fontId="34" fillId="0" borderId="0" applyAlignment="1" pivotButton="0" quotePrefix="0" xfId="7">
      <alignment vertical="center"/>
    </xf>
    <xf numFmtId="0" fontId="4" fillId="0" borderId="0" applyAlignment="1" pivotButton="0" quotePrefix="0" xfId="7">
      <alignment horizontal="left" vertical="center" indent="1"/>
    </xf>
    <xf numFmtId="179" fontId="3" fillId="0" borderId="0" pivotButton="0" quotePrefix="0" xfId="7"/>
    <xf numFmtId="0" fontId="0" fillId="0" borderId="0" pivotButton="0" quotePrefix="0" xfId="7"/>
    <xf numFmtId="0" fontId="9" fillId="0" borderId="0" applyAlignment="1" pivotButton="0" quotePrefix="0" xfId="7">
      <alignment vertical="center"/>
    </xf>
    <xf numFmtId="179" fontId="4" fillId="0" borderId="0" applyAlignment="1" pivotButton="0" quotePrefix="0" xfId="7">
      <alignment vertical="center"/>
    </xf>
    <xf numFmtId="179" fontId="9" fillId="0" borderId="0" pivotButton="0" quotePrefix="0" xfId="7"/>
    <xf numFmtId="0" fontId="0" fillId="0" borderId="0" applyAlignment="1" pivotButton="0" quotePrefix="0" xfId="7">
      <alignment horizontal="left" indent="1"/>
    </xf>
    <xf numFmtId="0" fontId="1" fillId="0" borderId="0" applyAlignment="1" pivotButton="0" quotePrefix="0" xfId="7">
      <alignment horizontal="left" indent="1"/>
    </xf>
    <xf numFmtId="0" fontId="3" fillId="0" borderId="0" pivotButton="0" quotePrefix="0" xfId="7"/>
    <xf numFmtId="175" fontId="3" fillId="0" borderId="0" pivotButton="0" quotePrefix="0" xfId="0"/>
    <xf numFmtId="175" fontId="24" fillId="0" borderId="0" pivotButton="0" quotePrefix="0" xfId="0"/>
    <xf numFmtId="165" fontId="25" fillId="0" borderId="0" pivotButton="0" quotePrefix="0" xfId="0"/>
    <xf numFmtId="0" fontId="43" fillId="9" borderId="0" pivotButton="0" quotePrefix="0" xfId="4"/>
    <xf numFmtId="37" fontId="2" fillId="0" borderId="0" pivotButton="0" quotePrefix="0" xfId="0"/>
    <xf numFmtId="0" fontId="9" fillId="0" borderId="0" pivotButton="0" quotePrefix="0" xfId="4"/>
    <xf numFmtId="179" fontId="0" fillId="0" borderId="0" applyAlignment="1" pivotButton="0" quotePrefix="0" xfId="7">
      <alignment horizontal="left"/>
    </xf>
    <xf numFmtId="0" fontId="0" fillId="0" borderId="0" applyAlignment="1" pivotButton="0" quotePrefix="0" xfId="7">
      <alignment horizontal="left"/>
    </xf>
    <xf numFmtId="180" fontId="4" fillId="0" borderId="0" pivotButton="0" quotePrefix="0" xfId="1"/>
    <xf numFmtId="0" fontId="73" fillId="0" borderId="0" applyAlignment="1" pivotButton="0" quotePrefix="0" xfId="0">
      <alignment horizontal="left" indent="1"/>
    </xf>
    <xf numFmtId="0" fontId="19" fillId="3" borderId="0" pivotButton="0" quotePrefix="0" xfId="0"/>
    <xf numFmtId="9" fontId="19" fillId="3" borderId="0" pivotButton="0" quotePrefix="0" xfId="2"/>
    <xf numFmtId="9" fontId="75" fillId="3" borderId="0" applyAlignment="1" pivotButton="0" quotePrefix="0" xfId="2">
      <alignment horizontal="left" indent="1"/>
    </xf>
    <xf numFmtId="172" fontId="19" fillId="3" borderId="0" pivotButton="0" quotePrefix="0" xfId="2"/>
    <xf numFmtId="0" fontId="76" fillId="0" borderId="0" pivotButton="0" quotePrefix="0" xfId="0"/>
    <xf numFmtId="0" fontId="76" fillId="3" borderId="0" pivotButton="0" quotePrefix="0" xfId="0"/>
    <xf numFmtId="175" fontId="0" fillId="3" borderId="0" pivotButton="0" quotePrefix="0" xfId="0"/>
    <xf numFmtId="9" fontId="26" fillId="0" borderId="0" pivotButton="0" quotePrefix="0" xfId="2"/>
    <xf numFmtId="3" fontId="2" fillId="3" borderId="0" pivotButton="0" quotePrefix="0" xfId="0"/>
    <xf numFmtId="9" fontId="2" fillId="3" borderId="0" pivotButton="0" quotePrefix="0" xfId="0"/>
    <xf numFmtId="3" fontId="0" fillId="3" borderId="0" pivotButton="0" quotePrefix="0" xfId="0"/>
    <xf numFmtId="165" fontId="0" fillId="0" borderId="0" applyAlignment="1" pivotButton="0" quotePrefix="0" xfId="0">
      <alignment horizontal="right"/>
    </xf>
    <xf numFmtId="43" fontId="4" fillId="0" borderId="0" pivotButton="0" quotePrefix="0" xfId="1"/>
    <xf numFmtId="0" fontId="3" fillId="0" borderId="15" applyAlignment="1" pivotButton="0" quotePrefix="0" xfId="0">
      <alignment horizontal="right"/>
    </xf>
    <xf numFmtId="37" fontId="3" fillId="0" borderId="10" pivotButton="0" quotePrefix="0" xfId="0"/>
    <xf numFmtId="0" fontId="3" fillId="0" borderId="15" applyAlignment="1" pivotButton="0" quotePrefix="0" xfId="0">
      <alignment horizontal="left"/>
    </xf>
    <xf numFmtId="0" fontId="3" fillId="0" borderId="10" applyAlignment="1" pivotButton="0" quotePrefix="0" xfId="0">
      <alignment horizontal="left"/>
    </xf>
    <xf numFmtId="0" fontId="3" fillId="0" borderId="16" applyAlignment="1" pivotButton="0" quotePrefix="0" xfId="0">
      <alignment horizontal="left"/>
    </xf>
    <xf numFmtId="37" fontId="3" fillId="0" borderId="16" pivotButton="0" quotePrefix="0" xfId="0"/>
    <xf numFmtId="166" fontId="36" fillId="0" borderId="0" pivotButton="0" quotePrefix="0" xfId="0"/>
    <xf numFmtId="180" fontId="0" fillId="0" borderId="0" applyAlignment="1" pivotButton="0" quotePrefix="0" xfId="0">
      <alignment horizontal="right"/>
    </xf>
    <xf numFmtId="14" fontId="2" fillId="3" borderId="0" applyAlignment="1" pivotButton="0" quotePrefix="0" xfId="0">
      <alignment horizontal="center"/>
    </xf>
    <xf numFmtId="168" fontId="38" fillId="3" borderId="0" applyAlignment="1" pivotButton="0" quotePrefix="0" xfId="0">
      <alignment horizontal="center"/>
    </xf>
    <xf numFmtId="0" fontId="36" fillId="0" borderId="0" applyAlignment="1" pivotButton="0" quotePrefix="0" xfId="0">
      <alignment horizontal="left"/>
    </xf>
    <xf numFmtId="0" fontId="32" fillId="0" borderId="0" applyAlignment="1" pivotButton="0" quotePrefix="0" xfId="0">
      <alignment horizontal="left"/>
    </xf>
    <xf numFmtId="164" fontId="38" fillId="0" borderId="0" pivotButton="0" quotePrefix="0" xfId="0"/>
    <xf numFmtId="164" fontId="2" fillId="0" borderId="0" pivotButton="0" quotePrefix="0" xfId="0"/>
    <xf numFmtId="164" fontId="27" fillId="0" borderId="0" pivotButton="0" quotePrefix="0" xfId="1"/>
    <xf numFmtId="37" fontId="3" fillId="7" borderId="9" pivotButton="0" quotePrefix="0" xfId="0"/>
    <xf numFmtId="165" fontId="4" fillId="0" borderId="16" applyAlignment="1" pivotButton="0" quotePrefix="0" xfId="0">
      <alignment horizontal="right"/>
    </xf>
    <xf numFmtId="181" fontId="38" fillId="9" borderId="10" applyAlignment="1" pivotButton="0" quotePrefix="0" xfId="0">
      <alignment horizontal="center"/>
    </xf>
    <xf numFmtId="169" fontId="3" fillId="0" borderId="20" applyAlignment="1" pivotButton="0" quotePrefix="0" xfId="0">
      <alignment horizontal="center"/>
    </xf>
    <xf numFmtId="41" fontId="0" fillId="3" borderId="0" pivotButton="0" quotePrefix="0" xfId="0"/>
    <xf numFmtId="9" fontId="3" fillId="0" borderId="0" pivotButton="0" quotePrefix="0" xfId="2"/>
    <xf numFmtId="43" fontId="25" fillId="0" borderId="0" pivotButton="0" quotePrefix="0" xfId="0"/>
    <xf numFmtId="0" fontId="19" fillId="0" borderId="0" applyAlignment="1" pivotButton="0" quotePrefix="0" xfId="7">
      <alignment horizontal="left"/>
    </xf>
    <xf numFmtId="43" fontId="2" fillId="0" borderId="0" pivotButton="0" quotePrefix="0" xfId="0"/>
    <xf numFmtId="9" fontId="2" fillId="0" borderId="0" pivotButton="0" quotePrefix="0" xfId="0"/>
    <xf numFmtId="165" fontId="26" fillId="0" borderId="0" pivotButton="0" quotePrefix="0" xfId="0"/>
    <xf numFmtId="172" fontId="26" fillId="0" borderId="0" pivotButton="0" quotePrefix="0" xfId="2"/>
    <xf numFmtId="43" fontId="0" fillId="3" borderId="0" pivotButton="0" quotePrefix="0" xfId="0"/>
    <xf numFmtId="43" fontId="0" fillId="3" borderId="0" pivotButton="0" quotePrefix="0" xfId="1"/>
    <xf numFmtId="169" fontId="3" fillId="0" borderId="21" applyAlignment="1" pivotButton="0" quotePrefix="0" xfId="0">
      <alignment horizontal="center"/>
    </xf>
    <xf numFmtId="0" fontId="50" fillId="9" borderId="17" pivotButton="0" quotePrefix="0" xfId="0"/>
    <xf numFmtId="0" fontId="0" fillId="3" borderId="19" pivotButton="0" quotePrefix="0" xfId="0"/>
    <xf numFmtId="0" fontId="0" fillId="3" borderId="20" pivotButton="0" quotePrefix="0" xfId="0"/>
    <xf numFmtId="0" fontId="50" fillId="9" borderId="10" pivotButton="0" quotePrefix="0" xfId="0"/>
    <xf numFmtId="0" fontId="0" fillId="9" borderId="18" pivotButton="0" quotePrefix="0" xfId="0"/>
    <xf numFmtId="173" fontId="0" fillId="3" borderId="11" pivotButton="0" quotePrefix="0" xfId="0"/>
    <xf numFmtId="173" fontId="0" fillId="3" borderId="21" pivotButton="0" quotePrefix="0" xfId="0"/>
    <xf numFmtId="0" fontId="0" fillId="3" borderId="17" pivotButton="0" quotePrefix="0" xfId="0"/>
    <xf numFmtId="164" fontId="0" fillId="3" borderId="18" pivotButton="0" quotePrefix="0" xfId="1"/>
    <xf numFmtId="164" fontId="0" fillId="3" borderId="21" pivotButton="0" quotePrefix="0" xfId="1"/>
    <xf numFmtId="0" fontId="50" fillId="0" borderId="0" applyAlignment="1" pivotButton="0" quotePrefix="0" xfId="0">
      <alignment horizontal="center"/>
    </xf>
    <xf numFmtId="181" fontId="38" fillId="0" borderId="0" applyAlignment="1" pivotButton="0" quotePrefix="0" xfId="0">
      <alignment horizontal="center"/>
    </xf>
    <xf numFmtId="169" fontId="3" fillId="0" borderId="0" applyAlignment="1" pivotButton="0" quotePrefix="0" xfId="0">
      <alignment horizontal="center"/>
    </xf>
    <xf numFmtId="165" fontId="2" fillId="0" borderId="10" pivotButton="0" quotePrefix="0" xfId="0"/>
    <xf numFmtId="3" fontId="2" fillId="0" borderId="0" pivotButton="0" quotePrefix="0" xfId="0"/>
    <xf numFmtId="0" fontId="3" fillId="0" borderId="0" applyAlignment="1" pivotButton="0" quotePrefix="0" xfId="0">
      <alignment horizontal="center"/>
    </xf>
    <xf numFmtId="14" fontId="14" fillId="0" borderId="0" pivotButton="0" quotePrefix="0" xfId="0"/>
    <xf numFmtId="168" fontId="9" fillId="0" borderId="15" applyAlignment="1" pivotButton="0" quotePrefix="0" xfId="0">
      <alignment horizontal="right"/>
    </xf>
    <xf numFmtId="166" fontId="0" fillId="0" borderId="0" pivotButton="0" quotePrefix="0" xfId="0"/>
    <xf numFmtId="182" fontId="43" fillId="9" borderId="15" applyAlignment="1" pivotButton="0" quotePrefix="0" xfId="0">
      <alignment horizontal="right"/>
    </xf>
    <xf numFmtId="3" fontId="4" fillId="0" borderId="0" pivotButton="0" quotePrefix="0" xfId="0"/>
    <xf numFmtId="3" fontId="24" fillId="0" borderId="0" pivotButton="0" quotePrefix="0" xfId="0"/>
    <xf numFmtId="174" fontId="40" fillId="0" borderId="0" pivotButton="0" quotePrefix="0" xfId="2"/>
    <xf numFmtId="174" fontId="36" fillId="0" borderId="0" pivotButton="0" quotePrefix="0" xfId="2"/>
    <xf numFmtId="0" fontId="40" fillId="0" borderId="0" pivotButton="0" quotePrefix="0" xfId="0"/>
    <xf numFmtId="174" fontId="37" fillId="0" borderId="0" pivotButton="0" quotePrefix="0" xfId="4"/>
    <xf numFmtId="39" fontId="18" fillId="0" borderId="0" pivotButton="0" quotePrefix="0" xfId="1"/>
    <xf numFmtId="0" fontId="24" fillId="0" borderId="0" applyAlignment="1" pivotButton="0" quotePrefix="0" xfId="0">
      <alignment vertical="center"/>
    </xf>
    <xf numFmtId="0" fontId="26" fillId="0" borderId="0" applyAlignment="1" pivotButton="0" quotePrefix="0" xfId="0">
      <alignment vertical="center"/>
    </xf>
    <xf numFmtId="164" fontId="182" fillId="0" borderId="0" pivotButton="0" quotePrefix="0" xfId="1"/>
    <xf numFmtId="183" fontId="4" fillId="0" borderId="0" pivotButton="0" quotePrefix="0" xfId="0"/>
    <xf numFmtId="183" fontId="9" fillId="0" borderId="0" pivotButton="0" quotePrefix="0" xfId="0"/>
    <xf numFmtId="183" fontId="26" fillId="0" borderId="0" pivotButton="0" quotePrefix="0" xfId="0"/>
    <xf numFmtId="183" fontId="24" fillId="0" borderId="0" pivotButton="0" quotePrefix="0" xfId="0"/>
    <xf numFmtId="164" fontId="183" fillId="0" borderId="0" pivotButton="0" quotePrefix="0" xfId="1"/>
    <xf numFmtId="39" fontId="183" fillId="0" borderId="0" pivotButton="0" quotePrefix="0" xfId="1"/>
    <xf numFmtId="0" fontId="182" fillId="0" borderId="0" pivotButton="0" quotePrefix="0" xfId="0"/>
    <xf numFmtId="0" fontId="183" fillId="3" borderId="0" pivotButton="0" quotePrefix="0" xfId="0"/>
    <xf numFmtId="183" fontId="0" fillId="0" borderId="0" pivotButton="0" quotePrefix="0" xfId="0"/>
    <xf numFmtId="183" fontId="3" fillId="0" borderId="0" pivotButton="0" quotePrefix="0" xfId="0"/>
    <xf numFmtId="0" fontId="0" fillId="96" borderId="0" pivotButton="0" quotePrefix="0" xfId="0"/>
    <xf numFmtId="41" fontId="183" fillId="0" borderId="0" pivotButton="0" quotePrefix="0" xfId="0"/>
    <xf numFmtId="41" fontId="0" fillId="0" borderId="0" pivotButton="0" quotePrefix="0" xfId="0"/>
    <xf numFmtId="0" fontId="23" fillId="0" borderId="0" applyAlignment="1" pivotButton="0" quotePrefix="0" xfId="0">
      <alignment horizontal="left"/>
    </xf>
    <xf numFmtId="41" fontId="3" fillId="0" borderId="0" pivotButton="0" quotePrefix="0" xfId="0"/>
    <xf numFmtId="3" fontId="0" fillId="0" borderId="0" applyAlignment="1" pivotButton="0" quotePrefix="0" xfId="0">
      <alignment horizontal="left" indent="1"/>
    </xf>
    <xf numFmtId="184" fontId="19" fillId="0" borderId="0" pivotButton="0" quotePrefix="0" xfId="0"/>
    <xf numFmtId="14" fontId="0" fillId="0" borderId="0" pivotButton="0" quotePrefix="0" xfId="0"/>
    <xf numFmtId="184" fontId="184" fillId="0" borderId="0" pivotButton="0" quotePrefix="0" xfId="0"/>
    <xf numFmtId="3" fontId="0" fillId="0" borderId="0" applyAlignment="1" pivotButton="0" quotePrefix="0" xfId="0">
      <alignment horizontal="left"/>
    </xf>
    <xf numFmtId="0" fontId="40" fillId="0" borderId="0" applyAlignment="1" pivotButton="0" quotePrefix="0" xfId="7">
      <alignment horizontal="left" vertical="center" indent="1"/>
    </xf>
    <xf numFmtId="179" fontId="40" fillId="0" borderId="0" applyAlignment="1" pivotButton="0" quotePrefix="0" xfId="7">
      <alignment horizontal="left" vertical="center" indent="1"/>
    </xf>
    <xf numFmtId="0" fontId="19" fillId="0" borderId="42" applyAlignment="1" pivotButton="0" quotePrefix="0" xfId="0">
      <alignment horizontal="left" indent="1"/>
    </xf>
    <xf numFmtId="179" fontId="40" fillId="0" borderId="42" applyAlignment="1" pivotButton="0" quotePrefix="0" xfId="7">
      <alignment vertical="center"/>
    </xf>
    <xf numFmtId="185" fontId="0" fillId="0" borderId="0" pivotButton="0" quotePrefix="0" xfId="0"/>
    <xf numFmtId="3" fontId="3" fillId="0" borderId="0" applyAlignment="1" pivotButton="0" quotePrefix="0" xfId="0">
      <alignment horizontal="left"/>
    </xf>
    <xf numFmtId="0" fontId="4" fillId="0" borderId="42" applyAlignment="1" pivotButton="0" quotePrefix="0" xfId="7">
      <alignment horizontal="left" vertical="center" indent="1"/>
    </xf>
    <xf numFmtId="0" fontId="18" fillId="0" borderId="0" pivotButton="0" quotePrefix="0" xfId="0"/>
    <xf numFmtId="3" fontId="18" fillId="0" borderId="0" pivotButton="0" quotePrefix="0" xfId="0"/>
    <xf numFmtId="0" fontId="36" fillId="0" borderId="0" pivotButton="0" quotePrefix="0" xfId="0"/>
    <xf numFmtId="41" fontId="4" fillId="0" borderId="0" pivotButton="0" quotePrefix="0" xfId="0"/>
    <xf numFmtId="183" fontId="2" fillId="0" borderId="0" pivotButton="0" quotePrefix="0" xfId="0"/>
    <xf numFmtId="41" fontId="182" fillId="0" borderId="0" pivotButton="0" quotePrefix="0" xfId="0"/>
    <xf numFmtId="172" fontId="2" fillId="0" borderId="0" pivotButton="0" quotePrefix="0" xfId="0"/>
    <xf numFmtId="183" fontId="2" fillId="8" borderId="0" pivotButton="0" quotePrefix="0" xfId="0"/>
    <xf numFmtId="41" fontId="2" fillId="8" borderId="0" pivotButton="0" quotePrefix="0" xfId="0"/>
    <xf numFmtId="41" fontId="2" fillId="0" borderId="0" pivotButton="0" quotePrefix="0" xfId="0"/>
    <xf numFmtId="39" fontId="4" fillId="0" borderId="0" pivotButton="0" quotePrefix="0" xfId="1"/>
    <xf numFmtId="179" fontId="3" fillId="0" borderId="42" pivotButton="0" quotePrefix="0" xfId="7"/>
    <xf numFmtId="14" fontId="184" fillId="0" borderId="0" pivotButton="0" quotePrefix="0" xfId="0"/>
    <xf numFmtId="14" fontId="40" fillId="0" borderId="0" pivotButton="0" quotePrefix="0" xfId="0"/>
    <xf numFmtId="0" fontId="75" fillId="0" borderId="0" applyAlignment="1" pivotButton="0" quotePrefix="0" xfId="0">
      <alignment horizontal="left" indent="1"/>
    </xf>
    <xf numFmtId="183" fontId="19" fillId="3" borderId="0" pivotButton="0" quotePrefix="0" xfId="2"/>
    <xf numFmtId="183" fontId="19" fillId="3" borderId="0" pivotButton="0" quotePrefix="0" xfId="0"/>
    <xf numFmtId="0" fontId="50" fillId="3" borderId="0" pivotButton="0" quotePrefix="0" xfId="0"/>
    <xf numFmtId="43" fontId="19" fillId="3" borderId="0" pivotButton="0" quotePrefix="0" xfId="0"/>
    <xf numFmtId="41" fontId="3" fillId="3" borderId="10" pivotButton="0" quotePrefix="0" xfId="0"/>
    <xf numFmtId="41" fontId="3" fillId="3" borderId="0" pivotButton="0" quotePrefix="0" xfId="0"/>
    <xf numFmtId="41" fontId="3" fillId="0" borderId="10" pivotButton="0" quotePrefix="0" xfId="0"/>
    <xf numFmtId="41" fontId="3" fillId="0" borderId="16" pivotButton="0" quotePrefix="0" xfId="0"/>
    <xf numFmtId="182" fontId="3" fillId="3" borderId="15" applyAlignment="1" pivotButton="0" quotePrefix="0" xfId="0">
      <alignment horizontal="right"/>
    </xf>
    <xf numFmtId="186" fontId="0" fillId="0" borderId="0" pivotButton="0" quotePrefix="0" xfId="1"/>
    <xf numFmtId="37" fontId="18" fillId="3" borderId="0" pivotButton="0" quotePrefix="0" xfId="0"/>
    <xf numFmtId="39" fontId="4" fillId="0" borderId="0" applyAlignment="1" pivotButton="0" quotePrefix="0" xfId="0">
      <alignment horizontal="right"/>
    </xf>
    <xf numFmtId="172" fontId="0"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 fontId="43" fillId="9" borderId="15" applyAlignment="1" pivotButton="0" quotePrefix="0" xfId="0">
      <alignment horizontal="right"/>
    </xf>
    <xf numFmtId="187" fontId="18" fillId="0" borderId="0" pivotButton="0" quotePrefix="0" xfId="0"/>
    <xf numFmtId="172" fontId="2" fillId="0" borderId="0" pivotButton="0" quotePrefix="0" xfId="2"/>
    <xf numFmtId="0" fontId="12" fillId="0" borderId="0" pivotButton="0" quotePrefix="0" xfId="0"/>
    <xf numFmtId="0" fontId="12" fillId="0" borderId="0" applyAlignment="1" pivotButton="0" quotePrefix="0" xfId="0">
      <alignment horizontal="left"/>
    </xf>
    <xf numFmtId="0" fontId="12" fillId="0" borderId="0" applyAlignment="1" pivotButton="0" quotePrefix="0" xfId="0">
      <alignment horizontal="right"/>
    </xf>
    <xf numFmtId="2" fontId="12" fillId="0" borderId="0" pivotButton="0" quotePrefix="0" xfId="0"/>
    <xf numFmtId="0" fontId="185" fillId="0" borderId="0" applyAlignment="1" pivotButton="0" quotePrefix="0" xfId="0">
      <alignment vertical="top"/>
    </xf>
    <xf numFmtId="0" fontId="12" fillId="0" borderId="0" applyProtection="1" pivotButton="0" quotePrefix="0" xfId="0">
      <protection locked="0" hidden="0"/>
    </xf>
    <xf numFmtId="0" fontId="186" fillId="0" borderId="0" pivotButton="0" quotePrefix="0" xfId="0"/>
    <xf numFmtId="0" fontId="185" fillId="0" borderId="0" applyAlignment="1" pivotButton="0" quotePrefix="0" xfId="0">
      <alignment horizontal="left" vertical="top"/>
    </xf>
    <xf numFmtId="0" fontId="185" fillId="0" borderId="0" applyAlignment="1" pivotButton="0" quotePrefix="0" xfId="0">
      <alignment horizontal="right" vertical="top"/>
    </xf>
    <xf numFmtId="0" fontId="12" fillId="0" borderId="16" pivotButton="0" quotePrefix="0" xfId="0"/>
    <xf numFmtId="0" fontId="187" fillId="0" borderId="0" pivotButton="0" quotePrefix="0" xfId="0"/>
    <xf numFmtId="0" fontId="189" fillId="97" borderId="0" pivotButton="0" quotePrefix="0" xfId="0"/>
    <xf numFmtId="0" fontId="12" fillId="97" borderId="0" pivotButton="0" quotePrefix="0" xfId="0"/>
    <xf numFmtId="0" fontId="189" fillId="97" borderId="0" applyAlignment="1" pivotButton="0" quotePrefix="0" xfId="0">
      <alignment horizontal="left"/>
    </xf>
    <xf numFmtId="0" fontId="189" fillId="97" borderId="0" applyAlignment="1" pivotButton="0" quotePrefix="0" xfId="0">
      <alignment horizontal="right"/>
    </xf>
    <xf numFmtId="0" fontId="190" fillId="97" borderId="0" pivotButton="0" quotePrefix="0" xfId="0"/>
    <xf numFmtId="0" fontId="190" fillId="97" borderId="0" applyAlignment="1" pivotButton="0" quotePrefix="0" xfId="0">
      <alignment horizontal="right"/>
    </xf>
    <xf numFmtId="0" fontId="194" fillId="98" borderId="43" applyAlignment="1" pivotButton="0" quotePrefix="0" xfId="0">
      <alignment horizontal="left"/>
    </xf>
    <xf numFmtId="0" fontId="193" fillId="98" borderId="44" applyAlignment="1" pivotButton="0" quotePrefix="0" xfId="0">
      <alignment horizontal="left"/>
    </xf>
    <xf numFmtId="0" fontId="194" fillId="98" borderId="45" applyAlignment="1" pivotButton="0" quotePrefix="0" xfId="0">
      <alignment horizontal="left"/>
    </xf>
    <xf numFmtId="0" fontId="194" fillId="98" borderId="45" applyAlignment="1" applyProtection="1" pivotButton="0" quotePrefix="0" xfId="0">
      <alignment horizontal="left"/>
      <protection locked="0" hidden="0"/>
    </xf>
    <xf numFmtId="0" fontId="194" fillId="98" borderId="45" applyAlignment="1" pivotButton="0" quotePrefix="0" xfId="0">
      <alignment horizontal="right"/>
    </xf>
    <xf numFmtId="0" fontId="12" fillId="97" borderId="0" applyAlignment="1" pivotButton="0" quotePrefix="0" xfId="0">
      <alignment horizontal="right"/>
    </xf>
    <xf numFmtId="4" fontId="195" fillId="0" borderId="0" applyAlignment="1" pivotButton="0" quotePrefix="0" xfId="0">
      <alignment horizontal="right"/>
    </xf>
    <xf numFmtId="1" fontId="189" fillId="97" borderId="0" pivotButton="0" quotePrefix="0" xfId="0"/>
    <xf numFmtId="2" fontId="189" fillId="97" borderId="0" pivotButton="0" quotePrefix="0" xfId="0"/>
    <xf numFmtId="4" fontId="195" fillId="97" borderId="0" applyAlignment="1" pivotButton="0" quotePrefix="0" xfId="0">
      <alignment horizontal="right"/>
    </xf>
    <xf numFmtId="0" fontId="190" fillId="0" borderId="0" applyProtection="1" pivotButton="0" quotePrefix="0" xfId="0">
      <protection locked="0" hidden="0"/>
    </xf>
    <xf numFmtId="0" fontId="189" fillId="0" borderId="0" applyAlignment="1" applyProtection="1" pivotButton="0" quotePrefix="0" xfId="0">
      <alignment horizontal="left"/>
      <protection locked="0" hidden="0"/>
    </xf>
    <xf numFmtId="0" fontId="189" fillId="0" borderId="0" applyAlignment="1" applyProtection="1" pivotButton="0" quotePrefix="0" xfId="0">
      <alignment horizontal="right"/>
      <protection locked="0" hidden="0"/>
    </xf>
    <xf numFmtId="1" fontId="189" fillId="0" borderId="0" applyProtection="1" pivotButton="0" quotePrefix="0" xfId="0">
      <protection locked="0" hidden="0"/>
    </xf>
    <xf numFmtId="0" fontId="189" fillId="0" borderId="0" applyProtection="1" pivotButton="0" quotePrefix="0" xfId="0">
      <protection locked="0" hidden="0"/>
    </xf>
    <xf numFmtId="2" fontId="189" fillId="0" borderId="0" applyProtection="1" pivotButton="0" quotePrefix="0" xfId="0">
      <protection locked="0" hidden="0"/>
    </xf>
    <xf numFmtId="4" fontId="190" fillId="99" borderId="0" applyAlignment="1" applyProtection="1" pivotButton="0" quotePrefix="0" xfId="0">
      <alignment horizontal="right"/>
      <protection locked="0" hidden="0"/>
    </xf>
    <xf numFmtId="4" fontId="195" fillId="0" borderId="46" applyAlignment="1" pivotButton="0" quotePrefix="0" xfId="0">
      <alignment horizontal="right"/>
    </xf>
    <xf numFmtId="4" fontId="195" fillId="0" borderId="47" applyAlignment="1" pivotButton="0" quotePrefix="0" xfId="0">
      <alignment horizontal="right"/>
    </xf>
    <xf numFmtId="0" fontId="194" fillId="98" borderId="49" applyAlignment="1" pivotButton="0" quotePrefix="0" xfId="0">
      <alignment horizontal="left"/>
    </xf>
    <xf numFmtId="0" fontId="194" fillId="98" borderId="50" applyAlignment="1" pivotButton="0" quotePrefix="0" xfId="0">
      <alignment horizontal="left"/>
    </xf>
    <xf numFmtId="2" fontId="189" fillId="97" borderId="0" applyAlignment="1" pivotButton="0" quotePrefix="0" xfId="0">
      <alignment horizontal="left"/>
    </xf>
    <xf numFmtId="2" fontId="189" fillId="97" borderId="0" applyAlignment="1" pivotButton="0" quotePrefix="0" xfId="0">
      <alignment horizontal="right"/>
    </xf>
    <xf numFmtId="4" fontId="195" fillId="97" borderId="46" applyAlignment="1" pivotButton="0" quotePrefix="0" xfId="0">
      <alignment horizontal="right"/>
    </xf>
    <xf numFmtId="4" fontId="195" fillId="97" borderId="47" applyAlignment="1" pivotButton="0" quotePrefix="0" xfId="0">
      <alignment horizontal="right"/>
    </xf>
    <xf numFmtId="2" fontId="188" fillId="97" borderId="0" pivotButton="0" quotePrefix="0" xfId="0"/>
    <xf numFmtId="2" fontId="188" fillId="0" borderId="0" applyProtection="1" pivotButton="0" quotePrefix="0" xfId="0">
      <protection locked="0" hidden="0"/>
    </xf>
    <xf numFmtId="2" fontId="189" fillId="0" borderId="0" applyAlignment="1" applyProtection="1" pivotButton="0" quotePrefix="0" xfId="0">
      <alignment horizontal="left"/>
      <protection locked="0" hidden="0"/>
    </xf>
    <xf numFmtId="2" fontId="189" fillId="0" borderId="0" applyAlignment="1" applyProtection="1" pivotButton="0" quotePrefix="0" xfId="0">
      <alignment horizontal="right"/>
      <protection locked="0" hidden="0"/>
    </xf>
    <xf numFmtId="4" fontId="190" fillId="99" borderId="46" applyAlignment="1" applyProtection="1" pivotButton="0" quotePrefix="0" xfId="0">
      <alignment horizontal="right"/>
      <protection locked="0" hidden="0"/>
    </xf>
    <xf numFmtId="4" fontId="190" fillId="99" borderId="47" applyAlignment="1" applyProtection="1" pivotButton="0" quotePrefix="0" xfId="0">
      <alignment horizontal="right"/>
      <protection locked="0" hidden="0"/>
    </xf>
    <xf numFmtId="4" fontId="195" fillId="0" borderId="16" applyAlignment="1" pivotButton="0" quotePrefix="0" xfId="0">
      <alignment horizontal="right"/>
    </xf>
    <xf numFmtId="0" fontId="194" fillId="98" borderId="51" applyAlignment="1" pivotButton="0" quotePrefix="0" xfId="0">
      <alignment horizontal="left"/>
    </xf>
    <xf numFmtId="2" fontId="189" fillId="97" borderId="46" pivotButton="0" quotePrefix="0" xfId="0"/>
    <xf numFmtId="2" fontId="189" fillId="97" borderId="47" pivotButton="0" quotePrefix="0" xfId="0"/>
    <xf numFmtId="2" fontId="188" fillId="97" borderId="0" applyAlignment="1" pivotButton="0" quotePrefix="0" xfId="0">
      <alignment horizontal="left"/>
    </xf>
    <xf numFmtId="4" fontId="196" fillId="97" borderId="0" applyAlignment="1" pivotButton="0" quotePrefix="0" xfId="0">
      <alignment horizontal="right"/>
    </xf>
    <xf numFmtId="2" fontId="188" fillId="0" borderId="0" pivotButton="0" quotePrefix="0" xfId="0"/>
    <xf numFmtId="2" fontId="189" fillId="0" borderId="0" applyAlignment="1" pivotButton="0" quotePrefix="0" xfId="0">
      <alignment horizontal="left"/>
    </xf>
    <xf numFmtId="2" fontId="189" fillId="0" borderId="0" applyAlignment="1" pivotButton="0" quotePrefix="0" xfId="0">
      <alignment horizontal="right"/>
    </xf>
    <xf numFmtId="2" fontId="189" fillId="0" borderId="0" pivotButton="0" quotePrefix="0" xfId="0"/>
    <xf numFmtId="4" fontId="195" fillId="100" borderId="0" applyAlignment="1" pivotButton="0" quotePrefix="0" xfId="0">
      <alignment horizontal="right"/>
    </xf>
    <xf numFmtId="4" fontId="190" fillId="97" borderId="0" applyAlignment="1" pivotButton="0" quotePrefix="0" xfId="0">
      <alignment horizontal="right"/>
    </xf>
    <xf numFmtId="0" fontId="189" fillId="100" borderId="0" applyAlignment="1" applyProtection="1" pivotButton="0" quotePrefix="0" xfId="0">
      <alignment horizontal="left"/>
      <protection locked="0" hidden="0"/>
    </xf>
    <xf numFmtId="0" fontId="189" fillId="100" borderId="0" applyAlignment="1" applyProtection="1" pivotButton="0" quotePrefix="0" xfId="0">
      <alignment horizontal="right"/>
      <protection locked="0" hidden="0"/>
    </xf>
    <xf numFmtId="0" fontId="189" fillId="100" borderId="0" applyProtection="1" pivotButton="0" quotePrefix="0" xfId="0">
      <protection locked="0" hidden="0"/>
    </xf>
    <xf numFmtId="4" fontId="190" fillId="100" borderId="0" applyAlignment="1" pivotButton="0" quotePrefix="0" xfId="0">
      <alignment horizontal="right"/>
    </xf>
    <xf numFmtId="3" fontId="189" fillId="100" borderId="0" applyProtection="1" pivotButton="0" quotePrefix="0" xfId="0">
      <protection locked="0" hidden="0"/>
    </xf>
    <xf numFmtId="3" fontId="189" fillId="97" borderId="0" pivotButton="0" quotePrefix="0" xfId="0"/>
    <xf numFmtId="10" fontId="190" fillId="97" borderId="0" applyAlignment="1" pivotButton="0" quotePrefix="0" xfId="0">
      <alignment horizontal="right"/>
    </xf>
    <xf numFmtId="10" fontId="190" fillId="100" borderId="0" applyAlignment="1" pivotButton="0" quotePrefix="0" xfId="0">
      <alignment horizontal="right"/>
    </xf>
    <xf numFmtId="188" fontId="190" fillId="97" borderId="0" applyAlignment="1" pivotButton="0" quotePrefix="0" xfId="0">
      <alignment horizontal="right"/>
    </xf>
    <xf numFmtId="17" fontId="190" fillId="100" borderId="0" applyAlignment="1" pivotButton="0" quotePrefix="0" xfId="0">
      <alignment horizontal="right"/>
    </xf>
    <xf numFmtId="0" fontId="197" fillId="98" borderId="45" applyAlignment="1" pivotButton="0" quotePrefix="0" xfId="0">
      <alignment horizontal="left"/>
    </xf>
    <xf numFmtId="10" fontId="190" fillId="99" borderId="0" applyAlignment="1" applyProtection="1" pivotButton="0" quotePrefix="0" xfId="0">
      <alignment horizontal="right"/>
      <protection locked="0" hidden="0"/>
    </xf>
    <xf numFmtId="188" fontId="190" fillId="99" borderId="48" applyAlignment="1" applyProtection="1" pivotButton="0" quotePrefix="0" xfId="0">
      <alignment horizontal="right"/>
      <protection locked="0" hidden="0"/>
    </xf>
    <xf numFmtId="17" fontId="190" fillId="99" borderId="46" applyAlignment="1" applyProtection="1" pivotButton="0" quotePrefix="0" xfId="0">
      <alignment horizontal="right"/>
      <protection locked="0" hidden="0"/>
    </xf>
    <xf numFmtId="10" fontId="190" fillId="99" borderId="46" applyAlignment="1" applyProtection="1" pivotButton="0" quotePrefix="0" xfId="0">
      <alignment horizontal="right"/>
      <protection locked="0" hidden="0"/>
    </xf>
    <xf numFmtId="0" fontId="189" fillId="0" borderId="0" pivotButton="0" quotePrefix="0" xfId="0"/>
    <xf numFmtId="0" fontId="192" fillId="100" borderId="0" pivotButton="0" quotePrefix="0" xfId="0"/>
    <xf numFmtId="0" fontId="191" fillId="100" borderId="0" pivotButton="0" quotePrefix="0" xfId="0"/>
    <xf numFmtId="0" fontId="198" fillId="0" borderId="0" pivotButton="0" quotePrefix="0" xfId="0"/>
    <xf numFmtId="49" fontId="198" fillId="0" borderId="0" pivotButton="0" quotePrefix="0" xfId="0"/>
    <xf numFmtId="0" fontId="199" fillId="0" borderId="0" pivotButton="0" quotePrefix="0" xfId="0"/>
    <xf numFmtId="3" fontId="190" fillId="97" borderId="0" applyAlignment="1" pivotButton="0" quotePrefix="0" xfId="0">
      <alignment horizontal="right"/>
    </xf>
    <xf numFmtId="0" fontId="200" fillId="0" borderId="0" applyAlignment="1" applyProtection="1" pivotButton="0" quotePrefix="0" xfId="0">
      <alignment horizontal="right"/>
      <protection locked="0" hidden="0"/>
    </xf>
    <xf numFmtId="2" fontId="200" fillId="0" borderId="0" applyAlignment="1" applyProtection="1" pivotButton="0" quotePrefix="0" xfId="0">
      <alignment horizontal="right"/>
      <protection locked="0" hidden="0"/>
    </xf>
    <xf numFmtId="2" fontId="201" fillId="0" borderId="0" applyAlignment="1" applyProtection="1" pivotButton="0" quotePrefix="0" xfId="0">
      <alignment horizontal="right"/>
      <protection locked="0" hidden="0"/>
    </xf>
    <xf numFmtId="10" fontId="195" fillId="97" borderId="46" applyAlignment="1" pivotButton="0" quotePrefix="0" xfId="0">
      <alignment horizontal="right"/>
    </xf>
    <xf numFmtId="10" fontId="195" fillId="97" borderId="47" applyAlignment="1" pivotButton="0" quotePrefix="0" xfId="0">
      <alignment horizontal="right"/>
    </xf>
    <xf numFmtId="10" fontId="195" fillId="97" borderId="0" applyAlignment="1" pivotButton="0" quotePrefix="0" xfId="0">
      <alignment horizontal="right"/>
    </xf>
    <xf numFmtId="10" fontId="190" fillId="99" borderId="47" applyAlignment="1" applyProtection="1" pivotButton="0" quotePrefix="0" xfId="0">
      <alignment horizontal="right"/>
      <protection locked="0" hidden="0"/>
    </xf>
    <xf numFmtId="2" fontId="200" fillId="0" borderId="0" applyAlignment="1" pivotButton="0" quotePrefix="0" xfId="0">
      <alignment horizontal="right"/>
    </xf>
    <xf numFmtId="2" fontId="201" fillId="0" borderId="0" applyAlignment="1" pivotButton="0" quotePrefix="0" xfId="0">
      <alignment horizontal="right"/>
    </xf>
    <xf numFmtId="10" fontId="196" fillId="97" borderId="0" applyAlignment="1" pivotButton="0" quotePrefix="0" xfId="0">
      <alignment horizontal="right"/>
    </xf>
    <xf numFmtId="10" fontId="195" fillId="100" borderId="0" applyAlignment="1" pivotButton="0" quotePrefix="0" xfId="0">
      <alignment horizontal="right"/>
    </xf>
    <xf numFmtId="164" fontId="29" fillId="8" borderId="0" pivotButton="0" quotePrefix="0" xfId="1"/>
    <xf numFmtId="0" fontId="0" fillId="8" borderId="0" pivotButton="0" quotePrefix="0" xfId="0"/>
    <xf numFmtId="182" fontId="3" fillId="101" borderId="15" applyAlignment="1" pivotButton="0" quotePrefix="0" xfId="0">
      <alignment horizontal="right"/>
    </xf>
    <xf numFmtId="37" fontId="0" fillId="101" borderId="0" pivotButton="0" quotePrefix="0" xfId="0"/>
    <xf numFmtId="39" fontId="0" fillId="101" borderId="0" pivotButton="0" quotePrefix="0" xfId="0"/>
    <xf numFmtId="0" fontId="17" fillId="102" borderId="41" pivotButton="0" quotePrefix="0" xfId="4"/>
    <xf numFmtId="0" fontId="0" fillId="102" borderId="0" pivotButton="0" quotePrefix="0" xfId="0"/>
    <xf numFmtId="43" fontId="29" fillId="0" borderId="0" pivotButton="0" quotePrefix="0" xfId="1"/>
    <xf numFmtId="41" fontId="183" fillId="56" borderId="0" pivotButton="0" quotePrefix="0" xfId="0"/>
    <xf numFmtId="10" fontId="0" fillId="0" borderId="0" pivotButton="0" quotePrefix="0" xfId="0"/>
    <xf numFmtId="189" fontId="4" fillId="0" borderId="0" pivotButton="0" quotePrefix="0" xfId="0"/>
    <xf numFmtId="39" fontId="18" fillId="0" borderId="0" pivotButton="0" quotePrefix="0" xfId="1"/>
    <xf numFmtId="164" fontId="182" fillId="0" borderId="0" pivotButton="0" quotePrefix="0" xfId="1"/>
    <xf numFmtId="164" fontId="27" fillId="0" borderId="0" pivotButton="0" quotePrefix="0" xfId="1"/>
    <xf numFmtId="41" fontId="0" fillId="56" borderId="0" pivotButton="0" quotePrefix="0" xfId="0"/>
    <xf numFmtId="37" fontId="18" fillId="8" borderId="0" pivotButton="0" quotePrefix="0" xfId="0"/>
    <xf numFmtId="175" fontId="0" fillId="3" borderId="16" pivotButton="0" quotePrefix="0" xfId="0"/>
    <xf numFmtId="41" fontId="3" fillId="3" borderId="16" pivotButton="0" quotePrefix="0" xfId="0"/>
    <xf numFmtId="9" fontId="3" fillId="3" borderId="0" pivotButton="0" quotePrefix="0" xfId="2"/>
    <xf numFmtId="0" fontId="187" fillId="0" borderId="0" pivotButton="0" quotePrefix="0" xfId="2194"/>
    <xf numFmtId="0" fontId="12" fillId="0" borderId="0" pivotButton="0" quotePrefix="0" xfId="2194"/>
    <xf numFmtId="4" fontId="12" fillId="0" borderId="0" pivotButton="0" quotePrefix="0" xfId="2194"/>
    <xf numFmtId="188" fontId="12" fillId="0" borderId="0" pivotButton="0" quotePrefix="0" xfId="2194"/>
    <xf numFmtId="0" fontId="151" fillId="0" borderId="0" pivotButton="0" quotePrefix="0" xfId="2195"/>
    <xf numFmtId="0" fontId="186" fillId="0" borderId="0" pivotButton="0" quotePrefix="0" xfId="2194"/>
    <xf numFmtId="0" fontId="185" fillId="0" borderId="0" applyAlignment="1" pivotButton="0" quotePrefix="0" xfId="2194">
      <alignment horizontal="left" vertical="top"/>
    </xf>
    <xf numFmtId="0" fontId="216" fillId="100" borderId="0" pivotButton="0" quotePrefix="0" xfId="2194"/>
    <xf numFmtId="0" fontId="217" fillId="100" borderId="0" pivotButton="0" quotePrefix="0" xfId="2196"/>
    <xf numFmtId="0" fontId="218" fillId="104" borderId="44" applyAlignment="1" pivotButton="0" quotePrefix="0" xfId="2194">
      <alignment horizontal="left"/>
    </xf>
    <xf numFmtId="0" fontId="219" fillId="104" borderId="45" applyAlignment="1" pivotButton="0" quotePrefix="0" xfId="2194">
      <alignment horizontal="left"/>
    </xf>
    <xf numFmtId="0" fontId="220" fillId="104" borderId="45" applyAlignment="1" pivotButton="0" quotePrefix="0" xfId="2194">
      <alignment horizontal="left"/>
    </xf>
    <xf numFmtId="0" fontId="194" fillId="0" borderId="45" applyAlignment="1" pivotButton="0" quotePrefix="0" xfId="2194">
      <alignment horizontal="right"/>
    </xf>
    <xf numFmtId="0" fontId="221" fillId="105" borderId="45" applyAlignment="1" pivotButton="0" quotePrefix="0" xfId="2194">
      <alignment horizontal="left"/>
    </xf>
    <xf numFmtId="0" fontId="194" fillId="105" borderId="45" applyAlignment="1" pivotButton="0" quotePrefix="0" xfId="2194">
      <alignment horizontal="left"/>
    </xf>
    <xf numFmtId="0" fontId="222" fillId="97" borderId="0" pivotButton="0" quotePrefix="0" xfId="2194"/>
    <xf numFmtId="0" fontId="223" fillId="97" borderId="0" applyAlignment="1" pivotButton="0" quotePrefix="0" xfId="2194">
      <alignment horizontal="left"/>
    </xf>
    <xf numFmtId="4" fontId="224" fillId="99" borderId="46" applyAlignment="1" pivotButton="0" quotePrefix="0" xfId="2194">
      <alignment horizontal="right"/>
    </xf>
    <xf numFmtId="0" fontId="12" fillId="0" borderId="0" applyAlignment="1" pivotButton="0" quotePrefix="0" xfId="2194">
      <alignment horizontal="right"/>
    </xf>
    <xf numFmtId="0" fontId="225" fillId="105" borderId="0" pivotButton="0" quotePrefix="0" xfId="2194"/>
    <xf numFmtId="0" fontId="227" fillId="105" borderId="0" pivotButton="0" quotePrefix="0" xfId="2194"/>
    <xf numFmtId="0" fontId="228" fillId="105" borderId="0" pivotButton="0" quotePrefix="0" xfId="2194"/>
    <xf numFmtId="49" fontId="229" fillId="105" borderId="0" pivotButton="0" quotePrefix="0" xfId="2194"/>
    <xf numFmtId="0" fontId="151" fillId="105" borderId="0" pivotButton="0" quotePrefix="0" xfId="2195"/>
    <xf numFmtId="188" fontId="230" fillId="97" borderId="146" applyAlignment="1" pivotButton="0" quotePrefix="0" xfId="2194">
      <alignment horizontal="right"/>
    </xf>
    <xf numFmtId="0" fontId="225" fillId="105" borderId="0" applyAlignment="1" pivotButton="0" quotePrefix="0" xfId="2194">
      <alignment horizontal="left"/>
    </xf>
    <xf numFmtId="0" fontId="12" fillId="105" borderId="0" pivotButton="0" quotePrefix="0" xfId="2194"/>
    <xf numFmtId="0" fontId="220" fillId="104" borderId="43" applyAlignment="1" pivotButton="0" quotePrefix="0" xfId="2194">
      <alignment horizontal="left"/>
    </xf>
    <xf numFmtId="0" fontId="233" fillId="104" borderId="45" applyAlignment="1" pivotButton="0" quotePrefix="0" xfId="2194">
      <alignment horizontal="left"/>
    </xf>
    <xf numFmtId="0" fontId="222" fillId="97" borderId="0" applyAlignment="1" pivotButton="0" quotePrefix="0" xfId="2194">
      <alignment horizontal="left"/>
    </xf>
    <xf numFmtId="4" fontId="230" fillId="97" borderId="146" applyAlignment="1" pivotButton="0" quotePrefix="0" xfId="2194">
      <alignment horizontal="right"/>
    </xf>
    <xf numFmtId="14" fontId="224" fillId="99" borderId="46" applyAlignment="1" pivotButton="0" quotePrefix="0" xfId="2194">
      <alignment horizontal="right"/>
    </xf>
    <xf numFmtId="4" fontId="234" fillId="97" borderId="0" applyAlignment="1" pivotButton="0" quotePrefix="0" xfId="2194">
      <alignment horizontal="right"/>
    </xf>
    <xf numFmtId="188" fontId="224" fillId="97" borderId="0" applyAlignment="1" pivotButton="0" quotePrefix="0" xfId="2194">
      <alignment horizontal="right"/>
    </xf>
    <xf numFmtId="4" fontId="224" fillId="97" borderId="0" applyAlignment="1" pivotButton="0" quotePrefix="0" xfId="2194">
      <alignment horizontal="right"/>
    </xf>
    <xf numFmtId="10" fontId="224" fillId="99" borderId="46" applyAlignment="1" pivotButton="0" quotePrefix="0" xfId="2194">
      <alignment horizontal="right"/>
    </xf>
    <xf numFmtId="10" fontId="224" fillId="97" borderId="0" applyAlignment="1" pivotButton="0" quotePrefix="0" xfId="2194">
      <alignment horizontal="right"/>
    </xf>
    <xf numFmtId="0" fontId="194" fillId="104" borderId="45" applyAlignment="1" pivotButton="0" quotePrefix="0" xfId="2194">
      <alignment horizontal="right"/>
    </xf>
    <xf numFmtId="0" fontId="194" fillId="104" borderId="45" applyAlignment="1" pivotButton="0" quotePrefix="0" xfId="2194">
      <alignment horizontal="left"/>
    </xf>
    <xf numFmtId="0" fontId="224" fillId="97" borderId="0" pivotButton="0" quotePrefix="0" xfId="2194"/>
    <xf numFmtId="4" fontId="230" fillId="97" borderId="43" applyAlignment="1" pivotButton="0" quotePrefix="0" xfId="2194">
      <alignment horizontal="right"/>
    </xf>
    <xf numFmtId="0" fontId="235" fillId="0" borderId="0" applyAlignment="1" pivotButton="0" quotePrefix="0" xfId="2194">
      <alignment horizontal="right"/>
    </xf>
    <xf numFmtId="4" fontId="236" fillId="99" borderId="0" applyAlignment="1" pivotButton="0" quotePrefix="0" xfId="2194">
      <alignment horizontal="right"/>
    </xf>
    <xf numFmtId="4" fontId="224" fillId="99" borderId="0" applyAlignment="1" pivotButton="0" quotePrefix="0" xfId="2194">
      <alignment horizontal="right"/>
    </xf>
    <xf numFmtId="0" fontId="237" fillId="0" borderId="0" applyAlignment="1" pivotButton="0" quotePrefix="0" xfId="2194">
      <alignment horizontal="right"/>
    </xf>
    <xf numFmtId="4" fontId="238" fillId="99" borderId="0" applyAlignment="1" pivotButton="0" quotePrefix="0" xfId="2194">
      <alignment horizontal="right"/>
    </xf>
    <xf numFmtId="4" fontId="239" fillId="99" borderId="0" applyAlignment="1" pivotButton="0" quotePrefix="0" xfId="2194">
      <alignment horizontal="right"/>
    </xf>
    <xf numFmtId="4" fontId="230" fillId="97" borderId="0" applyAlignment="1" pivotButton="0" quotePrefix="0" xfId="2194">
      <alignment horizontal="right"/>
    </xf>
    <xf numFmtId="0" fontId="151" fillId="0" borderId="0" pivotButton="0" quotePrefix="1" xfId="2195"/>
    <xf numFmtId="4" fontId="190" fillId="99" borderId="0" applyAlignment="1" applyProtection="1" pivotButton="0" quotePrefix="0" xfId="2195">
      <alignment horizontal="right"/>
      <protection locked="0" hidden="0"/>
    </xf>
    <xf numFmtId="4" fontId="240" fillId="97" borderId="146" applyAlignment="1" pivotButton="0" quotePrefix="1" xfId="2194">
      <alignment horizontal="right"/>
    </xf>
    <xf numFmtId="1" fontId="224" fillId="99" borderId="0" applyAlignment="1" pivotButton="0" quotePrefix="0" xfId="2194">
      <alignment horizontal="right"/>
    </xf>
    <xf numFmtId="4" fontId="240" fillId="97" borderId="146" applyAlignment="1" pivotButton="0" quotePrefix="0" xfId="2194">
      <alignment horizontal="right"/>
    </xf>
    <xf numFmtId="2" fontId="241" fillId="97" borderId="0" applyAlignment="1" pivotButton="0" quotePrefix="0" xfId="2194">
      <alignment horizontal="left"/>
    </xf>
    <xf numFmtId="0" fontId="242" fillId="97" borderId="0" applyAlignment="1" pivotButton="0" quotePrefix="0" xfId="2194">
      <alignment horizontal="left"/>
    </xf>
    <xf numFmtId="4" fontId="243" fillId="97" borderId="148" applyAlignment="1" pivotButton="0" quotePrefix="0" xfId="2194">
      <alignment horizontal="right"/>
    </xf>
    <xf numFmtId="4" fontId="243" fillId="97" borderId="147" applyAlignment="1" pivotButton="0" quotePrefix="0" xfId="2194">
      <alignment horizontal="right"/>
    </xf>
    <xf numFmtId="2" fontId="12" fillId="0" borderId="0" pivotButton="0" quotePrefix="0" xfId="2194"/>
    <xf numFmtId="2" fontId="244" fillId="0" borderId="0" applyAlignment="1" pivotButton="0" quotePrefix="0" xfId="2194">
      <alignment horizontal="right"/>
    </xf>
    <xf numFmtId="4" fontId="224" fillId="99" borderId="47" applyAlignment="1" pivotButton="0" quotePrefix="0" xfId="2194">
      <alignment horizontal="right"/>
    </xf>
    <xf numFmtId="0" fontId="245" fillId="0" borderId="0" applyAlignment="1" pivotButton="0" quotePrefix="0" xfId="2194">
      <alignment horizontal="right"/>
    </xf>
    <xf numFmtId="0" fontId="246" fillId="99" borderId="0" applyAlignment="1" pivotButton="0" quotePrefix="0" xfId="2195">
      <alignment horizontal="right"/>
    </xf>
    <xf numFmtId="0" fontId="246" fillId="99" borderId="46" applyAlignment="1" pivotButton="0" quotePrefix="0" xfId="2195">
      <alignment horizontal="right"/>
    </xf>
    <xf numFmtId="4" fontId="243" fillId="97" borderId="146" applyAlignment="1" pivotButton="0" quotePrefix="0" xfId="2194">
      <alignment horizontal="right"/>
    </xf>
    <xf numFmtId="4" fontId="243" fillId="97" borderId="47" applyAlignment="1" pivotButton="0" quotePrefix="0" xfId="2194">
      <alignment horizontal="right"/>
    </xf>
    <xf numFmtId="0" fontId="220" fillId="104" borderId="149" applyAlignment="1" pivotButton="0" quotePrefix="0" xfId="2194">
      <alignment horizontal="left"/>
    </xf>
    <xf numFmtId="0" fontId="218" fillId="104" borderId="150" applyAlignment="1" pivotButton="0" quotePrefix="0" xfId="2194">
      <alignment horizontal="left"/>
    </xf>
    <xf numFmtId="0" fontId="218" fillId="104" borderId="151" applyAlignment="1" pivotButton="0" quotePrefix="0" xfId="2194">
      <alignment horizontal="left"/>
    </xf>
    <xf numFmtId="0" fontId="247" fillId="0" borderId="0" pivotButton="0" quotePrefix="0" xfId="2195"/>
    <xf numFmtId="0" fontId="220" fillId="104" borderId="147" applyAlignment="1" pivotButton="0" quotePrefix="0" xfId="2194">
      <alignment horizontal="right"/>
    </xf>
    <xf numFmtId="0" fontId="220" fillId="104" borderId="43"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43" fontId="183" fillId="0" borderId="0" applyAlignment="1" pivotButton="0" quotePrefix="0" xfId="1">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90" fontId="0" fillId="0" borderId="0" pivotButton="0" quotePrefix="0" xfId="0"/>
    <xf numFmtId="176" fontId="18" fillId="0" borderId="0" pivotButton="0" quotePrefix="0" xfId="0"/>
    <xf numFmtId="0" fontId="0" fillId="8" borderId="0" applyAlignment="1" pivotButton="0" quotePrefix="0" xfId="0">
      <alignment horizontal="left" indent="1"/>
    </xf>
    <xf numFmtId="164" fontId="26" fillId="8" borderId="0" pivotButton="0" quotePrefix="0" xfId="0"/>
    <xf numFmtId="183" fontId="4" fillId="8" borderId="0" pivotButton="0" quotePrefix="0" xfId="0"/>
    <xf numFmtId="39" fontId="4" fillId="8" borderId="0" pivotButton="0" quotePrefix="0" xfId="1"/>
    <xf numFmtId="0" fontId="248" fillId="0" borderId="0" applyAlignment="1" pivotButton="0" quotePrefix="0" xfId="2194">
      <alignment horizontal="left"/>
    </xf>
    <xf numFmtId="0" fontId="151" fillId="0" borderId="0" pivotButton="0" quotePrefix="0" xfId="2197"/>
    <xf numFmtId="0" fontId="1" fillId="0" borderId="0" pivotButton="0" quotePrefix="0" xfId="2194"/>
    <xf numFmtId="0" fontId="218" fillId="104" borderId="0" applyAlignment="1" pivotButton="0" quotePrefix="0" xfId="2194">
      <alignment horizontal="left"/>
    </xf>
    <xf numFmtId="0" fontId="220" fillId="104" borderId="152" applyAlignment="1" pivotButton="0" quotePrefix="0" xfId="2194">
      <alignment horizontal="left"/>
    </xf>
    <xf numFmtId="0" fontId="219" fillId="104" borderId="0" applyAlignment="1" pivotButton="0" quotePrefix="0" xfId="2194">
      <alignment horizontal="left"/>
    </xf>
    <xf numFmtId="4" fontId="230" fillId="97" borderId="153" applyAlignment="1" pivotButton="0" quotePrefix="0" xfId="2194">
      <alignment horizontal="right"/>
    </xf>
    <xf numFmtId="4" fontId="224" fillId="99" borderId="152" applyAlignment="1" pivotButton="0" quotePrefix="0" xfId="2194">
      <alignment horizontal="right"/>
    </xf>
    <xf numFmtId="188" fontId="230" fillId="97" borderId="153" applyAlignment="1" pivotButton="0" quotePrefix="0" xfId="2194">
      <alignment horizontal="right"/>
    </xf>
    <xf numFmtId="0" fontId="220" fillId="104" borderId="0" applyAlignment="1" pivotButton="0" quotePrefix="0" xfId="2194">
      <alignment horizontal="left"/>
    </xf>
    <xf numFmtId="0" fontId="249" fillId="104" borderId="0" applyAlignment="1" pivotButton="0" quotePrefix="0" xfId="2194">
      <alignment horizontal="left"/>
    </xf>
    <xf numFmtId="0" fontId="241" fillId="97" borderId="0" applyAlignment="1" pivotButton="0" quotePrefix="0" xfId="2194">
      <alignment horizontal="left"/>
    </xf>
    <xf numFmtId="4" fontId="224" fillId="0" borderId="0" applyAlignment="1" pivotButton="0" quotePrefix="0" xfId="2194">
      <alignment horizontal="right"/>
    </xf>
    <xf numFmtId="4" fontId="234" fillId="97" borderId="152" applyAlignment="1" pivotButton="0" quotePrefix="0" xfId="2194">
      <alignment horizontal="right"/>
    </xf>
    <xf numFmtId="0" fontId="238" fillId="97" borderId="0" pivotButton="0" quotePrefix="0" xfId="2194"/>
    <xf numFmtId="0" fontId="250" fillId="0" borderId="0" applyAlignment="1" pivotButton="0" quotePrefix="0" xfId="2194">
      <alignment horizontal="left"/>
    </xf>
    <xf numFmtId="0" fontId="251" fillId="0" borderId="0" pivotButton="0" quotePrefix="0" xfId="2197"/>
    <xf numFmtId="0" fontId="66" fillId="0" borderId="0" applyAlignment="1" pivotButton="0" quotePrefix="0" xfId="2197">
      <alignment horizontal="center"/>
    </xf>
    <xf numFmtId="0" fontId="252" fillId="106" borderId="0" pivotButton="0" quotePrefix="0" xfId="2197"/>
    <xf numFmtId="0" fontId="253" fillId="107" borderId="0" applyAlignment="1" pivotButton="0" quotePrefix="0" xfId="2194">
      <alignment horizontal="left"/>
    </xf>
    <xf numFmtId="4" fontId="243" fillId="97" borderId="0" applyAlignment="1" pivotButton="0" quotePrefix="0" xfId="2194">
      <alignment horizontal="right"/>
    </xf>
    <xf numFmtId="0" fontId="222" fillId="0" borderId="0" applyAlignment="1" pivotButton="0" quotePrefix="0" xfId="2194">
      <alignment horizontal="left"/>
    </xf>
    <xf numFmtId="0" fontId="253" fillId="0" borderId="0" applyAlignment="1" pivotButton="0" quotePrefix="0" xfId="2194">
      <alignment horizontal="left"/>
    </xf>
    <xf numFmtId="2" fontId="189" fillId="0" borderId="0" applyAlignment="1" pivotButton="0" quotePrefix="0" xfId="2194">
      <alignment horizontal="right"/>
    </xf>
    <xf numFmtId="170" fontId="189" fillId="0" borderId="0" applyAlignment="1" pivotButton="0" quotePrefix="0" xfId="2197">
      <alignment horizontal="right"/>
    </xf>
    <xf numFmtId="0" fontId="254" fillId="97" borderId="0" applyAlignment="1" pivotButton="0" quotePrefix="0" xfId="2194">
      <alignment horizontal="right" indent="1"/>
    </xf>
    <xf numFmtId="0" fontId="255" fillId="97" borderId="0" applyAlignment="1" pivotButton="0" quotePrefix="0" xfId="2194">
      <alignment horizontal="right" indent="1"/>
    </xf>
    <xf numFmtId="0" fontId="255" fillId="97" borderId="0" pivotButton="0" quotePrefix="0" xfId="2194"/>
    <xf numFmtId="0" fontId="252" fillId="106" borderId="154" pivotButton="0" quotePrefix="0" xfId="2197"/>
    <xf numFmtId="0" fontId="222" fillId="97" borderId="154" applyAlignment="1" pivotButton="0" quotePrefix="0" xfId="2194">
      <alignment horizontal="left"/>
    </xf>
    <xf numFmtId="0" fontId="253" fillId="107" borderId="154" applyAlignment="1" pivotButton="0" quotePrefix="0" xfId="2194">
      <alignment horizontal="left"/>
    </xf>
    <xf numFmtId="4" fontId="243" fillId="97" borderId="154" applyAlignment="1" pivotButton="0" quotePrefix="0" xfId="2194">
      <alignment horizontal="right"/>
    </xf>
    <xf numFmtId="0" fontId="189" fillId="0" borderId="0" applyAlignment="1" pivotButton="0" quotePrefix="0" xfId="2197">
      <alignment horizontal="right"/>
    </xf>
    <xf numFmtId="0" fontId="252" fillId="108" borderId="154" pivotButton="0" quotePrefix="0" xfId="2197"/>
    <xf numFmtId="0" fontId="222" fillId="0" borderId="154" applyAlignment="1" pivotButton="0" quotePrefix="0" xfId="2194">
      <alignment horizontal="left"/>
    </xf>
    <xf numFmtId="0" fontId="250" fillId="0" borderId="154" applyAlignment="1" pivotButton="0" quotePrefix="0" xfId="2194">
      <alignment horizontal="left"/>
    </xf>
    <xf numFmtId="0" fontId="253" fillId="0" borderId="154" applyAlignment="1" pivotButton="0" quotePrefix="0" xfId="2194">
      <alignment horizontal="left"/>
    </xf>
    <xf numFmtId="0" fontId="189" fillId="0" borderId="154" applyAlignment="1" pivotButton="0" quotePrefix="1" xfId="2197">
      <alignment horizontal="right"/>
    </xf>
    <xf numFmtId="0" fontId="252" fillId="108" borderId="0" pivotButton="0" quotePrefix="0" xfId="2197"/>
    <xf numFmtId="0" fontId="255" fillId="97" borderId="0" applyAlignment="1" pivotButton="0" quotePrefix="0" xfId="2194">
      <alignment horizontal="left"/>
    </xf>
    <xf numFmtId="0" fontId="256" fillId="0" borderId="0" pivotButton="0" quotePrefix="0" xfId="2194"/>
    <xf numFmtId="0" fontId="257" fillId="108" borderId="0" pivotButton="0" quotePrefix="0" xfId="2197"/>
    <xf numFmtId="0" fontId="258" fillId="108" borderId="0" pivotButton="0" quotePrefix="0" xfId="2197"/>
    <xf numFmtId="0" fontId="259" fillId="109" borderId="154" pivotButton="0" quotePrefix="0" xfId="2197"/>
    <xf numFmtId="0" fontId="189" fillId="0" borderId="154" applyAlignment="1" pivotButton="0" quotePrefix="0" xfId="2197">
      <alignment horizontal="right"/>
    </xf>
    <xf numFmtId="0" fontId="259" fillId="109" borderId="0" pivotButton="0" quotePrefix="0" xfId="2197"/>
    <xf numFmtId="0" fontId="259" fillId="110" borderId="154" pivotButton="0" quotePrefix="0" xfId="2197"/>
    <xf numFmtId="0" fontId="151" fillId="110" borderId="0" pivotButton="0" quotePrefix="0" xfId="2194"/>
    <xf numFmtId="0" fontId="259" fillId="111" borderId="154" pivotButton="0" quotePrefix="0" xfId="2197"/>
    <xf numFmtId="0" fontId="259" fillId="111" borderId="0" pivotButton="0" quotePrefix="0" xfId="2197"/>
    <xf numFmtId="0" fontId="259" fillId="112" borderId="154" pivotButton="0" quotePrefix="0" xfId="2194"/>
    <xf numFmtId="0" fontId="151" fillId="112" borderId="0" pivotButton="0" quotePrefix="0" xfId="2194"/>
    <xf numFmtId="0" fontId="259" fillId="113" borderId="154" pivotButton="0" quotePrefix="0" xfId="2194"/>
    <xf numFmtId="0" fontId="151" fillId="113" borderId="0" pivotButton="0" quotePrefix="0" xfId="2194"/>
    <xf numFmtId="0" fontId="254" fillId="97" borderId="155" applyAlignment="1" pivotButton="0" quotePrefix="0" xfId="2194">
      <alignment horizontal="right" indent="1"/>
    </xf>
    <xf numFmtId="0" fontId="255" fillId="97" borderId="155" applyAlignment="1" pivotButton="0" quotePrefix="0" xfId="2194">
      <alignment horizontal="right" indent="1"/>
    </xf>
    <xf numFmtId="0" fontId="255" fillId="97" borderId="155" applyAlignment="1" pivotButton="0" quotePrefix="0" xfId="2194">
      <alignment horizontal="left"/>
    </xf>
    <xf numFmtId="4" fontId="234" fillId="97" borderId="155" applyAlignment="1" pivotButton="0" quotePrefix="0" xfId="2194">
      <alignment horizontal="right"/>
    </xf>
    <xf numFmtId="0" fontId="259" fillId="114" borderId="154" pivotButton="0" quotePrefix="0" xfId="2194"/>
    <xf numFmtId="0" fontId="151" fillId="114" borderId="0" pivotButton="0" quotePrefix="0" xfId="2194"/>
    <xf numFmtId="0" fontId="259" fillId="110" borderId="0" pivotButton="0" quotePrefix="0" xfId="2194"/>
    <xf numFmtId="0" fontId="12" fillId="0" borderId="0" pivotButton="0" quotePrefix="0" xfId="2197"/>
    <xf numFmtId="4" fontId="260" fillId="97" borderId="0" applyAlignment="1" pivotButton="0" quotePrefix="0" xfId="2194">
      <alignment horizontal="right"/>
    </xf>
    <xf numFmtId="4" fontId="189" fillId="0" borderId="0" applyAlignment="1" pivotButton="0" quotePrefix="0" xfId="2194">
      <alignment horizontal="right"/>
    </xf>
    <xf numFmtId="180" fontId="189" fillId="0" borderId="0" applyAlignment="1" pivotButton="0" quotePrefix="0" xfId="2197">
      <alignment horizontal="right"/>
    </xf>
    <xf numFmtId="172" fontId="12" fillId="0" borderId="0" pivotButton="0" quotePrefix="0" xfId="2197"/>
    <xf numFmtId="172" fontId="189" fillId="0" borderId="0" applyAlignment="1" pivotButton="0" quotePrefix="0" xfId="2197">
      <alignment horizontal="right"/>
    </xf>
    <xf numFmtId="41" fontId="189" fillId="0" borderId="0" applyAlignment="1" pivotButton="0" quotePrefix="0" xfId="2197">
      <alignment horizontal="right"/>
    </xf>
    <xf numFmtId="43" fontId="189" fillId="0" borderId="0" applyAlignment="1" pivotButton="0" quotePrefix="0" xfId="2197">
      <alignment horizontal="right"/>
    </xf>
    <xf numFmtId="180" fontId="234" fillId="97" borderId="0" applyAlignment="1" pivotButton="0" quotePrefix="0" xfId="2194">
      <alignment horizontal="right"/>
    </xf>
    <xf numFmtId="2" fontId="189" fillId="0" borderId="0" applyAlignment="1" pivotButton="0" quotePrefix="0" xfId="2197">
      <alignment horizontal="right"/>
    </xf>
    <xf numFmtId="1" fontId="189" fillId="0" borderId="154" applyAlignment="1" pivotButton="0" quotePrefix="1" xfId="2197">
      <alignment horizontal="right"/>
    </xf>
    <xf numFmtId="1" fontId="151" fillId="0" borderId="0" pivotButton="0" quotePrefix="0" xfId="2197"/>
    <xf numFmtId="180" fontId="151" fillId="0" borderId="0" pivotButton="0" quotePrefix="0" xfId="2197"/>
    <xf numFmtId="164" fontId="151" fillId="0" borderId="0" pivotButton="0" quotePrefix="0" xfId="1"/>
    <xf numFmtId="9" fontId="189" fillId="0" borderId="0" applyAlignment="1" pivotButton="0" quotePrefix="0" xfId="2">
      <alignment horizontal="right"/>
    </xf>
    <xf numFmtId="1" fontId="189" fillId="0" borderId="0" applyAlignment="1" pivotButton="0" quotePrefix="0" xfId="2197">
      <alignment horizontal="right"/>
    </xf>
    <xf numFmtId="164" fontId="18" fillId="0" borderId="0" applyAlignment="1" pivotButton="0" quotePrefix="0" xfId="1">
      <alignment horizontal="center" vertical="center"/>
    </xf>
    <xf numFmtId="164" fontId="18" fillId="8" borderId="0" applyAlignment="1" pivotButton="0" quotePrefix="0" xfId="1">
      <alignment horizontal="center" vertical="center"/>
    </xf>
    <xf numFmtId="0" fontId="14" fillId="8" borderId="0" pivotButton="0" quotePrefix="0" xfId="0"/>
    <xf numFmtId="0" fontId="14" fillId="8" borderId="0" applyAlignment="1" pivotButton="0" quotePrefix="0" xfId="0">
      <alignment horizontal="right"/>
    </xf>
    <xf numFmtId="0" fontId="3" fillId="8" borderId="0" applyAlignment="1" pivotButton="0" quotePrefix="0" xfId="0">
      <alignment horizontal="right"/>
    </xf>
    <xf numFmtId="39" fontId="0" fillId="8" borderId="0" pivotButton="0" quotePrefix="0" xfId="0"/>
    <xf numFmtId="168" fontId="43" fillId="9" borderId="15" applyAlignment="1" pivotButton="0" quotePrefix="0" xfId="0">
      <alignment horizontal="right"/>
    </xf>
    <xf numFmtId="182" fontId="43" fillId="9" borderId="15" applyAlignment="1" pivotButton="0" quotePrefix="0" xfId="0">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86" fontId="0" fillId="0" borderId="0" pivotButton="0" quotePrefix="0" xfId="1"/>
    <xf numFmtId="165" fontId="4" fillId="0" borderId="0" applyAlignment="1" pivotButton="0" quotePrefix="0" xfId="0">
      <alignment horizontal="right"/>
    </xf>
    <xf numFmtId="175" fontId="4" fillId="0" borderId="0" pivotButton="0" quotePrefix="0" xfId="0"/>
    <xf numFmtId="180" fontId="0" fillId="0" borderId="0" applyAlignment="1" pivotButton="0" quotePrefix="0" xfId="0">
      <alignment horizontal="right"/>
    </xf>
    <xf numFmtId="165" fontId="2" fillId="0" borderId="10" pivotButton="0" quotePrefix="0" xfId="0"/>
    <xf numFmtId="165" fontId="2" fillId="0" borderId="0" pivotButton="0" quotePrefix="0" xfId="0"/>
    <xf numFmtId="165" fontId="4" fillId="0" borderId="10" pivotButton="0" quotePrefix="0" xfId="0"/>
    <xf numFmtId="165" fontId="4" fillId="0" borderId="16" pivotButton="0" quotePrefix="0" xfId="0"/>
    <xf numFmtId="165" fontId="4" fillId="0" borderId="0" pivotButton="0" quotePrefix="0" xfId="0"/>
    <xf numFmtId="165" fontId="4" fillId="0" borderId="16" applyAlignment="1" pivotButton="0" quotePrefix="0" xfId="0">
      <alignment horizontal="right"/>
    </xf>
    <xf numFmtId="165" fontId="37" fillId="0" borderId="0" pivotButton="0" quotePrefix="0" xfId="4"/>
    <xf numFmtId="187" fontId="18" fillId="0" borderId="0" pivotButton="0" quotePrefix="0" xfId="0"/>
    <xf numFmtId="165" fontId="0" fillId="3" borderId="0" pivotButton="0" quotePrefix="0" xfId="0"/>
    <xf numFmtId="174" fontId="37" fillId="0" borderId="0" pivotButton="0" quotePrefix="0" xfId="4"/>
    <xf numFmtId="165" fontId="4" fillId="0" borderId="0" pivotButton="0" quotePrefix="0" xfId="4"/>
    <xf numFmtId="168" fontId="38" fillId="3" borderId="0" applyAlignment="1" pivotButton="0" quotePrefix="0" xfId="0">
      <alignment horizontal="center"/>
    </xf>
    <xf numFmtId="173" fontId="0" fillId="3" borderId="11" pivotButton="0" quotePrefix="0" xfId="0"/>
    <xf numFmtId="176" fontId="18" fillId="0" borderId="0" pivotButton="0" quotePrefix="0" xfId="0"/>
    <xf numFmtId="173" fontId="0" fillId="3" borderId="21" pivotButton="0" quotePrefix="0" xfId="0"/>
    <xf numFmtId="181" fontId="38" fillId="9" borderId="10" applyAlignment="1" pivotButton="0" quotePrefix="0" xfId="0">
      <alignment horizontal="center"/>
    </xf>
    <xf numFmtId="189" fontId="4" fillId="0" borderId="0" pivotButton="0" quotePrefix="0" xfId="0"/>
    <xf numFmtId="167" fontId="2" fillId="0" borderId="0" pivotButton="0" quotePrefix="0" xfId="0"/>
    <xf numFmtId="168" fontId="9" fillId="3" borderId="15" applyAlignment="1" pivotButton="0" quotePrefix="0" xfId="0">
      <alignment horizontal="right"/>
    </xf>
    <xf numFmtId="168" fontId="9" fillId="0" borderId="15" applyAlignment="1" pivotButton="0" quotePrefix="0" xfId="0">
      <alignment horizontal="right"/>
    </xf>
    <xf numFmtId="182" fontId="3" fillId="101" borderId="15" applyAlignment="1" pivotButton="0" quotePrefix="0" xfId="0">
      <alignment horizontal="right"/>
    </xf>
    <xf numFmtId="182" fontId="3" fillId="3" borderId="15" applyAlignment="1" pivotButton="0" quotePrefix="0" xfId="0">
      <alignment horizontal="right"/>
    </xf>
    <xf numFmtId="166" fontId="50" fillId="3" borderId="0" pivotButton="0" quotePrefix="0" xfId="0"/>
    <xf numFmtId="166" fontId="0" fillId="0" borderId="0" pivotButton="0" quotePrefix="0" xfId="0"/>
    <xf numFmtId="175" fontId="0" fillId="3" borderId="0" pivotButton="0" quotePrefix="0" xfId="0"/>
    <xf numFmtId="166" fontId="0" fillId="3" borderId="0" pivotButton="0" quotePrefix="0" xfId="0"/>
    <xf numFmtId="181" fontId="38" fillId="0" borderId="0" applyAlignment="1" pivotButton="0" quotePrefix="0" xfId="0">
      <alignment horizontal="center"/>
    </xf>
    <xf numFmtId="165" fontId="0" fillId="0" borderId="0" pivotButton="0" quotePrefix="0" xfId="1"/>
    <xf numFmtId="165" fontId="3" fillId="0" borderId="0" pivotButton="0" quotePrefix="0" xfId="0"/>
    <xf numFmtId="165" fontId="24" fillId="0" borderId="0" pivotButton="0" quotePrefix="0" xfId="2"/>
    <xf numFmtId="165" fontId="24" fillId="0" borderId="0" pivotButton="0" quotePrefix="0" xfId="0"/>
    <xf numFmtId="173" fontId="24" fillId="0" borderId="0" pivotButton="0" quotePrefix="0" xfId="1"/>
    <xf numFmtId="174" fontId="18" fillId="0" borderId="0" pivotButton="0" quotePrefix="0" xfId="2"/>
    <xf numFmtId="165" fontId="26" fillId="3" borderId="0" pivotButton="0" quotePrefix="0" xfId="2"/>
    <xf numFmtId="165" fontId="26" fillId="0" borderId="0" pivotButton="0" quotePrefix="0" xfId="2"/>
    <xf numFmtId="166" fontId="40" fillId="0" borderId="0" pivotButton="0" quotePrefix="0" xfId="0"/>
    <xf numFmtId="166" fontId="36" fillId="0" borderId="12" pivotButton="0" quotePrefix="0" xfId="0"/>
    <xf numFmtId="165" fontId="0" fillId="0" borderId="0" pivotButton="0" quotePrefix="0" xfId="0"/>
    <xf numFmtId="171" fontId="4" fillId="0" borderId="0" pivotButton="0" quotePrefix="0" xfId="1"/>
    <xf numFmtId="170" fontId="19" fillId="0" borderId="0" pivotButton="0" quotePrefix="0" xfId="0"/>
    <xf numFmtId="170" fontId="42" fillId="0" borderId="0" pivotButton="0" quotePrefix="0" xfId="0"/>
    <xf numFmtId="165" fontId="0" fillId="3" borderId="0" applyAlignment="1" pivotButton="0" quotePrefix="0" xfId="0">
      <alignment horizontal="right"/>
    </xf>
    <xf numFmtId="165" fontId="0" fillId="0" borderId="0" applyAlignment="1" pivotButton="0" quotePrefix="0" xfId="0">
      <alignment horizontal="right"/>
    </xf>
    <xf numFmtId="165" fontId="0" fillId="3" borderId="16" pivotButton="0" quotePrefix="0" xfId="0"/>
    <xf numFmtId="175" fontId="0" fillId="3" borderId="16" pivotButton="0" quotePrefix="0" xfId="0"/>
    <xf numFmtId="180" fontId="4" fillId="0" borderId="0" pivotButton="0" quotePrefix="0" xfId="1"/>
    <xf numFmtId="173" fontId="4" fillId="0" borderId="0" pivotButton="0" quotePrefix="0" xfId="1"/>
    <xf numFmtId="172" fontId="19" fillId="3" borderId="0" pivotButton="0" quotePrefix="0" xfId="2"/>
    <xf numFmtId="174" fontId="40" fillId="0" borderId="0" pivotButton="0" quotePrefix="0" xfId="2"/>
    <xf numFmtId="174" fontId="36" fillId="0" borderId="0" pivotButton="0" quotePrefix="0" xfId="2"/>
    <xf numFmtId="183" fontId="19" fillId="3" borderId="0" pivotButton="0" quotePrefix="0" xfId="2"/>
    <xf numFmtId="183" fontId="19" fillId="3" borderId="0" pivotButton="0" quotePrefix="0" xfId="0"/>
    <xf numFmtId="172" fontId="0" fillId="0" borderId="0" pivotButton="0" quotePrefix="0" xfId="0"/>
    <xf numFmtId="190" fontId="0" fillId="0" borderId="0" pivotButton="0" quotePrefix="0" xfId="0"/>
    <xf numFmtId="174" fontId="0" fillId="0" borderId="0" pivotButton="0" quotePrefix="0" xfId="0"/>
    <xf numFmtId="183" fontId="0" fillId="0" borderId="0" pivotButton="0" quotePrefix="0" xfId="0"/>
    <xf numFmtId="183" fontId="2" fillId="0" borderId="0" pivotButton="0" quotePrefix="0" xfId="0"/>
    <xf numFmtId="183" fontId="3"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72" fontId="0" fillId="0" borderId="0" pivotButton="0" quotePrefix="0" xfId="2"/>
    <xf numFmtId="183" fontId="2" fillId="8" borderId="0" pivotButton="0" quotePrefix="0" xfId="0"/>
    <xf numFmtId="174" fontId="24" fillId="0" borderId="0" pivotButton="0" quotePrefix="0" xfId="0"/>
    <xf numFmtId="165" fontId="33" fillId="0" borderId="0" pivotButton="0" quotePrefix="0" xfId="0"/>
    <xf numFmtId="175" fontId="0" fillId="0" borderId="0" pivotButton="0" quotePrefix="0" xfId="0"/>
    <xf numFmtId="172" fontId="2" fillId="0" borderId="0" pivotButton="0" quotePrefix="0" xfId="2"/>
    <xf numFmtId="179" fontId="40" fillId="0" borderId="0" applyAlignment="1" pivotButton="0" quotePrefix="0" xfId="7">
      <alignment horizontal="left" vertical="center" indent="1"/>
    </xf>
    <xf numFmtId="179" fontId="40" fillId="0" borderId="42" applyAlignment="1" pivotButton="0" quotePrefix="0" xfId="7">
      <alignment vertical="center"/>
    </xf>
    <xf numFmtId="179" fontId="9" fillId="0" borderId="0" pivotButton="0" quotePrefix="0" xfId="7"/>
    <xf numFmtId="179" fontId="3" fillId="0" borderId="0" pivotButton="0" quotePrefix="0" xfId="7"/>
    <xf numFmtId="179" fontId="4" fillId="0" borderId="0" applyAlignment="1" pivotButton="0" quotePrefix="0" xfId="7">
      <alignment vertical="center"/>
    </xf>
    <xf numFmtId="179" fontId="3" fillId="0" borderId="42" pivotButton="0" quotePrefix="0" xfId="7"/>
    <xf numFmtId="175" fontId="3" fillId="0" borderId="0" pivotButton="0" quotePrefix="0" xfId="0"/>
    <xf numFmtId="175" fontId="24" fillId="0" borderId="0" pivotButton="0" quotePrefix="0" xfId="0"/>
    <xf numFmtId="185" fontId="0" fillId="0" borderId="0" pivotButton="0" quotePrefix="0" xfId="0"/>
    <xf numFmtId="165" fontId="25" fillId="0" borderId="0" pivotButton="0" quotePrefix="0" xfId="0"/>
    <xf numFmtId="165" fontId="26" fillId="0" borderId="0" pivotButton="0" quotePrefix="0" xfId="0"/>
    <xf numFmtId="172" fontId="26" fillId="0" borderId="0" pivotButton="0" quotePrefix="0" xfId="2"/>
    <xf numFmtId="179" fontId="0" fillId="0" borderId="0" applyAlignment="1" pivotButton="0" quotePrefix="0" xfId="7">
      <alignment horizontal="left"/>
    </xf>
    <xf numFmtId="172" fontId="2" fillId="0" borderId="0" pivotButton="0" quotePrefix="0" xfId="0"/>
    <xf numFmtId="184" fontId="184" fillId="0" borderId="0" pivotButton="0" quotePrefix="0" xfId="0"/>
    <xf numFmtId="184" fontId="19" fillId="0" borderId="0" pivotButton="0" quotePrefix="0" xfId="0"/>
    <xf numFmtId="166" fontId="36" fillId="0" borderId="0" pivotButton="0" quotePrefix="0" xfId="0"/>
    <xf numFmtId="183" fontId="4" fillId="0" borderId="0" pivotButton="0" quotePrefix="0" xfId="0"/>
    <xf numFmtId="183" fontId="4" fillId="8" borderId="0" pivotButton="0" quotePrefix="0" xfId="0"/>
    <xf numFmtId="183" fontId="9" fillId="0" borderId="0" pivotButton="0" quotePrefix="0" xfId="0"/>
    <xf numFmtId="183" fontId="24" fillId="0" borderId="0" pivotButton="0" quotePrefix="0" xfId="0"/>
    <xf numFmtId="183" fontId="26" fillId="0" borderId="0" pivotButton="0" quotePrefix="0" xfId="0"/>
    <xf numFmtId="188" fontId="190" fillId="97" borderId="0" applyAlignment="1" pivotButton="0" quotePrefix="0" xfId="0">
      <alignment horizontal="right"/>
    </xf>
    <xf numFmtId="188" fontId="190" fillId="99" borderId="48" applyAlignment="1" applyProtection="1" pivotButton="0" quotePrefix="0" xfId="0">
      <alignment horizontal="right"/>
      <protection locked="0" hidden="0"/>
    </xf>
    <xf numFmtId="188" fontId="230" fillId="97" borderId="153" applyAlignment="1" pivotButton="0" quotePrefix="0" xfId="2194">
      <alignment horizontal="right"/>
    </xf>
    <xf numFmtId="170" fontId="189" fillId="0" borderId="0" applyAlignment="1" pivotButton="0" quotePrefix="0" xfId="2197">
      <alignment horizontal="right"/>
    </xf>
    <xf numFmtId="180" fontId="234" fillId="97" borderId="0" applyAlignment="1" pivotButton="0" quotePrefix="0" xfId="2194">
      <alignment horizontal="right"/>
    </xf>
    <xf numFmtId="180" fontId="189" fillId="0" borderId="0" applyAlignment="1" pivotButton="0" quotePrefix="0" xfId="2197">
      <alignment horizontal="right"/>
    </xf>
    <xf numFmtId="180" fontId="151" fillId="0" borderId="0" pivotButton="0" quotePrefix="0" xfId="2197"/>
    <xf numFmtId="172" fontId="189" fillId="0" borderId="0" applyAlignment="1" pivotButton="0" quotePrefix="0" xfId="2197">
      <alignment horizontal="right"/>
    </xf>
    <xf numFmtId="172" fontId="12" fillId="0" borderId="0" pivotButton="0" quotePrefix="0" xfId="2197"/>
    <xf numFmtId="188" fontId="12" fillId="0" borderId="0" pivotButton="0" quotePrefix="0" xfId="2194"/>
    <xf numFmtId="188" fontId="230" fillId="97" borderId="146" applyAlignment="1" pivotButton="0" quotePrefix="0" xfId="2194">
      <alignment horizontal="right"/>
    </xf>
    <xf numFmtId="188" fontId="224" fillId="97" borderId="0"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174" fontId="4" fillId="0" borderId="0" pivotButton="0" quotePrefix="0" xfId="0"/>
    <xf numFmtId="174" fontId="18" fillId="0" borderId="0" pivotButton="0" quotePrefix="0" xfId="1"/>
    <xf numFmtId="165" fontId="18" fillId="0" borderId="0" pivotButton="0" quotePrefix="0" xfId="1"/>
    <xf numFmtId="172" fontId="18" fillId="0" borderId="0" pivotButton="0" quotePrefix="0" xfId="2"/>
    <xf numFmtId="172" fontId="29" fillId="0" borderId="0" pivotButton="0" quotePrefix="0" xfId="2"/>
    <xf numFmtId="165" fontId="4" fillId="3" borderId="0" pivotButton="0" quotePrefix="0" xfId="0"/>
    <xf numFmtId="171" fontId="18" fillId="0" borderId="0" pivotButton="0" quotePrefix="0" xfId="1"/>
    <xf numFmtId="165" fontId="48" fillId="12" borderId="0" pivotButton="0" quotePrefix="0" xfId="7"/>
    <xf numFmtId="165" fontId="13" fillId="11" borderId="0" pivotButton="0" quotePrefix="0" xfId="7"/>
    <xf numFmtId="176" fontId="13" fillId="10"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175" fontId="13" fillId="3" borderId="0" pivotButton="0" quotePrefix="0" xfId="7"/>
    <xf numFmtId="165" fontId="13" fillId="3" borderId="0" pivotButton="0" quotePrefix="0" xfId="7"/>
    <xf numFmtId="166" fontId="13" fillId="3" borderId="0" pivotButton="0" quotePrefix="0" xfId="7"/>
    <xf numFmtId="166" fontId="13" fillId="0" borderId="0" pivotButton="0" quotePrefix="0" xfId="7"/>
    <xf numFmtId="166" fontId="13" fillId="7" borderId="0" pivotButton="0" quotePrefix="0" xfId="7"/>
    <xf numFmtId="174" fontId="68" fillId="3" borderId="24" pivotButton="0" quotePrefix="0" xfId="7"/>
    <xf numFmtId="174" fontId="68" fillId="3" borderId="23" pivotButton="0" quotePrefix="0" xfId="7"/>
    <xf numFmtId="175" fontId="0" fillId="0" borderId="14" pivotButton="0" quotePrefix="0" xfId="0"/>
    <xf numFmtId="175" fontId="0" fillId="0" borderId="19" pivotButton="0" quotePrefix="0" xfId="0"/>
    <xf numFmtId="165" fontId="0" fillId="0" borderId="11" pivotButton="0" quotePrefix="0" xfId="0"/>
    <xf numFmtId="165" fontId="0" fillId="0" borderId="17" pivotButton="0" quotePrefix="0" xfId="0"/>
    <xf numFmtId="165" fontId="0" fillId="0" borderId="10" pivotButton="0" quotePrefix="0" xfId="0"/>
    <xf numFmtId="177" fontId="0" fillId="0" borderId="18" pivotButton="0" quotePrefix="0" xfId="0"/>
    <xf numFmtId="177" fontId="0" fillId="0" borderId="10" pivotButton="0" quotePrefix="0" xfId="0"/>
    <xf numFmtId="165" fontId="0" fillId="0" borderId="20" pivotButton="0" quotePrefix="0" xfId="0"/>
    <xf numFmtId="165" fontId="0" fillId="0" borderId="16" pivotButton="0" quotePrefix="0" xfId="0"/>
    <xf numFmtId="177" fontId="0" fillId="0" borderId="21" pivotButton="0" quotePrefix="0" xfId="0"/>
    <xf numFmtId="177" fontId="0" fillId="0" borderId="16" pivotButton="0" quotePrefix="0" xfId="0"/>
    <xf numFmtId="178" fontId="0" fillId="0" borderId="22" pivotButton="0" quotePrefix="0" xfId="0"/>
    <xf numFmtId="178" fontId="0" fillId="0" borderId="20" pivotButton="0" quotePrefix="0" xfId="0"/>
    <xf numFmtId="178" fontId="0" fillId="0" borderId="16" pivotButton="0" quotePrefix="0" xfId="0"/>
    <xf numFmtId="175" fontId="0" fillId="3" borderId="13" pivotButton="0" quotePrefix="0" xfId="0"/>
    <xf numFmtId="174" fontId="0" fillId="3" borderId="17" pivotButton="0" quotePrefix="0" xfId="0"/>
    <xf numFmtId="174" fontId="0" fillId="3" borderId="10" pivotButton="0" quotePrefix="0" xfId="0"/>
    <xf numFmtId="177" fontId="0" fillId="3" borderId="18" pivotButton="0" quotePrefix="0" xfId="0"/>
    <xf numFmtId="177" fontId="0" fillId="3" borderId="10" pivotButton="0" quotePrefix="0" xfId="0"/>
    <xf numFmtId="175" fontId="0" fillId="3" borderId="14" pivotButton="0" quotePrefix="0" xfId="0"/>
    <xf numFmtId="174" fontId="0" fillId="3" borderId="19" pivotButton="0" quotePrefix="0" xfId="0"/>
    <xf numFmtId="174" fontId="0" fillId="3" borderId="0" pivotButton="0" quotePrefix="0" xfId="0"/>
    <xf numFmtId="177" fontId="0" fillId="3" borderId="11" pivotButton="0" quotePrefix="0" xfId="0"/>
    <xf numFmtId="177" fontId="0" fillId="3" borderId="0" pivotButton="0" quotePrefix="0" xfId="0"/>
    <xf numFmtId="174" fontId="0" fillId="3" borderId="20" pivotButton="0" quotePrefix="0" xfId="0"/>
    <xf numFmtId="174" fontId="0" fillId="3" borderId="16" pivotButton="0" quotePrefix="0" xfId="0"/>
    <xf numFmtId="177" fontId="0" fillId="3" borderId="21" pivotButton="0" quotePrefix="0" xfId="0"/>
    <xf numFmtId="177" fontId="0" fillId="3" borderId="16" pivotButton="0" quotePrefix="0" xfId="0"/>
    <xf numFmtId="165" fontId="0" fillId="3" borderId="16" applyAlignment="1" pivotButton="0" quotePrefix="0" xfId="0">
      <alignment horizontal="right"/>
    </xf>
    <xf numFmtId="165" fontId="0" fillId="3" borderId="21" applyAlignment="1" pivotButton="0" quotePrefix="0" xfId="0">
      <alignment horizontal="right"/>
    </xf>
    <xf numFmtId="165" fontId="50" fillId="3" borderId="21" applyAlignment="1" pivotButton="0" quotePrefix="0" xfId="0">
      <alignment horizontal="right"/>
    </xf>
    <xf numFmtId="165" fontId="50" fillId="3" borderId="16" applyAlignment="1" pivotButton="0" quotePrefix="0" xfId="0">
      <alignment horizontal="right"/>
    </xf>
    <xf numFmtId="165" fontId="0" fillId="3" borderId="19" pivotButton="0" quotePrefix="0" xfId="0"/>
    <xf numFmtId="165" fontId="0" fillId="3" borderId="11" pivotButton="0" quotePrefix="0" xfId="0"/>
    <xf numFmtId="165" fontId="0" fillId="3" borderId="20" pivotButton="0" quotePrefix="0" xfId="0"/>
    <xf numFmtId="165" fontId="0" fillId="3" borderId="21" pivotButton="0" quotePrefix="0" xfId="0"/>
  </cellXfs>
  <cellStyles count="2198">
    <cellStyle name="Normal" xfId="0" builtinId="0"/>
    <cellStyle name="Comma" xfId="1" builtinId="3"/>
    <cellStyle name="Percent" xfId="2" builtinId="5"/>
    <cellStyle name="Normal 2" xfId="3"/>
    <cellStyle name="******************************************" xfId="4"/>
    <cellStyle name="Euro" xfId="5"/>
    <cellStyle name="Normal 2 2" xfId="6"/>
    <cellStyle name="Normal 3" xfId="7"/>
    <cellStyle name="ChartingText" xfId="8"/>
    <cellStyle name="CHPAboveAverage" xfId="9"/>
    <cellStyle name="CHPBelowAverage" xfId="10"/>
    <cellStyle name="CHPBottom" xfId="11"/>
    <cellStyle name="CHPTop" xfId="12"/>
    <cellStyle name="ColumnHeaderNormal" xfId="13"/>
    <cellStyle name="Invisible" xfId="14"/>
    <cellStyle name="NewColumnHeaderNormal" xfId="15"/>
    <cellStyle name="NewSectionHeaderNormal" xfId="16"/>
    <cellStyle name="NewTitleNormal" xfId="17"/>
    <cellStyle name="SectionHeaderNormal" xfId="18"/>
    <cellStyle name="SubScript" xfId="19"/>
    <cellStyle name="SuperScript" xfId="20"/>
    <cellStyle name="TextBold" xfId="21"/>
    <cellStyle name="TextItalic" xfId="22"/>
    <cellStyle name="TextNormal" xfId="23"/>
    <cellStyle name="TitleNormal" xfId="24"/>
    <cellStyle name="Total 2" xfId="25"/>
    <cellStyle name="Comma 2" xfId="26"/>
    <cellStyle name="Normal 10" xfId="27"/>
    <cellStyle name="Normal 12" xfId="28"/>
    <cellStyle name="Normal 2 2 2" xfId="29"/>
    <cellStyle name="Normal 3 2" xfId="30"/>
    <cellStyle name="Normal 3 3" xfId="31"/>
    <cellStyle name="Normal 4" xfId="32"/>
    <cellStyle name="Percent 2" xfId="33"/>
    <cellStyle name="Percent 3" xfId="34"/>
    <cellStyle name="Normal 5" xfId="35"/>
    <cellStyle name="Comma 3" xfId="36"/>
    <cellStyle name="_(2) SRC" xfId="37"/>
    <cellStyle name="_031014 DSL Economics 1B" xfId="38"/>
    <cellStyle name="_031014 DSL Economics-1C" xfId="39"/>
    <cellStyle name="_03xxxx DSL Economics" xfId="40"/>
    <cellStyle name="_040223 Rev v Ev_Long View" xfId="41"/>
    <cellStyle name="_0510xx 3Q05 Wireless Focus" xfId="42"/>
    <cellStyle name="_051114 Valuation Update" xfId="43"/>
    <cellStyle name="_05xxxx Valuation Update" xfId="44"/>
    <cellStyle name="_2Q09 Earnings Review.Mike" xfId="45"/>
    <cellStyle name="_3G phones2" xfId="46"/>
    <cellStyle name="_3Q09 Earnings Review.Mikev.2" xfId="47"/>
    <cellStyle name="_3Q09 Earnings Review.Mikev.3" xfId="48"/>
    <cellStyle name="_Book5" xfId="49"/>
    <cellStyle name="_Consensus" xfId="50"/>
    <cellStyle name="_Copy of Reserve Release 2.19.10vMiklos" xfId="51"/>
    <cellStyle name="_DSLwhitebook Exhibits" xfId="52"/>
    <cellStyle name="_FOMA-Data Services in Japan" xfId="53"/>
    <cellStyle name="_FY1Q03 Wireless Infrastructure 5-20-2003" xfId="54"/>
    <cellStyle name="_Internet Connect Comparison" xfId="55"/>
    <cellStyle name="_NPE 3" xfId="56"/>
    <cellStyle name="•\Ž¦Ï‚Ý‚ÌƒnƒCƒp[ƒŠƒ“ƒN" xfId="57"/>
    <cellStyle name="•W_GEPO1 (2)" xfId="58"/>
    <cellStyle name="•W16" xfId="59"/>
    <cellStyle name="¹éºÐÀ²_±âÅ¸" xfId="60"/>
    <cellStyle name="ÅëÈ­ [0]_±âÅ¸" xfId="61"/>
    <cellStyle name="ÅëÈ­_±âÅ¸" xfId="62"/>
    <cellStyle name="AFE" xfId="63"/>
    <cellStyle name="annee semestre" xfId="64"/>
    <cellStyle name="ÄÞ¸¶ [0]_±âÅ¸" xfId="65"/>
    <cellStyle name="ÄÞ¸¶_±âÅ¸" xfId="66"/>
    <cellStyle name="bch" xfId="67"/>
    <cellStyle name="bci" xfId="68"/>
    <cellStyle name="BLACK" xfId="69"/>
    <cellStyle name="BlackTitle" xfId="70"/>
    <cellStyle name="Body" xfId="71"/>
    <cellStyle name="bvshr$" xfId="72"/>
    <cellStyle name="C?mma [0]" xfId="73"/>
    <cellStyle name="Ç¥ÁØ_¿ù°£¿ä¾àº¸°í" xfId="74"/>
    <cellStyle name="C௯mma [0]" xfId="75"/>
    <cellStyle name="Calc Currency (0)" xfId="76"/>
    <cellStyle name="CategoryBodyBorders" xfId="77"/>
    <cellStyle name="CategoryBodyText" xfId="78"/>
    <cellStyle name="cell" xfId="79"/>
    <cellStyle name="CENTER HEAD" xfId="80"/>
    <cellStyle name="CENTER HEAD 8" xfId="81"/>
    <cellStyle name="CENTER HEAD 9" xfId="82"/>
    <cellStyle name="CENTER LABEL" xfId="83"/>
    <cellStyle name="Centered Heading" xfId="84"/>
    <cellStyle name="CFnozeros" xfId="85"/>
    <cellStyle name="CFtotal$" xfId="86"/>
    <cellStyle name="ch" xfId="87"/>
    <cellStyle name="Client" xfId="88"/>
    <cellStyle name="ColHeading" xfId="89"/>
    <cellStyle name="Column Head" xfId="90"/>
    <cellStyle name="COLUMN HEAD 9" xfId="91"/>
    <cellStyle name="Column Head_Copy of Deposit Regression Data v2" xfId="92"/>
    <cellStyle name="Comma  - Style1" xfId="93"/>
    <cellStyle name="Comma  - Style2" xfId="94"/>
    <cellStyle name="Comma  - Style3" xfId="95"/>
    <cellStyle name="Comma  - Style4" xfId="96"/>
    <cellStyle name="Comma  - Style5" xfId="97"/>
    <cellStyle name="Comma  - Style6" xfId="98"/>
    <cellStyle name="Comma  - Style7" xfId="99"/>
    <cellStyle name="Comma  - Style8" xfId="100"/>
    <cellStyle name="Comma [1]" xfId="101"/>
    <cellStyle name="Comma [2]" xfId="102"/>
    <cellStyle name="Comma 4" xfId="103"/>
    <cellStyle name="COMMA, 0" xfId="104"/>
    <cellStyle name="Comma0" xfId="105"/>
    <cellStyle name="Comma0 - Style1" xfId="106"/>
    <cellStyle name="Comma0_Level I-III Asset Data - BROKERS" xfId="107"/>
    <cellStyle name="Company" xfId="108"/>
    <cellStyle name="Company Name" xfId="109"/>
    <cellStyle name="Copied" xfId="110"/>
    <cellStyle name="CurRatio" xfId="111"/>
    <cellStyle name="Curren - Style2" xfId="112"/>
    <cellStyle name="Currency (1)" xfId="113"/>
    <cellStyle name="Currency [1]" xfId="114"/>
    <cellStyle name="Currency [2]" xfId="115"/>
    <cellStyle name="Currency 2" xfId="116"/>
    <cellStyle name="Currency 3" xfId="117"/>
    <cellStyle name="Currency0" xfId="118"/>
    <cellStyle name="custeq" xfId="119"/>
    <cellStyle name="Data Series Heading" xfId="120"/>
    <cellStyle name="Date" xfId="121"/>
    <cellStyle name="DEC 7PT 1" xfId="122"/>
    <cellStyle name="DEC 7PT 2" xfId="123"/>
    <cellStyle name="DEC 7PT 4" xfId="124"/>
    <cellStyle name="DEC 7PT 4A" xfId="125"/>
    <cellStyle name="DEC 9PT 1" xfId="126"/>
    <cellStyle name="DEC 9PT 3" xfId="127"/>
    <cellStyle name="DEC 9PT 5" xfId="128"/>
    <cellStyle name="dividend$" xfId="129"/>
    <cellStyle name="dividends" xfId="130"/>
    <cellStyle name="données" xfId="131"/>
    <cellStyle name="donnéesbord" xfId="132"/>
    <cellStyle name="elizabeth" xfId="133"/>
    <cellStyle name="Entered" xfId="134"/>
    <cellStyle name="Entries" xfId="135"/>
    <cellStyle name="eps$" xfId="136"/>
    <cellStyle name="ER$AS" xfId="137"/>
    <cellStyle name="ER$IS" xfId="138"/>
    <cellStyle name="ER$IS (2)" xfId="139"/>
    <cellStyle name="ER$IS_IS1999" xfId="140"/>
    <cellStyle name="ERCOM" xfId="141"/>
    <cellStyle name="erdivid" xfId="142"/>
    <cellStyle name="ereps$" xfId="143"/>
    <cellStyle name="ERIS" xfId="144"/>
    <cellStyle name="ERnozeros" xfId="145"/>
    <cellStyle name="ERtotal$" xfId="146"/>
    <cellStyle name="Estimate" xfId="147"/>
    <cellStyle name="EXHIBIT #" xfId="148"/>
    <cellStyle name="FactSet Ticker" xfId="149"/>
    <cellStyle name="Fixed" xfId="150"/>
    <cellStyle name="ƒnƒCƒp[ƒŠƒ“ƒN" xfId="151"/>
    <cellStyle name="FOOTNOTE" xfId="152"/>
    <cellStyle name="general" xfId="153"/>
    <cellStyle name="Grey" xfId="154"/>
    <cellStyle name="Head1" xfId="155"/>
    <cellStyle name="Header1" xfId="156"/>
    <cellStyle name="Header2" xfId="157"/>
    <cellStyle name="Heading" xfId="158"/>
    <cellStyle name="Heading No Underline" xfId="159"/>
    <cellStyle name="Heading With Underline" xfId="160"/>
    <cellStyle name="HeadlineStyle" xfId="161"/>
    <cellStyle name="HeadlineStyleJustified" xfId="162"/>
    <cellStyle name="Hyperlink 2" xfId="163"/>
    <cellStyle name="Input [yellow]" xfId="164"/>
    <cellStyle name="Integer" xfId="165"/>
    <cellStyle name="Item" xfId="166"/>
    <cellStyle name="ItemTypeClass_CUS Template" xfId="167"/>
    <cellStyle name="KP_Normal" xfId="168"/>
    <cellStyle name="LEFT 7" xfId="169"/>
    <cellStyle name="LEFT 7 SPACE2" xfId="170"/>
    <cellStyle name="LEFT 7 SPACEA" xfId="171"/>
    <cellStyle name="left 7 spacer" xfId="172"/>
    <cellStyle name="LEFT 7A" xfId="173"/>
    <cellStyle name="LEFT 9" xfId="174"/>
    <cellStyle name="LEFT 9 SPACER" xfId="175"/>
    <cellStyle name="memo" xfId="176"/>
    <cellStyle name="memo2" xfId="177"/>
    <cellStyle name="memo-r" xfId="178"/>
    <cellStyle name="Multiple" xfId="179"/>
    <cellStyle name="Needs update" xfId="180"/>
    <cellStyle name="no dec" xfId="181"/>
    <cellStyle name="Normal - Style1" xfId="182"/>
    <cellStyle name="Normal 11" xfId="183"/>
    <cellStyle name="Normal2" xfId="184"/>
    <cellStyle name="notes" xfId="185"/>
    <cellStyle name="nozeros" xfId="186"/>
    <cellStyle name="nozeros(1)" xfId="187"/>
    <cellStyle name="nozeros(2)" xfId="188"/>
    <cellStyle name="Number" xfId="189"/>
    <cellStyle name="ok" xfId="190"/>
    <cellStyle name="Percent (0)" xfId="191"/>
    <cellStyle name="Percent (1)" xfId="192"/>
    <cellStyle name="Percent [0]" xfId="193"/>
    <cellStyle name="Percent [1]" xfId="194"/>
    <cellStyle name="Percent [2]" xfId="195"/>
    <cellStyle name="Percent 0" xfId="196"/>
    <cellStyle name="Percent 0.00" xfId="197"/>
    <cellStyle name="PercentChange" xfId="198"/>
    <cellStyle name="PSChar" xfId="199"/>
    <cellStyle name="PSDate" xfId="200"/>
    <cellStyle name="PSDec" xfId="201"/>
    <cellStyle name="PSHeading" xfId="202"/>
    <cellStyle name="PSInt" xfId="203"/>
    <cellStyle name="PSSpacer" xfId="204"/>
    <cellStyle name="RatioX" xfId="205"/>
    <cellStyle name="Ref Numbers" xfId="206"/>
    <cellStyle name="ReportFieldNames" xfId="207"/>
    <cellStyle name="results" xfId="208"/>
    <cellStyle name="RevList" xfId="209"/>
    <cellStyle name="rh" xfId="210"/>
    <cellStyle name="RobModel" xfId="211"/>
    <cellStyle name="ScotchRule" xfId="212"/>
    <cellStyle name="SecBody2" xfId="213"/>
    <cellStyle name="SecHead2" xfId="214"/>
    <cellStyle name="SectionHeading" xfId="215"/>
    <cellStyle name="SelectFormat" xfId="216"/>
    <cellStyle name="semestre" xfId="217"/>
    <cellStyle name="shaded" xfId="218"/>
    <cellStyle name="shaded - Style3" xfId="219"/>
    <cellStyle name="SHEET2!Normal" xfId="220"/>
    <cellStyle name="Source Line" xfId="221"/>
    <cellStyle name="srh" xfId="222"/>
    <cellStyle name="Standaard_TELECOM" xfId="223"/>
    <cellStyle name="Standard_Financial StatementsTA_1Q_03" xfId="224"/>
    <cellStyle name="Stock Price" xfId="225"/>
    <cellStyle name="Style 1" xfId="226"/>
    <cellStyle name="Style 21" xfId="227"/>
    <cellStyle name="Style 22" xfId="228"/>
    <cellStyle name="Style 23" xfId="229"/>
    <cellStyle name="Style 24" xfId="230"/>
    <cellStyle name="Style 25" xfId="231"/>
    <cellStyle name="Style 26" xfId="232"/>
    <cellStyle name="Style 27" xfId="233"/>
    <cellStyle name="Style 28" xfId="234"/>
    <cellStyle name="Style 29" xfId="235"/>
    <cellStyle name="Style 30" xfId="236"/>
    <cellStyle name="Style 31" xfId="237"/>
    <cellStyle name="Style 32" xfId="238"/>
    <cellStyle name="Style 33" xfId="239"/>
    <cellStyle name="Style 34" xfId="240"/>
    <cellStyle name="Style 35" xfId="241"/>
    <cellStyle name="Style 36" xfId="242"/>
    <cellStyle name="Style 37" xfId="243"/>
    <cellStyle name="Style 39" xfId="244"/>
    <cellStyle name="SubHead" xfId="245"/>
    <cellStyle name="SubHead1" xfId="246"/>
    <cellStyle name="Subtitle" xfId="247"/>
    <cellStyle name="Subtotal" xfId="248"/>
    <cellStyle name="Subtotals1" xfId="249"/>
    <cellStyle name="TAB FTNOTE 9" xfId="250"/>
    <cellStyle name="TAB FTNOTE9A" xfId="251"/>
    <cellStyle name="TAB FTNOTE9B" xfId="252"/>
    <cellStyle name="TAB FTNT 9 SP" xfId="253"/>
    <cellStyle name="TABLE FTNOTE" xfId="254"/>
    <cellStyle name="Table Head" xfId="255"/>
    <cellStyle name="Table Heading" xfId="256"/>
    <cellStyle name="Table Source" xfId="257"/>
    <cellStyle name="TABLE SOURCEA" xfId="258"/>
    <cellStyle name="TABLE SOURCEB" xfId="259"/>
    <cellStyle name="Table Text" xfId="260"/>
    <cellStyle name="Table Text 1" xfId="261"/>
    <cellStyle name="TABLE TEXT 2" xfId="262"/>
    <cellStyle name="TABLE TEXT 8" xfId="263"/>
    <cellStyle name="Table Text_Copy of Deposit Regression Data v2" xfId="264"/>
    <cellStyle name="Table Title" xfId="265"/>
    <cellStyle name="TableBody" xfId="266"/>
    <cellStyle name="TableBodyR" xfId="267"/>
    <cellStyle name="TableColHeads" xfId="268"/>
    <cellStyle name="TableTitleFormat" xfId="269"/>
    <cellStyle name="tête chapitre" xfId="270"/>
    <cellStyle name="TEXT #.#%" xfId="271"/>
    <cellStyle name="Times New Roman" xfId="272"/>
    <cellStyle name="Title Line" xfId="273"/>
    <cellStyle name="Titles" xfId="274"/>
    <cellStyle name="titre" xfId="275"/>
    <cellStyle name="Top Row" xfId="276"/>
    <cellStyle name="Total Row" xfId="277"/>
    <cellStyle name="total$" xfId="278"/>
    <cellStyle name="一般_chinese" xfId="279"/>
    <cellStyle name="標準_7203EM120" xfId="280"/>
    <cellStyle name="ChartingText 2" xfId="281"/>
    <cellStyle name="ChartingText 3" xfId="282"/>
    <cellStyle name="CHPAboveAverage 2" xfId="283"/>
    <cellStyle name="CHPAboveAverage 3" xfId="284"/>
    <cellStyle name=" 1" xfId="285"/>
    <cellStyle name="%" xfId="286"/>
    <cellStyle name="% 2" xfId="287"/>
    <cellStyle name="%_STB10_E_Europe" xfId="288"/>
    <cellStyle name="%_STB10_W_Europe" xfId="289"/>
    <cellStyle name="%_STB10_W_Europe 2" xfId="290"/>
    <cellStyle name="?" xfId="291"/>
    <cellStyle name="_Europe" xfId="292"/>
    <cellStyle name="_Europe 2" xfId="293"/>
    <cellStyle name="_Machinery Production Yearbook - Europe - customer copy - 2009 - $" xfId="294"/>
    <cellStyle name="_SeriesDataForecast" xfId="295"/>
    <cellStyle name="W_Jun98" xfId="296"/>
    <cellStyle name="20% - Accent1 2" xfId="297"/>
    <cellStyle name="20% - Accent1 2 2" xfId="298"/>
    <cellStyle name="20% - Accent1 2 2 2" xfId="299"/>
    <cellStyle name="20% - Accent1 2 2 3" xfId="300"/>
    <cellStyle name="20% - Accent1 2 2 4" xfId="301"/>
    <cellStyle name="20% - Accent1 2 2 5" xfId="302"/>
    <cellStyle name="20% - Accent1 2 3" xfId="303"/>
    <cellStyle name="20% - Accent1 2 3 2" xfId="304"/>
    <cellStyle name="20% - Accent1 2 3 3" xfId="305"/>
    <cellStyle name="20% - Accent1 2 3 4" xfId="306"/>
    <cellStyle name="20% - Accent1 2 3 5" xfId="307"/>
    <cellStyle name="20% - Accent1 2 4" xfId="308"/>
    <cellStyle name="20% - Accent1 2 5" xfId="309"/>
    <cellStyle name="20% - Accent1 2 6" xfId="310"/>
    <cellStyle name="20% - Accent1 2 7" xfId="311"/>
    <cellStyle name="20% - Accent1 2 8" xfId="312"/>
    <cellStyle name="20% - Accent1 2 9" xfId="313"/>
    <cellStyle name="20% - Accent1 3" xfId="314"/>
    <cellStyle name="20% - Accent1 3 2" xfId="315"/>
    <cellStyle name="20% - Accent1 3 2 2" xfId="316"/>
    <cellStyle name="20% - Accent1 3 2 3" xfId="317"/>
    <cellStyle name="20% - Accent1 3 3" xfId="318"/>
    <cellStyle name="20% - Accent1 3 4" xfId="319"/>
    <cellStyle name="20% - Accent1 3 5" xfId="320"/>
    <cellStyle name="20% - Accent1 3 6" xfId="321"/>
    <cellStyle name="20% - Accent1 3 7" xfId="322"/>
    <cellStyle name="20% - Accent1 4" xfId="323"/>
    <cellStyle name="20% - Accent1 4 2" xfId="324"/>
    <cellStyle name="20% - Accent1 4 2 2" xfId="325"/>
    <cellStyle name="20% - Accent1 4 2 2 2" xfId="326"/>
    <cellStyle name="20% - Accent1 4 2 3" xfId="327"/>
    <cellStyle name="20% - Accent1 4 2 4" xfId="328"/>
    <cellStyle name="20% - Accent1 4 3" xfId="329"/>
    <cellStyle name="20% - Accent1 4 3 2" xfId="330"/>
    <cellStyle name="20% - Accent1 4 4" xfId="331"/>
    <cellStyle name="20% - Accent1 4 5" xfId="332"/>
    <cellStyle name="20% - Accent1 4 6" xfId="333"/>
    <cellStyle name="20% - Accent1 5" xfId="334"/>
    <cellStyle name="20% - Accent1 5 2" xfId="335"/>
    <cellStyle name="20% - Accent1 5 2 2" xfId="336"/>
    <cellStyle name="20% - Accent1 5 2 2 2" xfId="337"/>
    <cellStyle name="20% - Accent1 5 2 3" xfId="338"/>
    <cellStyle name="20% - Accent1 5 2 4" xfId="339"/>
    <cellStyle name="20% - Accent1 5 3" xfId="340"/>
    <cellStyle name="20% - Accent1 5 3 2" xfId="341"/>
    <cellStyle name="20% - Accent1 5 4" xfId="342"/>
    <cellStyle name="20% - Accent1 5 5" xfId="343"/>
    <cellStyle name="20% - Accent1 6" xfId="344"/>
    <cellStyle name="20% - Accent1 6 2" xfId="345"/>
    <cellStyle name="20% - Accent1 6 2 2" xfId="346"/>
    <cellStyle name="20% - Accent1 6 2 2 2" xfId="347"/>
    <cellStyle name="20% - Accent1 6 2 3" xfId="348"/>
    <cellStyle name="20% - Accent1 6 3" xfId="349"/>
    <cellStyle name="20% - Accent1 6 3 2" xfId="350"/>
    <cellStyle name="20% - Accent1 6 4" xfId="351"/>
    <cellStyle name="20% - Accent1 7" xfId="352"/>
    <cellStyle name="20% - Accent1 7 2" xfId="353"/>
    <cellStyle name="20% - Accent1 7 3" xfId="354"/>
    <cellStyle name="20% - Accent1 8" xfId="355"/>
    <cellStyle name="20% - Accent1 8 2" xfId="356"/>
    <cellStyle name="20% - Accent1 9" xfId="357"/>
    <cellStyle name="20% - Accent2 2" xfId="358"/>
    <cellStyle name="20% - Accent2 2 2" xfId="359"/>
    <cellStyle name="20% - Accent2 2 2 2" xfId="360"/>
    <cellStyle name="20% - Accent2 2 2 3" xfId="361"/>
    <cellStyle name="20% - Accent2 2 2 4" xfId="362"/>
    <cellStyle name="20% - Accent2 2 2 5" xfId="363"/>
    <cellStyle name="20% - Accent2 2 3" xfId="364"/>
    <cellStyle name="20% - Accent2 2 3 2" xfId="365"/>
    <cellStyle name="20% - Accent2 2 3 3" xfId="366"/>
    <cellStyle name="20% - Accent2 2 3 4" xfId="367"/>
    <cellStyle name="20% - Accent2 2 3 5" xfId="368"/>
    <cellStyle name="20% - Accent2 2 4" xfId="369"/>
    <cellStyle name="20% - Accent2 2 5" xfId="370"/>
    <cellStyle name="20% - Accent2 2 6" xfId="371"/>
    <cellStyle name="20% - Accent2 2 7" xfId="372"/>
    <cellStyle name="20% - Accent2 2 8" xfId="373"/>
    <cellStyle name="20% - Accent2 2 9" xfId="374"/>
    <cellStyle name="20% - Accent2 3" xfId="375"/>
    <cellStyle name="20% - Accent2 3 2" xfId="376"/>
    <cellStyle name="20% - Accent2 3 2 2" xfId="377"/>
    <cellStyle name="20% - Accent2 3 2 3" xfId="378"/>
    <cellStyle name="20% - Accent2 3 3" xfId="379"/>
    <cellStyle name="20% - Accent2 3 4" xfId="380"/>
    <cellStyle name="20% - Accent2 3 5" xfId="381"/>
    <cellStyle name="20% - Accent2 3 6" xfId="382"/>
    <cellStyle name="20% - Accent2 3 7" xfId="383"/>
    <cellStyle name="20% - Accent2 4" xfId="384"/>
    <cellStyle name="20% - Accent2 4 2" xfId="385"/>
    <cellStyle name="20% - Accent2 4 2 2" xfId="386"/>
    <cellStyle name="20% - Accent2 4 2 2 2" xfId="387"/>
    <cellStyle name="20% - Accent2 4 2 3" xfId="388"/>
    <cellStyle name="20% - Accent2 4 2 4" xfId="389"/>
    <cellStyle name="20% - Accent2 4 3" xfId="390"/>
    <cellStyle name="20% - Accent2 4 3 2" xfId="391"/>
    <cellStyle name="20% - Accent2 4 4" xfId="392"/>
    <cellStyle name="20% - Accent2 4 5" xfId="393"/>
    <cellStyle name="20% - Accent2 4 6" xfId="394"/>
    <cellStyle name="20% - Accent2 5" xfId="395"/>
    <cellStyle name="20% - Accent2 5 2" xfId="396"/>
    <cellStyle name="20% - Accent2 5 2 2" xfId="397"/>
    <cellStyle name="20% - Accent2 5 2 2 2" xfId="398"/>
    <cellStyle name="20% - Accent2 5 2 3" xfId="399"/>
    <cellStyle name="20% - Accent2 5 2 4" xfId="400"/>
    <cellStyle name="20% - Accent2 5 3" xfId="401"/>
    <cellStyle name="20% - Accent2 5 3 2" xfId="402"/>
    <cellStyle name="20% - Accent2 5 4" xfId="403"/>
    <cellStyle name="20% - Accent2 5 5" xfId="404"/>
    <cellStyle name="20% - Accent2 6" xfId="405"/>
    <cellStyle name="20% - Accent2 6 2" xfId="406"/>
    <cellStyle name="20% - Accent2 6 2 2" xfId="407"/>
    <cellStyle name="20% - Accent2 6 2 2 2" xfId="408"/>
    <cellStyle name="20% - Accent2 6 2 3" xfId="409"/>
    <cellStyle name="20% - Accent2 6 3" xfId="410"/>
    <cellStyle name="20% - Accent2 6 3 2" xfId="411"/>
    <cellStyle name="20% - Accent2 6 4" xfId="412"/>
    <cellStyle name="20% - Accent2 7" xfId="413"/>
    <cellStyle name="20% - Accent2 7 2" xfId="414"/>
    <cellStyle name="20% - Accent2 7 3" xfId="415"/>
    <cellStyle name="20% - Accent2 8" xfId="416"/>
    <cellStyle name="20% - Accent2 8 2" xfId="417"/>
    <cellStyle name="20% - Accent2 9" xfId="418"/>
    <cellStyle name="20% - Accent3 2" xfId="419"/>
    <cellStyle name="20% - Accent3 2 10" xfId="420"/>
    <cellStyle name="20% - Accent3 2 11" xfId="421"/>
    <cellStyle name="20% - Accent3 2 2" xfId="422"/>
    <cellStyle name="20% - Accent3 2 2 2" xfId="423"/>
    <cellStyle name="20% - Accent3 2 2 3" xfId="424"/>
    <cellStyle name="20% - Accent3 2 2 4" xfId="425"/>
    <cellStyle name="20% - Accent3 2 2 5" xfId="426"/>
    <cellStyle name="20% - Accent3 2 3" xfId="427"/>
    <cellStyle name="20% - Accent3 2 3 2" xfId="428"/>
    <cellStyle name="20% - Accent3 2 3 3" xfId="429"/>
    <cellStyle name="20% - Accent3 2 3 4" xfId="430"/>
    <cellStyle name="20% - Accent3 2 3 5" xfId="431"/>
    <cellStyle name="20% - Accent3 2 3 6" xfId="432"/>
    <cellStyle name="20% - Accent3 2 4" xfId="433"/>
    <cellStyle name="20% - Accent3 2 4 2" xfId="434"/>
    <cellStyle name="20% - Accent3 2 4 3" xfId="435"/>
    <cellStyle name="20% - Accent3 2 4 4" xfId="436"/>
    <cellStyle name="20% - Accent3 2 5" xfId="437"/>
    <cellStyle name="20% - Accent3 2 6" xfId="438"/>
    <cellStyle name="20% - Accent3 2 7" xfId="439"/>
    <cellStyle name="20% - Accent3 2 8" xfId="440"/>
    <cellStyle name="20% - Accent3 2 9" xfId="441"/>
    <cellStyle name="20% - Accent3 3" xfId="442"/>
    <cellStyle name="20% - Accent3 3 2" xfId="443"/>
    <cellStyle name="20% - Accent3 3 2 2" xfId="444"/>
    <cellStyle name="20% - Accent3 3 2 3" xfId="445"/>
    <cellStyle name="20% - Accent3 3 2 4" xfId="446"/>
    <cellStyle name="20% - Accent3 3 2 5" xfId="447"/>
    <cellStyle name="20% - Accent3 3 2 6" xfId="448"/>
    <cellStyle name="20% - Accent3 3 3" xfId="449"/>
    <cellStyle name="20% - Accent3 3 3 2" xfId="450"/>
    <cellStyle name="20% - Accent3 3 3 3" xfId="451"/>
    <cellStyle name="20% - Accent3 3 3 4" xfId="452"/>
    <cellStyle name="20% - Accent3 3 4" xfId="453"/>
    <cellStyle name="20% - Accent3 3 5" xfId="454"/>
    <cellStyle name="20% - Accent3 3 6" xfId="455"/>
    <cellStyle name="20% - Accent3 3 7" xfId="456"/>
    <cellStyle name="20% - Accent3 3 8" xfId="457"/>
    <cellStyle name="20% - Accent3 4" xfId="458"/>
    <cellStyle name="20% - Accent3 4 2" xfId="459"/>
    <cellStyle name="20% - Accent3 4 2 2" xfId="460"/>
    <cellStyle name="20% - Accent3 4 2 2 2" xfId="461"/>
    <cellStyle name="20% - Accent3 4 2 3" xfId="462"/>
    <cellStyle name="20% - Accent3 4 2 4" xfId="463"/>
    <cellStyle name="20% - Accent3 4 3" xfId="464"/>
    <cellStyle name="20% - Accent3 4 3 2" xfId="465"/>
    <cellStyle name="20% - Accent3 4 4" xfId="466"/>
    <cellStyle name="20% - Accent3 4 5" xfId="467"/>
    <cellStyle name="20% - Accent3 4 6" xfId="468"/>
    <cellStyle name="20% - Accent3 5" xfId="469"/>
    <cellStyle name="20% - Accent3 5 2" xfId="470"/>
    <cellStyle name="20% - Accent3 5 2 2" xfId="471"/>
    <cellStyle name="20% - Accent3 5 2 2 2" xfId="472"/>
    <cellStyle name="20% - Accent3 5 2 3" xfId="473"/>
    <cellStyle name="20% - Accent3 5 2 4" xfId="474"/>
    <cellStyle name="20% - Accent3 5 3" xfId="475"/>
    <cellStyle name="20% - Accent3 5 3 2" xfId="476"/>
    <cellStyle name="20% - Accent3 5 4" xfId="477"/>
    <cellStyle name="20% - Accent3 5 5" xfId="478"/>
    <cellStyle name="20% - Accent3 5 6" xfId="479"/>
    <cellStyle name="20% - Accent3 6" xfId="480"/>
    <cellStyle name="20% - Accent3 6 2" xfId="481"/>
    <cellStyle name="20% - Accent3 6 2 2" xfId="482"/>
    <cellStyle name="20% - Accent3 6 2 2 2" xfId="483"/>
    <cellStyle name="20% - Accent3 6 2 3" xfId="484"/>
    <cellStyle name="20% - Accent3 6 3" xfId="485"/>
    <cellStyle name="20% - Accent3 6 3 2" xfId="486"/>
    <cellStyle name="20% - Accent3 6 4" xfId="487"/>
    <cellStyle name="20% - Accent3 7" xfId="488"/>
    <cellStyle name="20% - Accent3 7 2" xfId="489"/>
    <cellStyle name="20% - Accent3 7 3" xfId="490"/>
    <cellStyle name="20% - Accent3 8" xfId="491"/>
    <cellStyle name="20% - Accent3 8 2" xfId="492"/>
    <cellStyle name="20% - Accent3 9" xfId="493"/>
    <cellStyle name="20% - Accent4 2" xfId="494"/>
    <cellStyle name="20% - Accent4 2 2" xfId="495"/>
    <cellStyle name="20% - Accent4 2 2 2" xfId="496"/>
    <cellStyle name="20% - Accent4 2 2 3" xfId="497"/>
    <cellStyle name="20% - Accent4 2 2 4" xfId="498"/>
    <cellStyle name="20% - Accent4 2 2 5" xfId="499"/>
    <cellStyle name="20% - Accent4 2 3" xfId="500"/>
    <cellStyle name="20% - Accent4 2 3 2" xfId="501"/>
    <cellStyle name="20% - Accent4 2 3 3" xfId="502"/>
    <cellStyle name="20% - Accent4 2 3 4" xfId="503"/>
    <cellStyle name="20% - Accent4 2 3 5" xfId="504"/>
    <cellStyle name="20% - Accent4 2 4" xfId="505"/>
    <cellStyle name="20% - Accent4 2 5" xfId="506"/>
    <cellStyle name="20% - Accent4 2 6" xfId="507"/>
    <cellStyle name="20% - Accent4 2 7" xfId="508"/>
    <cellStyle name="20% - Accent4 2 8" xfId="509"/>
    <cellStyle name="20% - Accent4 2 9" xfId="510"/>
    <cellStyle name="20% - Accent4 3" xfId="511"/>
    <cellStyle name="20% - Accent4 3 2" xfId="512"/>
    <cellStyle name="20% - Accent4 3 2 2" xfId="513"/>
    <cellStyle name="20% - Accent4 3 2 3" xfId="514"/>
    <cellStyle name="20% - Accent4 3 3" xfId="515"/>
    <cellStyle name="20% - Accent4 3 4" xfId="516"/>
    <cellStyle name="20% - Accent4 3 5" xfId="517"/>
    <cellStyle name="20% - Accent4 3 6" xfId="518"/>
    <cellStyle name="20% - Accent4 3 7" xfId="519"/>
    <cellStyle name="20% - Accent4 4" xfId="520"/>
    <cellStyle name="20% - Accent4 4 2" xfId="521"/>
    <cellStyle name="20% - Accent4 4 2 2" xfId="522"/>
    <cellStyle name="20% - Accent4 4 2 2 2" xfId="523"/>
    <cellStyle name="20% - Accent4 4 2 3" xfId="524"/>
    <cellStyle name="20% - Accent4 4 2 4" xfId="525"/>
    <cellStyle name="20% - Accent4 4 3" xfId="526"/>
    <cellStyle name="20% - Accent4 4 3 2" xfId="527"/>
    <cellStyle name="20% - Accent4 4 4" xfId="528"/>
    <cellStyle name="20% - Accent4 4 5" xfId="529"/>
    <cellStyle name="20% - Accent4 4 6" xfId="530"/>
    <cellStyle name="20% - Accent4 5" xfId="531"/>
    <cellStyle name="20% - Accent4 5 2" xfId="532"/>
    <cellStyle name="20% - Accent4 5 2 2" xfId="533"/>
    <cellStyle name="20% - Accent4 5 2 2 2" xfId="534"/>
    <cellStyle name="20% - Accent4 5 2 3" xfId="535"/>
    <cellStyle name="20% - Accent4 5 2 4" xfId="536"/>
    <cellStyle name="20% - Accent4 5 3" xfId="537"/>
    <cellStyle name="20% - Accent4 5 3 2" xfId="538"/>
    <cellStyle name="20% - Accent4 5 4" xfId="539"/>
    <cellStyle name="20% - Accent4 5 5" xfId="540"/>
    <cellStyle name="20% - Accent4 6" xfId="541"/>
    <cellStyle name="20% - Accent4 6 2" xfId="542"/>
    <cellStyle name="20% - Accent4 6 2 2" xfId="543"/>
    <cellStyle name="20% - Accent4 6 2 2 2" xfId="544"/>
    <cellStyle name="20% - Accent4 6 2 3" xfId="545"/>
    <cellStyle name="20% - Accent4 6 3" xfId="546"/>
    <cellStyle name="20% - Accent4 6 3 2" xfId="547"/>
    <cellStyle name="20% - Accent4 6 4" xfId="548"/>
    <cellStyle name="20% - Accent4 7" xfId="549"/>
    <cellStyle name="20% - Accent4 7 2" xfId="550"/>
    <cellStyle name="20% - Accent4 7 3" xfId="551"/>
    <cellStyle name="20% - Accent4 8" xfId="552"/>
    <cellStyle name="20% - Accent4 8 2" xfId="553"/>
    <cellStyle name="20% - Accent4 9" xfId="554"/>
    <cellStyle name="20% - Accent5 2" xfId="555"/>
    <cellStyle name="20% - Accent5 2 2" xfId="556"/>
    <cellStyle name="20% - Accent5 2 2 2" xfId="557"/>
    <cellStyle name="20% - Accent5 2 2 3" xfId="558"/>
    <cellStyle name="20% - Accent5 2 2 4" xfId="559"/>
    <cellStyle name="20% - Accent5 2 2 5" xfId="560"/>
    <cellStyle name="20% - Accent5 2 3" xfId="561"/>
    <cellStyle name="20% - Accent5 2 3 2" xfId="562"/>
    <cellStyle name="20% - Accent5 2 3 3" xfId="563"/>
    <cellStyle name="20% - Accent5 2 3 4" xfId="564"/>
    <cellStyle name="20% - Accent5 2 3 5" xfId="565"/>
    <cellStyle name="20% - Accent5 2 4" xfId="566"/>
    <cellStyle name="20% - Accent5 2 5" xfId="567"/>
    <cellStyle name="20% - Accent5 2 6" xfId="568"/>
    <cellStyle name="20% - Accent5 2 7" xfId="569"/>
    <cellStyle name="20% - Accent5 2 8" xfId="570"/>
    <cellStyle name="20% - Accent5 2 9" xfId="571"/>
    <cellStyle name="20% - Accent5 3" xfId="572"/>
    <cellStyle name="20% - Accent5 3 2" xfId="573"/>
    <cellStyle name="20% - Accent5 3 2 2" xfId="574"/>
    <cellStyle name="20% - Accent5 3 2 3" xfId="575"/>
    <cellStyle name="20% - Accent5 3 3" xfId="576"/>
    <cellStyle name="20% - Accent5 3 4" xfId="577"/>
    <cellStyle name="20% - Accent5 3 5" xfId="578"/>
    <cellStyle name="20% - Accent5 3 6" xfId="579"/>
    <cellStyle name="20% - Accent5 3 7" xfId="580"/>
    <cellStyle name="20% - Accent5 4" xfId="581"/>
    <cellStyle name="20% - Accent5 4 2" xfId="582"/>
    <cellStyle name="20% - Accent5 4 2 2" xfId="583"/>
    <cellStyle name="20% - Accent5 4 2 2 2" xfId="584"/>
    <cellStyle name="20% - Accent5 4 2 3" xfId="585"/>
    <cellStyle name="20% - Accent5 4 2 4" xfId="586"/>
    <cellStyle name="20% - Accent5 4 3" xfId="587"/>
    <cellStyle name="20% - Accent5 4 3 2" xfId="588"/>
    <cellStyle name="20% - Accent5 4 4" xfId="589"/>
    <cellStyle name="20% - Accent5 4 5" xfId="590"/>
    <cellStyle name="20% - Accent5 4 6" xfId="591"/>
    <cellStyle name="20% - Accent5 5" xfId="592"/>
    <cellStyle name="20% - Accent5 5 2" xfId="593"/>
    <cellStyle name="20% - Accent5 5 2 2" xfId="594"/>
    <cellStyle name="20% - Accent5 5 2 2 2" xfId="595"/>
    <cellStyle name="20% - Accent5 5 2 3" xfId="596"/>
    <cellStyle name="20% - Accent5 5 2 4" xfId="597"/>
    <cellStyle name="20% - Accent5 5 3" xfId="598"/>
    <cellStyle name="20% - Accent5 5 3 2" xfId="599"/>
    <cellStyle name="20% - Accent5 5 4" xfId="600"/>
    <cellStyle name="20% - Accent5 5 5" xfId="601"/>
    <cellStyle name="20% - Accent5 6" xfId="602"/>
    <cellStyle name="20% - Accent5 6 2" xfId="603"/>
    <cellStyle name="20% - Accent5 6 2 2" xfId="604"/>
    <cellStyle name="20% - Accent5 6 2 2 2" xfId="605"/>
    <cellStyle name="20% - Accent5 6 2 3" xfId="606"/>
    <cellStyle name="20% - Accent5 6 3" xfId="607"/>
    <cellStyle name="20% - Accent5 6 3 2" xfId="608"/>
    <cellStyle name="20% - Accent5 6 4" xfId="609"/>
    <cellStyle name="20% - Accent5 7" xfId="610"/>
    <cellStyle name="20% - Accent5 7 2" xfId="611"/>
    <cellStyle name="20% - Accent5 7 3" xfId="612"/>
    <cellStyle name="20% - Accent5 8" xfId="613"/>
    <cellStyle name="20% - Accent5 8 2" xfId="614"/>
    <cellStyle name="20% - Accent5 9" xfId="615"/>
    <cellStyle name="20% - Accent6 2" xfId="616"/>
    <cellStyle name="20% - Accent6 2 2" xfId="617"/>
    <cellStyle name="20% - Accent6 2 2 2" xfId="618"/>
    <cellStyle name="20% - Accent6 2 2 3" xfId="619"/>
    <cellStyle name="20% - Accent6 2 2 4" xfId="620"/>
    <cellStyle name="20% - Accent6 2 2 5" xfId="621"/>
    <cellStyle name="20% - Accent6 2 3" xfId="622"/>
    <cellStyle name="20% - Accent6 2 3 2" xfId="623"/>
    <cellStyle name="20% - Accent6 2 3 3" xfId="624"/>
    <cellStyle name="20% - Accent6 2 3 4" xfId="625"/>
    <cellStyle name="20% - Accent6 2 3 5" xfId="626"/>
    <cellStyle name="20% - Accent6 2 4" xfId="627"/>
    <cellStyle name="20% - Accent6 2 5" xfId="628"/>
    <cellStyle name="20% - Accent6 2 6" xfId="629"/>
    <cellStyle name="20% - Accent6 2 7" xfId="630"/>
    <cellStyle name="20% - Accent6 2 8" xfId="631"/>
    <cellStyle name="20% - Accent6 2 9" xfId="632"/>
    <cellStyle name="20% - Accent6 3" xfId="633"/>
    <cellStyle name="20% - Accent6 3 2" xfId="634"/>
    <cellStyle name="20% - Accent6 3 2 2" xfId="635"/>
    <cellStyle name="20% - Accent6 3 2 3" xfId="636"/>
    <cellStyle name="20% - Accent6 3 3" xfId="637"/>
    <cellStyle name="20% - Accent6 3 4" xfId="638"/>
    <cellStyle name="20% - Accent6 3 5" xfId="639"/>
    <cellStyle name="20% - Accent6 3 6" xfId="640"/>
    <cellStyle name="20% - Accent6 3 7" xfId="641"/>
    <cellStyle name="20% - Accent6 4" xfId="642"/>
    <cellStyle name="20% - Accent6 4 2" xfId="643"/>
    <cellStyle name="20% - Accent6 4 2 2" xfId="644"/>
    <cellStyle name="20% - Accent6 4 2 2 2" xfId="645"/>
    <cellStyle name="20% - Accent6 4 2 3" xfId="646"/>
    <cellStyle name="20% - Accent6 4 2 4" xfId="647"/>
    <cellStyle name="20% - Accent6 4 3" xfId="648"/>
    <cellStyle name="20% - Accent6 4 3 2" xfId="649"/>
    <cellStyle name="20% - Accent6 4 4" xfId="650"/>
    <cellStyle name="20% - Accent6 4 5" xfId="651"/>
    <cellStyle name="20% - Accent6 4 6" xfId="652"/>
    <cellStyle name="20% - Accent6 5" xfId="653"/>
    <cellStyle name="20% - Accent6 5 2" xfId="654"/>
    <cellStyle name="20% - Accent6 5 2 2" xfId="655"/>
    <cellStyle name="20% - Accent6 5 2 2 2" xfId="656"/>
    <cellStyle name="20% - Accent6 5 2 3" xfId="657"/>
    <cellStyle name="20% - Accent6 5 2 4" xfId="658"/>
    <cellStyle name="20% - Accent6 5 3" xfId="659"/>
    <cellStyle name="20% - Accent6 5 3 2" xfId="660"/>
    <cellStyle name="20% - Accent6 5 4" xfId="661"/>
    <cellStyle name="20% - Accent6 5 5" xfId="662"/>
    <cellStyle name="20% - Accent6 6" xfId="663"/>
    <cellStyle name="20% - Accent6 6 2" xfId="664"/>
    <cellStyle name="20% - Accent6 6 2 2" xfId="665"/>
    <cellStyle name="20% - Accent6 6 2 2 2" xfId="666"/>
    <cellStyle name="20% - Accent6 6 2 3" xfId="667"/>
    <cellStyle name="20% - Accent6 6 3" xfId="668"/>
    <cellStyle name="20% - Accent6 6 3 2" xfId="669"/>
    <cellStyle name="20% - Accent6 6 4" xfId="670"/>
    <cellStyle name="20% - Accent6 7" xfId="671"/>
    <cellStyle name="20% - Accent6 7 2" xfId="672"/>
    <cellStyle name="20% - Accent6 7 3" xfId="673"/>
    <cellStyle name="20% - Accent6 8" xfId="674"/>
    <cellStyle name="20% - Accent6 8 2" xfId="675"/>
    <cellStyle name="20% - Accent6 9" xfId="676"/>
    <cellStyle name="20% - アクセント 1" xfId="677"/>
    <cellStyle name="20% - アクセント 1 2" xfId="678"/>
    <cellStyle name="20% - アクセント 1 2 2" xfId="679"/>
    <cellStyle name="20% - アクセント 1 3" xfId="680"/>
    <cellStyle name="20% - アクセント 1 4" xfId="681"/>
    <cellStyle name="20% - アクセント 1 5" xfId="682"/>
    <cellStyle name="20% - アクセント 1 6" xfId="683"/>
    <cellStyle name="20% - アクセント 2" xfId="684"/>
    <cellStyle name="20% - アクセント 2 2" xfId="685"/>
    <cellStyle name="20% - アクセント 2 2 2" xfId="686"/>
    <cellStyle name="20% - アクセント 2 3" xfId="687"/>
    <cellStyle name="20% - アクセント 2 4" xfId="688"/>
    <cellStyle name="20% - アクセント 2 5" xfId="689"/>
    <cellStyle name="20% - アクセント 2 6" xfId="690"/>
    <cellStyle name="20% - アクセント 3" xfId="691"/>
    <cellStyle name="20% - アクセント 3 2" xfId="692"/>
    <cellStyle name="20% - アクセント 3 2 2" xfId="693"/>
    <cellStyle name="20% - アクセント 3 3" xfId="694"/>
    <cellStyle name="20% - アクセント 3 4" xfId="695"/>
    <cellStyle name="20% - アクセント 3 5" xfId="696"/>
    <cellStyle name="20% - アクセント 3 6" xfId="697"/>
    <cellStyle name="20% - アクセント 4" xfId="698"/>
    <cellStyle name="20% - アクセント 4 2" xfId="699"/>
    <cellStyle name="20% - アクセント 4 2 2" xfId="700"/>
    <cellStyle name="20% - アクセント 4 3" xfId="701"/>
    <cellStyle name="20% - アクセント 4 4" xfId="702"/>
    <cellStyle name="20% - アクセント 4 5" xfId="703"/>
    <cellStyle name="20% - アクセント 4 6" xfId="704"/>
    <cellStyle name="20% - アクセント 5" xfId="705"/>
    <cellStyle name="20% - アクセント 5 2" xfId="706"/>
    <cellStyle name="20% - アクセント 5 2 2" xfId="707"/>
    <cellStyle name="20% - アクセント 5 3" xfId="708"/>
    <cellStyle name="20% - アクセント 5 4" xfId="709"/>
    <cellStyle name="20% - アクセント 5 5" xfId="710"/>
    <cellStyle name="20% - アクセント 5 6" xfId="711"/>
    <cellStyle name="20% - アクセント 6" xfId="712"/>
    <cellStyle name="20% - アクセント 6 2" xfId="713"/>
    <cellStyle name="20% - アクセント 6 2 2" xfId="714"/>
    <cellStyle name="20% - アクセント 6 3" xfId="715"/>
    <cellStyle name="20% - アクセント 6 4" xfId="716"/>
    <cellStyle name="20% - アクセント 6 5" xfId="717"/>
    <cellStyle name="20% - アクセント 6 6" xfId="718"/>
    <cellStyle name="20% - 강조색1" xfId="719"/>
    <cellStyle name="20% - 강조색1 2" xfId="720"/>
    <cellStyle name="20% - 강조색2" xfId="721"/>
    <cellStyle name="20% - 강조색2 2" xfId="722"/>
    <cellStyle name="20% - 강조색3" xfId="723"/>
    <cellStyle name="20% - 강조색3 2" xfId="724"/>
    <cellStyle name="20% - 강조색4" xfId="725"/>
    <cellStyle name="20% - 강조색4 2" xfId="726"/>
    <cellStyle name="20% - 강조색5" xfId="727"/>
    <cellStyle name="20% - 강조색5 2" xfId="728"/>
    <cellStyle name="20% - 강조색6" xfId="729"/>
    <cellStyle name="20% - 강조색6 2" xfId="730"/>
    <cellStyle name="40% - Accent1 2" xfId="731"/>
    <cellStyle name="40% - Accent1 2 2" xfId="732"/>
    <cellStyle name="40% - Accent1 2 2 2" xfId="733"/>
    <cellStyle name="40% - Accent1 2 2 3" xfId="734"/>
    <cellStyle name="40% - Accent1 2 2 4" xfId="735"/>
    <cellStyle name="40% - Accent1 2 2 5" xfId="736"/>
    <cellStyle name="40% - Accent1 2 3" xfId="737"/>
    <cellStyle name="40% - Accent1 2 3 2" xfId="738"/>
    <cellStyle name="40% - Accent1 2 3 3" xfId="739"/>
    <cellStyle name="40% - Accent1 2 3 4" xfId="740"/>
    <cellStyle name="40% - Accent1 2 3 5" xfId="741"/>
    <cellStyle name="40% - Accent1 2 4" xfId="742"/>
    <cellStyle name="40% - Accent1 2 5" xfId="743"/>
    <cellStyle name="40% - Accent1 2 6" xfId="744"/>
    <cellStyle name="40% - Accent1 2 7" xfId="745"/>
    <cellStyle name="40% - Accent1 2 8" xfId="746"/>
    <cellStyle name="40% - Accent1 2 9" xfId="747"/>
    <cellStyle name="40% - Accent1 3" xfId="748"/>
    <cellStyle name="40% - Accent1 3 2" xfId="749"/>
    <cellStyle name="40% - Accent1 3 2 2" xfId="750"/>
    <cellStyle name="40% - Accent1 3 2 3" xfId="751"/>
    <cellStyle name="40% - Accent1 3 3" xfId="752"/>
    <cellStyle name="40% - Accent1 3 4" xfId="753"/>
    <cellStyle name="40% - Accent1 3 5" xfId="754"/>
    <cellStyle name="40% - Accent1 3 6" xfId="755"/>
    <cellStyle name="40% - Accent1 3 7" xfId="756"/>
    <cellStyle name="40% - Accent1 4" xfId="757"/>
    <cellStyle name="40% - Accent1 4 2" xfId="758"/>
    <cellStyle name="40% - Accent1 4 2 2" xfId="759"/>
    <cellStyle name="40% - Accent1 4 2 2 2" xfId="760"/>
    <cellStyle name="40% - Accent1 4 2 3" xfId="761"/>
    <cellStyle name="40% - Accent1 4 2 4" xfId="762"/>
    <cellStyle name="40% - Accent1 4 3" xfId="763"/>
    <cellStyle name="40% - Accent1 4 3 2" xfId="764"/>
    <cellStyle name="40% - Accent1 4 4" xfId="765"/>
    <cellStyle name="40% - Accent1 4 5" xfId="766"/>
    <cellStyle name="40% - Accent1 4 6" xfId="767"/>
    <cellStyle name="40% - Accent1 5" xfId="768"/>
    <cellStyle name="40% - Accent1 5 2" xfId="769"/>
    <cellStyle name="40% - Accent1 5 2 2" xfId="770"/>
    <cellStyle name="40% - Accent1 5 2 2 2" xfId="771"/>
    <cellStyle name="40% - Accent1 5 2 3" xfId="772"/>
    <cellStyle name="40% - Accent1 5 2 4" xfId="773"/>
    <cellStyle name="40% - Accent1 5 3" xfId="774"/>
    <cellStyle name="40% - Accent1 5 3 2" xfId="775"/>
    <cellStyle name="40% - Accent1 5 4" xfId="776"/>
    <cellStyle name="40% - Accent1 5 5" xfId="777"/>
    <cellStyle name="40% - Accent1 6" xfId="778"/>
    <cellStyle name="40% - Accent1 6 2" xfId="779"/>
    <cellStyle name="40% - Accent1 6 2 2" xfId="780"/>
    <cellStyle name="40% - Accent1 6 2 2 2" xfId="781"/>
    <cellStyle name="40% - Accent1 6 2 3" xfId="782"/>
    <cellStyle name="40% - Accent1 6 3" xfId="783"/>
    <cellStyle name="40% - Accent1 6 3 2" xfId="784"/>
    <cellStyle name="40% - Accent1 6 4" xfId="785"/>
    <cellStyle name="40% - Accent1 7" xfId="786"/>
    <cellStyle name="40% - Accent1 7 2" xfId="787"/>
    <cellStyle name="40% - Accent1 7 3" xfId="788"/>
    <cellStyle name="40% - Accent1 8" xfId="789"/>
    <cellStyle name="40% - Accent1 8 2" xfId="790"/>
    <cellStyle name="40% - Accent1 9" xfId="791"/>
    <cellStyle name="40% - Accent2 2" xfId="792"/>
    <cellStyle name="40% - Accent2 2 2" xfId="793"/>
    <cellStyle name="40% - Accent2 2 2 2" xfId="794"/>
    <cellStyle name="40% - Accent2 2 2 3" xfId="795"/>
    <cellStyle name="40% - Accent2 2 2 4" xfId="796"/>
    <cellStyle name="40% - Accent2 2 2 5" xfId="797"/>
    <cellStyle name="40% - Accent2 2 3" xfId="798"/>
    <cellStyle name="40% - Accent2 2 3 2" xfId="799"/>
    <cellStyle name="40% - Accent2 2 3 3" xfId="800"/>
    <cellStyle name="40% - Accent2 2 3 4" xfId="801"/>
    <cellStyle name="40% - Accent2 2 3 5" xfId="802"/>
    <cellStyle name="40% - Accent2 2 4" xfId="803"/>
    <cellStyle name="40% - Accent2 2 5" xfId="804"/>
    <cellStyle name="40% - Accent2 2 6" xfId="805"/>
    <cellStyle name="40% - Accent2 2 7" xfId="806"/>
    <cellStyle name="40% - Accent2 2 8" xfId="807"/>
    <cellStyle name="40% - Accent2 2 9" xfId="808"/>
    <cellStyle name="40% - Accent2 3" xfId="809"/>
    <cellStyle name="40% - Accent2 3 2" xfId="810"/>
    <cellStyle name="40% - Accent2 3 2 2" xfId="811"/>
    <cellStyle name="40% - Accent2 3 2 3" xfId="812"/>
    <cellStyle name="40% - Accent2 3 3" xfId="813"/>
    <cellStyle name="40% - Accent2 3 4" xfId="814"/>
    <cellStyle name="40% - Accent2 3 5" xfId="815"/>
    <cellStyle name="40% - Accent2 3 6" xfId="816"/>
    <cellStyle name="40% - Accent2 3 7" xfId="817"/>
    <cellStyle name="40% - Accent2 4" xfId="818"/>
    <cellStyle name="40% - Accent2 4 2" xfId="819"/>
    <cellStyle name="40% - Accent2 4 2 2" xfId="820"/>
    <cellStyle name="40% - Accent2 4 2 2 2" xfId="821"/>
    <cellStyle name="40% - Accent2 4 2 3" xfId="822"/>
    <cellStyle name="40% - Accent2 4 2 4" xfId="823"/>
    <cellStyle name="40% - Accent2 4 3" xfId="824"/>
    <cellStyle name="40% - Accent2 4 3 2" xfId="825"/>
    <cellStyle name="40% - Accent2 4 4" xfId="826"/>
    <cellStyle name="40% - Accent2 4 5" xfId="827"/>
    <cellStyle name="40% - Accent2 4 6" xfId="828"/>
    <cellStyle name="40% - Accent2 5" xfId="829"/>
    <cellStyle name="40% - Accent2 5 2" xfId="830"/>
    <cellStyle name="40% - Accent2 5 2 2" xfId="831"/>
    <cellStyle name="40% - Accent2 5 2 2 2" xfId="832"/>
    <cellStyle name="40% - Accent2 5 2 3" xfId="833"/>
    <cellStyle name="40% - Accent2 5 2 4" xfId="834"/>
    <cellStyle name="40% - Accent2 5 3" xfId="835"/>
    <cellStyle name="40% - Accent2 5 3 2" xfId="836"/>
    <cellStyle name="40% - Accent2 5 4" xfId="837"/>
    <cellStyle name="40% - Accent2 5 5" xfId="838"/>
    <cellStyle name="40% - Accent2 6" xfId="839"/>
    <cellStyle name="40% - Accent2 6 2" xfId="840"/>
    <cellStyle name="40% - Accent2 6 2 2" xfId="841"/>
    <cellStyle name="40% - Accent2 6 2 2 2" xfId="842"/>
    <cellStyle name="40% - Accent2 6 2 3" xfId="843"/>
    <cellStyle name="40% - Accent2 6 3" xfId="844"/>
    <cellStyle name="40% - Accent2 6 3 2" xfId="845"/>
    <cellStyle name="40% - Accent2 6 4" xfId="846"/>
    <cellStyle name="40% - Accent2 7" xfId="847"/>
    <cellStyle name="40% - Accent2 7 2" xfId="848"/>
    <cellStyle name="40% - Accent2 7 3" xfId="849"/>
    <cellStyle name="40% - Accent2 8" xfId="850"/>
    <cellStyle name="40% - Accent2 8 2" xfId="851"/>
    <cellStyle name="40% - Accent2 9" xfId="852"/>
    <cellStyle name="40% - Accent3 2" xfId="853"/>
    <cellStyle name="40% - Accent3 2 2" xfId="854"/>
    <cellStyle name="40% - Accent3 2 2 2" xfId="855"/>
    <cellStyle name="40% - Accent3 2 2 3" xfId="856"/>
    <cellStyle name="40% - Accent3 2 2 4" xfId="857"/>
    <cellStyle name="40% - Accent3 2 2 5" xfId="858"/>
    <cellStyle name="40% - Accent3 2 3" xfId="859"/>
    <cellStyle name="40% - Accent3 2 3 2" xfId="860"/>
    <cellStyle name="40% - Accent3 2 3 3" xfId="861"/>
    <cellStyle name="40% - Accent3 2 3 4" xfId="862"/>
    <cellStyle name="40% - Accent3 2 3 5" xfId="863"/>
    <cellStyle name="40% - Accent3 2 4" xfId="864"/>
    <cellStyle name="40% - Accent3 2 5" xfId="865"/>
    <cellStyle name="40% - Accent3 2 6" xfId="866"/>
    <cellStyle name="40% - Accent3 2 7" xfId="867"/>
    <cellStyle name="40% - Accent3 2 8" xfId="868"/>
    <cellStyle name="40% - Accent3 2 9" xfId="869"/>
    <cellStyle name="40% - Accent3 3" xfId="870"/>
    <cellStyle name="40% - Accent3 3 2" xfId="871"/>
    <cellStyle name="40% - Accent3 3 2 2" xfId="872"/>
    <cellStyle name="40% - Accent3 3 2 3" xfId="873"/>
    <cellStyle name="40% - Accent3 3 3" xfId="874"/>
    <cellStyle name="40% - Accent3 3 4" xfId="875"/>
    <cellStyle name="40% - Accent3 3 5" xfId="876"/>
    <cellStyle name="40% - Accent3 3 6" xfId="877"/>
    <cellStyle name="40% - Accent3 3 7" xfId="878"/>
    <cellStyle name="40% - Accent3 4" xfId="879"/>
    <cellStyle name="40% - Accent3 4 2" xfId="880"/>
    <cellStyle name="40% - Accent3 4 2 2" xfId="881"/>
    <cellStyle name="40% - Accent3 4 2 2 2" xfId="882"/>
    <cellStyle name="40% - Accent3 4 2 3" xfId="883"/>
    <cellStyle name="40% - Accent3 4 2 4" xfId="884"/>
    <cellStyle name="40% - Accent3 4 3" xfId="885"/>
    <cellStyle name="40% - Accent3 4 3 2" xfId="886"/>
    <cellStyle name="40% - Accent3 4 4" xfId="887"/>
    <cellStyle name="40% - Accent3 4 5" xfId="888"/>
    <cellStyle name="40% - Accent3 4 6" xfId="889"/>
    <cellStyle name="40% - Accent3 5" xfId="890"/>
    <cellStyle name="40% - Accent3 5 2" xfId="891"/>
    <cellStyle name="40% - Accent3 5 2 2" xfId="892"/>
    <cellStyle name="40% - Accent3 5 2 2 2" xfId="893"/>
    <cellStyle name="40% - Accent3 5 2 3" xfId="894"/>
    <cellStyle name="40% - Accent3 5 2 4" xfId="895"/>
    <cellStyle name="40% - Accent3 5 3" xfId="896"/>
    <cellStyle name="40% - Accent3 5 3 2" xfId="897"/>
    <cellStyle name="40% - Accent3 5 4" xfId="898"/>
    <cellStyle name="40% - Accent3 5 5" xfId="899"/>
    <cellStyle name="40% - Accent3 6" xfId="900"/>
    <cellStyle name="40% - Accent3 6 2" xfId="901"/>
    <cellStyle name="40% - Accent3 6 2 2" xfId="902"/>
    <cellStyle name="40% - Accent3 6 2 2 2" xfId="903"/>
    <cellStyle name="40% - Accent3 6 2 3" xfId="904"/>
    <cellStyle name="40% - Accent3 6 3" xfId="905"/>
    <cellStyle name="40% - Accent3 6 3 2" xfId="906"/>
    <cellStyle name="40% - Accent3 6 4" xfId="907"/>
    <cellStyle name="40% - Accent3 7" xfId="908"/>
    <cellStyle name="40% - Accent3 7 2" xfId="909"/>
    <cellStyle name="40% - Accent3 7 3" xfId="910"/>
    <cellStyle name="40% - Accent3 8" xfId="911"/>
    <cellStyle name="40% - Accent3 8 2" xfId="912"/>
    <cellStyle name="40% - Accent3 9" xfId="913"/>
    <cellStyle name="40% - Accent4 2" xfId="914"/>
    <cellStyle name="40% - Accent4 2 2" xfId="915"/>
    <cellStyle name="40% - Accent4 2 2 2" xfId="916"/>
    <cellStyle name="40% - Accent4 2 2 3" xfId="917"/>
    <cellStyle name="40% - Accent4 2 2 4" xfId="918"/>
    <cellStyle name="40% - Accent4 2 2 5" xfId="919"/>
    <cellStyle name="40% - Accent4 2 3" xfId="920"/>
    <cellStyle name="40% - Accent4 2 3 2" xfId="921"/>
    <cellStyle name="40% - Accent4 2 3 3" xfId="922"/>
    <cellStyle name="40% - Accent4 2 3 4" xfId="923"/>
    <cellStyle name="40% - Accent4 2 3 5" xfId="924"/>
    <cellStyle name="40% - Accent4 2 4" xfId="925"/>
    <cellStyle name="40% - Accent4 2 5" xfId="926"/>
    <cellStyle name="40% - Accent4 2 6" xfId="927"/>
    <cellStyle name="40% - Accent4 2 7" xfId="928"/>
    <cellStyle name="40% - Accent4 2 8" xfId="929"/>
    <cellStyle name="40% - Accent4 2 9" xfId="930"/>
    <cellStyle name="40% - Accent4 3" xfId="931"/>
    <cellStyle name="40% - Accent4 3 2" xfId="932"/>
    <cellStyle name="40% - Accent4 3 2 2" xfId="933"/>
    <cellStyle name="40% - Accent4 3 2 3" xfId="934"/>
    <cellStyle name="40% - Accent4 3 3" xfId="935"/>
    <cellStyle name="40% - Accent4 3 4" xfId="936"/>
    <cellStyle name="40% - Accent4 3 5" xfId="937"/>
    <cellStyle name="40% - Accent4 3 6" xfId="938"/>
    <cellStyle name="40% - Accent4 3 7" xfId="939"/>
    <cellStyle name="40% - Accent4 4" xfId="940"/>
    <cellStyle name="40% - Accent4 4 2" xfId="941"/>
    <cellStyle name="40% - Accent4 4 2 2" xfId="942"/>
    <cellStyle name="40% - Accent4 4 2 2 2" xfId="943"/>
    <cellStyle name="40% - Accent4 4 2 3" xfId="944"/>
    <cellStyle name="40% - Accent4 4 2 4" xfId="945"/>
    <cellStyle name="40% - Accent4 4 3" xfId="946"/>
    <cellStyle name="40% - Accent4 4 3 2" xfId="947"/>
    <cellStyle name="40% - Accent4 4 4" xfId="948"/>
    <cellStyle name="40% - Accent4 4 5" xfId="949"/>
    <cellStyle name="40% - Accent4 4 6" xfId="950"/>
    <cellStyle name="40% - Accent4 5" xfId="951"/>
    <cellStyle name="40% - Accent4 5 2" xfId="952"/>
    <cellStyle name="40% - Accent4 5 2 2" xfId="953"/>
    <cellStyle name="40% - Accent4 5 2 2 2" xfId="954"/>
    <cellStyle name="40% - Accent4 5 2 3" xfId="955"/>
    <cellStyle name="40% - Accent4 5 2 4" xfId="956"/>
    <cellStyle name="40% - Accent4 5 3" xfId="957"/>
    <cellStyle name="40% - Accent4 5 3 2" xfId="958"/>
    <cellStyle name="40% - Accent4 5 4" xfId="959"/>
    <cellStyle name="40% - Accent4 5 5" xfId="960"/>
    <cellStyle name="40% - Accent4 6" xfId="961"/>
    <cellStyle name="40% - Accent4 6 2" xfId="962"/>
    <cellStyle name="40% - Accent4 6 2 2" xfId="963"/>
    <cellStyle name="40% - Accent4 6 2 2 2" xfId="964"/>
    <cellStyle name="40% - Accent4 6 2 3" xfId="965"/>
    <cellStyle name="40% - Accent4 6 3" xfId="966"/>
    <cellStyle name="40% - Accent4 6 3 2" xfId="967"/>
    <cellStyle name="40% - Accent4 6 4" xfId="968"/>
    <cellStyle name="40% - Accent4 7" xfId="969"/>
    <cellStyle name="40% - Accent4 7 2" xfId="970"/>
    <cellStyle name="40% - Accent4 7 3" xfId="971"/>
    <cellStyle name="40% - Accent4 8" xfId="972"/>
    <cellStyle name="40% - Accent4 8 2" xfId="973"/>
    <cellStyle name="40% - Accent4 9" xfId="974"/>
    <cellStyle name="40% - Accent5 2" xfId="975"/>
    <cellStyle name="40% - Accent5 2 2" xfId="976"/>
    <cellStyle name="40% - Accent5 2 2 2" xfId="977"/>
    <cellStyle name="40% - Accent5 2 2 3" xfId="978"/>
    <cellStyle name="40% - Accent5 2 2 4" xfId="979"/>
    <cellStyle name="40% - Accent5 2 2 5" xfId="980"/>
    <cellStyle name="40% - Accent5 2 3" xfId="981"/>
    <cellStyle name="40% - Accent5 2 3 2" xfId="982"/>
    <cellStyle name="40% - Accent5 2 3 3" xfId="983"/>
    <cellStyle name="40% - Accent5 2 3 4" xfId="984"/>
    <cellStyle name="40% - Accent5 2 3 5" xfId="985"/>
    <cellStyle name="40% - Accent5 2 4" xfId="986"/>
    <cellStyle name="40% - Accent5 2 5" xfId="987"/>
    <cellStyle name="40% - Accent5 2 6" xfId="988"/>
    <cellStyle name="40% - Accent5 2 7" xfId="989"/>
    <cellStyle name="40% - Accent5 2 8" xfId="990"/>
    <cellStyle name="40% - Accent5 2 9" xfId="991"/>
    <cellStyle name="40% - Accent5 3" xfId="992"/>
    <cellStyle name="40% - Accent5 3 2" xfId="993"/>
    <cellStyle name="40% - Accent5 3 2 2" xfId="994"/>
    <cellStyle name="40% - Accent5 3 2 3" xfId="995"/>
    <cellStyle name="40% - Accent5 3 3" xfId="996"/>
    <cellStyle name="40% - Accent5 3 4" xfId="997"/>
    <cellStyle name="40% - Accent5 3 5" xfId="998"/>
    <cellStyle name="40% - Accent5 3 6" xfId="999"/>
    <cellStyle name="40% - Accent5 3 7" xfId="1000"/>
    <cellStyle name="40% - Accent5 4" xfId="1001"/>
    <cellStyle name="40% - Accent5 4 2" xfId="1002"/>
    <cellStyle name="40% - Accent5 4 2 2" xfId="1003"/>
    <cellStyle name="40% - Accent5 4 2 2 2" xfId="1004"/>
    <cellStyle name="40% - Accent5 4 2 3" xfId="1005"/>
    <cellStyle name="40% - Accent5 4 2 4" xfId="1006"/>
    <cellStyle name="40% - Accent5 4 3" xfId="1007"/>
    <cellStyle name="40% - Accent5 4 3 2" xfId="1008"/>
    <cellStyle name="40% - Accent5 4 4" xfId="1009"/>
    <cellStyle name="40% - Accent5 4 5" xfId="1010"/>
    <cellStyle name="40% - Accent5 4 6" xfId="1011"/>
    <cellStyle name="40% - Accent5 5" xfId="1012"/>
    <cellStyle name="40% - Accent5 5 2" xfId="1013"/>
    <cellStyle name="40% - Accent5 5 2 2" xfId="1014"/>
    <cellStyle name="40% - Accent5 5 2 2 2" xfId="1015"/>
    <cellStyle name="40% - Accent5 5 2 3" xfId="1016"/>
    <cellStyle name="40% - Accent5 5 2 4" xfId="1017"/>
    <cellStyle name="40% - Accent5 5 3" xfId="1018"/>
    <cellStyle name="40% - Accent5 5 3 2" xfId="1019"/>
    <cellStyle name="40% - Accent5 5 4" xfId="1020"/>
    <cellStyle name="40% - Accent5 5 5" xfId="1021"/>
    <cellStyle name="40% - Accent5 6" xfId="1022"/>
    <cellStyle name="40% - Accent5 6 2" xfId="1023"/>
    <cellStyle name="40% - Accent5 6 2 2" xfId="1024"/>
    <cellStyle name="40% - Accent5 6 2 2 2" xfId="1025"/>
    <cellStyle name="40% - Accent5 6 2 3" xfId="1026"/>
    <cellStyle name="40% - Accent5 6 3" xfId="1027"/>
    <cellStyle name="40% - Accent5 6 3 2" xfId="1028"/>
    <cellStyle name="40% - Accent5 6 4" xfId="1029"/>
    <cellStyle name="40% - Accent5 7" xfId="1030"/>
    <cellStyle name="40% - Accent5 7 2" xfId="1031"/>
    <cellStyle name="40% - Accent5 7 3" xfId="1032"/>
    <cellStyle name="40% - Accent5 8" xfId="1033"/>
    <cellStyle name="40% - Accent5 8 2" xfId="1034"/>
    <cellStyle name="40% - Accent5 9" xfId="1035"/>
    <cellStyle name="40% - Accent6 2" xfId="1036"/>
    <cellStyle name="40% - Accent6 2 2" xfId="1037"/>
    <cellStyle name="40% - Accent6 2 2 2" xfId="1038"/>
    <cellStyle name="40% - Accent6 2 2 3" xfId="1039"/>
    <cellStyle name="40% - Accent6 2 2 4" xfId="1040"/>
    <cellStyle name="40% - Accent6 2 2 5" xfId="1041"/>
    <cellStyle name="40% - Accent6 2 3" xfId="1042"/>
    <cellStyle name="40% - Accent6 2 3 2" xfId="1043"/>
    <cellStyle name="40% - Accent6 2 3 3" xfId="1044"/>
    <cellStyle name="40% - Accent6 2 3 4" xfId="1045"/>
    <cellStyle name="40% - Accent6 2 3 5" xfId="1046"/>
    <cellStyle name="40% - Accent6 2 4" xfId="1047"/>
    <cellStyle name="40% - Accent6 2 5" xfId="1048"/>
    <cellStyle name="40% - Accent6 2 6" xfId="1049"/>
    <cellStyle name="40% - Accent6 2 7" xfId="1050"/>
    <cellStyle name="40% - Accent6 2 8" xfId="1051"/>
    <cellStyle name="40% - Accent6 2 9" xfId="1052"/>
    <cellStyle name="40% - Accent6 3" xfId="1053"/>
    <cellStyle name="40% - Accent6 3 2" xfId="1054"/>
    <cellStyle name="40% - Accent6 3 2 2" xfId="1055"/>
    <cellStyle name="40% - Accent6 3 2 3" xfId="1056"/>
    <cellStyle name="40% - Accent6 3 3" xfId="1057"/>
    <cellStyle name="40% - Accent6 3 4" xfId="1058"/>
    <cellStyle name="40% - Accent6 3 5" xfId="1059"/>
    <cellStyle name="40% - Accent6 3 6" xfId="1060"/>
    <cellStyle name="40% - Accent6 3 7" xfId="1061"/>
    <cellStyle name="40% - Accent6 4" xfId="1062"/>
    <cellStyle name="40% - Accent6 4 2" xfId="1063"/>
    <cellStyle name="40% - Accent6 4 2 2" xfId="1064"/>
    <cellStyle name="40% - Accent6 4 2 2 2" xfId="1065"/>
    <cellStyle name="40% - Accent6 4 2 3" xfId="1066"/>
    <cellStyle name="40% - Accent6 4 2 4" xfId="1067"/>
    <cellStyle name="40% - Accent6 4 3" xfId="1068"/>
    <cellStyle name="40% - Accent6 4 3 2" xfId="1069"/>
    <cellStyle name="40% - Accent6 4 4" xfId="1070"/>
    <cellStyle name="40% - Accent6 4 5" xfId="1071"/>
    <cellStyle name="40% - Accent6 4 6" xfId="1072"/>
    <cellStyle name="40% - Accent6 5" xfId="1073"/>
    <cellStyle name="40% - Accent6 5 2" xfId="1074"/>
    <cellStyle name="40% - Accent6 5 2 2" xfId="1075"/>
    <cellStyle name="40% - Accent6 5 2 2 2" xfId="1076"/>
    <cellStyle name="40% - Accent6 5 2 3" xfId="1077"/>
    <cellStyle name="40% - Accent6 5 2 4" xfId="1078"/>
    <cellStyle name="40% - Accent6 5 3" xfId="1079"/>
    <cellStyle name="40% - Accent6 5 3 2" xfId="1080"/>
    <cellStyle name="40% - Accent6 5 4" xfId="1081"/>
    <cellStyle name="40% - Accent6 5 5" xfId="1082"/>
    <cellStyle name="40% - Accent6 6" xfId="1083"/>
    <cellStyle name="40% - Accent6 6 2" xfId="1084"/>
    <cellStyle name="40% - Accent6 6 2 2" xfId="1085"/>
    <cellStyle name="40% - Accent6 6 2 2 2" xfId="1086"/>
    <cellStyle name="40% - Accent6 6 2 3" xfId="1087"/>
    <cellStyle name="40% - Accent6 6 3" xfId="1088"/>
    <cellStyle name="40% - Accent6 6 3 2" xfId="1089"/>
    <cellStyle name="40% - Accent6 6 4" xfId="1090"/>
    <cellStyle name="40% - Accent6 7" xfId="1091"/>
    <cellStyle name="40% - Accent6 7 2" xfId="1092"/>
    <cellStyle name="40% - Accent6 7 3" xfId="1093"/>
    <cellStyle name="40% - Accent6 8" xfId="1094"/>
    <cellStyle name="40% - Accent6 8 2" xfId="1095"/>
    <cellStyle name="40% - Accent6 9" xfId="1096"/>
    <cellStyle name="40% - アクセント 1" xfId="1097"/>
    <cellStyle name="40% - アクセント 1 2" xfId="1098"/>
    <cellStyle name="40% - アクセント 1 2 2" xfId="1099"/>
    <cellStyle name="40% - アクセント 1 3" xfId="1100"/>
    <cellStyle name="40% - アクセント 1 4" xfId="1101"/>
    <cellStyle name="40% - アクセント 1 5" xfId="1102"/>
    <cellStyle name="40% - アクセント 1 6" xfId="1103"/>
    <cellStyle name="40% - アクセント 2" xfId="1104"/>
    <cellStyle name="40% - アクセント 2 2" xfId="1105"/>
    <cellStyle name="40% - アクセント 2 2 2" xfId="1106"/>
    <cellStyle name="40% - アクセント 2 3" xfId="1107"/>
    <cellStyle name="40% - アクセント 2 4" xfId="1108"/>
    <cellStyle name="40% - アクセント 2 5" xfId="1109"/>
    <cellStyle name="40% - アクセント 2 6" xfId="1110"/>
    <cellStyle name="40% - アクセント 3" xfId="1111"/>
    <cellStyle name="40% - アクセント 3 2" xfId="1112"/>
    <cellStyle name="40% - アクセント 3 2 2" xfId="1113"/>
    <cellStyle name="40% - アクセント 3 3" xfId="1114"/>
    <cellStyle name="40% - アクセント 3 4" xfId="1115"/>
    <cellStyle name="40% - アクセント 3 5" xfId="1116"/>
    <cellStyle name="40% - アクセント 3 6" xfId="1117"/>
    <cellStyle name="40% - アクセント 4" xfId="1118"/>
    <cellStyle name="40% - アクセント 4 2" xfId="1119"/>
    <cellStyle name="40% - アクセント 4 2 2" xfId="1120"/>
    <cellStyle name="40% - アクセント 4 3" xfId="1121"/>
    <cellStyle name="40% - アクセント 4 4" xfId="1122"/>
    <cellStyle name="40% - アクセント 4 5" xfId="1123"/>
    <cellStyle name="40% - アクセント 4 6" xfId="1124"/>
    <cellStyle name="40% - アクセント 5" xfId="1125"/>
    <cellStyle name="40% - アクセント 5 2" xfId="1126"/>
    <cellStyle name="40% - アクセント 5 2 2" xfId="1127"/>
    <cellStyle name="40% - アクセント 5 3" xfId="1128"/>
    <cellStyle name="40% - アクセント 5 4" xfId="1129"/>
    <cellStyle name="40% - アクセント 5 5" xfId="1130"/>
    <cellStyle name="40% - アクセント 5 6" xfId="1131"/>
    <cellStyle name="40% - アクセント 6" xfId="1132"/>
    <cellStyle name="40% - アクセント 6 2" xfId="1133"/>
    <cellStyle name="40% - アクセント 6 2 2" xfId="1134"/>
    <cellStyle name="40% - アクセント 6 3" xfId="1135"/>
    <cellStyle name="40% - アクセント 6 4" xfId="1136"/>
    <cellStyle name="40% - アクセント 6 5" xfId="1137"/>
    <cellStyle name="40% - アクセント 6 6" xfId="1138"/>
    <cellStyle name="40% - 강조색1" xfId="1139"/>
    <cellStyle name="40% - 강조색1 2" xfId="1140"/>
    <cellStyle name="40% - 강조색2" xfId="1141"/>
    <cellStyle name="40% - 강조색2 2" xfId="1142"/>
    <cellStyle name="40% - 강조색3" xfId="1143"/>
    <cellStyle name="40% - 강조색3 2" xfId="1144"/>
    <cellStyle name="40% - 강조색4" xfId="1145"/>
    <cellStyle name="40% - 강조색4 2" xfId="1146"/>
    <cellStyle name="40% - 강조색5" xfId="1147"/>
    <cellStyle name="40% - 강조색5 2" xfId="1148"/>
    <cellStyle name="40% - 강조색6" xfId="1149"/>
    <cellStyle name="40% - 강조색6 2" xfId="1150"/>
    <cellStyle name="60% - Accent1 2" xfId="1151"/>
    <cellStyle name="60% - Accent1 2 2" xfId="1152"/>
    <cellStyle name="60% - Accent1 2 2 2" xfId="1153"/>
    <cellStyle name="60% - Accent1 2 2 3" xfId="1154"/>
    <cellStyle name="60% - Accent1 2 2 4" xfId="1155"/>
    <cellStyle name="60% - Accent1 2 2 5" xfId="1156"/>
    <cellStyle name="60% - Accent1 2 3" xfId="1157"/>
    <cellStyle name="60% - Accent1 2 3 2" xfId="1158"/>
    <cellStyle name="60% - Accent1 2 4" xfId="1159"/>
    <cellStyle name="60% - Accent1 2 5" xfId="1160"/>
    <cellStyle name="60% - Accent1 2 6" xfId="1161"/>
    <cellStyle name="60% - Accent1 2 7" xfId="1162"/>
    <cellStyle name="60% - Accent1 2 8" xfId="1163"/>
    <cellStyle name="60% - Accent1 3" xfId="1164"/>
    <cellStyle name="60% - Accent1 3 2" xfId="1165"/>
    <cellStyle name="60% - Accent1 3 3" xfId="1166"/>
    <cellStyle name="60% - Accent1 3 4" xfId="1167"/>
    <cellStyle name="60% - Accent1 3 5" xfId="1168"/>
    <cellStyle name="60% - Accent1 4" xfId="1169"/>
    <cellStyle name="60% - Accent1 4 2" xfId="1170"/>
    <cellStyle name="60% - Accent1 5" xfId="1171"/>
    <cellStyle name="60% - Accent1 6" xfId="1172"/>
    <cellStyle name="60% - Accent1 7" xfId="1173"/>
    <cellStyle name="60% - Accent2 2" xfId="1174"/>
    <cellStyle name="60% - Accent2 2 2" xfId="1175"/>
    <cellStyle name="60% - Accent2 2 2 2" xfId="1176"/>
    <cellStyle name="60% - Accent2 2 2 3" xfId="1177"/>
    <cellStyle name="60% - Accent2 2 2 4" xfId="1178"/>
    <cellStyle name="60% - Accent2 2 2 5" xfId="1179"/>
    <cellStyle name="60% - Accent2 2 3" xfId="1180"/>
    <cellStyle name="60% - Accent2 2 3 2" xfId="1181"/>
    <cellStyle name="60% - Accent2 2 4" xfId="1182"/>
    <cellStyle name="60% - Accent2 2 5" xfId="1183"/>
    <cellStyle name="60% - Accent2 2 6" xfId="1184"/>
    <cellStyle name="60% - Accent2 2 7" xfId="1185"/>
    <cellStyle name="60% - Accent2 2 8" xfId="1186"/>
    <cellStyle name="60% - Accent2 3" xfId="1187"/>
    <cellStyle name="60% - Accent2 3 2" xfId="1188"/>
    <cellStyle name="60% - Accent2 3 3" xfId="1189"/>
    <cellStyle name="60% - Accent2 3 4" xfId="1190"/>
    <cellStyle name="60% - Accent2 3 5" xfId="1191"/>
    <cellStyle name="60% - Accent2 4" xfId="1192"/>
    <cellStyle name="60% - Accent2 4 2" xfId="1193"/>
    <cellStyle name="60% - Accent2 5" xfId="1194"/>
    <cellStyle name="60% - Accent2 6" xfId="1195"/>
    <cellStyle name="60% - Accent2 7" xfId="1196"/>
    <cellStyle name="60% - Accent3 2" xfId="1197"/>
    <cellStyle name="60% - Accent3 2 2" xfId="1198"/>
    <cellStyle name="60% - Accent3 2 2 2" xfId="1199"/>
    <cellStyle name="60% - Accent3 2 2 3" xfId="1200"/>
    <cellStyle name="60% - Accent3 2 2 4" xfId="1201"/>
    <cellStyle name="60% - Accent3 2 2 5" xfId="1202"/>
    <cellStyle name="60% - Accent3 2 3" xfId="1203"/>
    <cellStyle name="60% - Accent3 2 3 2" xfId="1204"/>
    <cellStyle name="60% - Accent3 2 4" xfId="1205"/>
    <cellStyle name="60% - Accent3 2 5" xfId="1206"/>
    <cellStyle name="60% - Accent3 2 6" xfId="1207"/>
    <cellStyle name="60% - Accent3 2 7" xfId="1208"/>
    <cellStyle name="60% - Accent3 2 8" xfId="1209"/>
    <cellStyle name="60% - Accent3 3" xfId="1210"/>
    <cellStyle name="60% - Accent3 3 2" xfId="1211"/>
    <cellStyle name="60% - Accent3 3 3" xfId="1212"/>
    <cellStyle name="60% - Accent3 3 4" xfId="1213"/>
    <cellStyle name="60% - Accent3 3 5" xfId="1214"/>
    <cellStyle name="60% - Accent3 4" xfId="1215"/>
    <cellStyle name="60% - Accent3 4 2" xfId="1216"/>
    <cellStyle name="60% - Accent3 5" xfId="1217"/>
    <cellStyle name="60% - Accent3 6" xfId="1218"/>
    <cellStyle name="60% - Accent3 7" xfId="1219"/>
    <cellStyle name="60% - Accent4 2" xfId="1220"/>
    <cellStyle name="60% - Accent4 2 2" xfId="1221"/>
    <cellStyle name="60% - Accent4 2 2 2" xfId="1222"/>
    <cellStyle name="60% - Accent4 2 2 3" xfId="1223"/>
    <cellStyle name="60% - Accent4 2 2 4" xfId="1224"/>
    <cellStyle name="60% - Accent4 2 2 5" xfId="1225"/>
    <cellStyle name="60% - Accent4 2 3" xfId="1226"/>
    <cellStyle name="60% - Accent4 2 3 2" xfId="1227"/>
    <cellStyle name="60% - Accent4 2 4" xfId="1228"/>
    <cellStyle name="60% - Accent4 2 5" xfId="1229"/>
    <cellStyle name="60% - Accent4 2 6" xfId="1230"/>
    <cellStyle name="60% - Accent4 2 7" xfId="1231"/>
    <cellStyle name="60% - Accent4 2 8" xfId="1232"/>
    <cellStyle name="60% - Accent4 3" xfId="1233"/>
    <cellStyle name="60% - Accent4 3 2" xfId="1234"/>
    <cellStyle name="60% - Accent4 3 3" xfId="1235"/>
    <cellStyle name="60% - Accent4 3 4" xfId="1236"/>
    <cellStyle name="60% - Accent4 3 5" xfId="1237"/>
    <cellStyle name="60% - Accent4 4" xfId="1238"/>
    <cellStyle name="60% - Accent4 4 2" xfId="1239"/>
    <cellStyle name="60% - Accent4 5" xfId="1240"/>
    <cellStyle name="60% - Accent4 6" xfId="1241"/>
    <cellStyle name="60% - Accent4 7" xfId="1242"/>
    <cellStyle name="60% - Accent5 2" xfId="1243"/>
    <cellStyle name="60% - Accent5 2 2" xfId="1244"/>
    <cellStyle name="60% - Accent5 2 2 2" xfId="1245"/>
    <cellStyle name="60% - Accent5 2 2 3" xfId="1246"/>
    <cellStyle name="60% - Accent5 2 2 4" xfId="1247"/>
    <cellStyle name="60% - Accent5 2 2 5" xfId="1248"/>
    <cellStyle name="60% - Accent5 2 3" xfId="1249"/>
    <cellStyle name="60% - Accent5 2 3 2" xfId="1250"/>
    <cellStyle name="60% - Accent5 2 4" xfId="1251"/>
    <cellStyle name="60% - Accent5 2 5" xfId="1252"/>
    <cellStyle name="60% - Accent5 2 6" xfId="1253"/>
    <cellStyle name="60% - Accent5 2 7" xfId="1254"/>
    <cellStyle name="60% - Accent5 2 8" xfId="1255"/>
    <cellStyle name="60% - Accent5 3" xfId="1256"/>
    <cellStyle name="60% - Accent5 3 2" xfId="1257"/>
    <cellStyle name="60% - Accent5 3 3" xfId="1258"/>
    <cellStyle name="60% - Accent5 3 4" xfId="1259"/>
    <cellStyle name="60% - Accent5 3 5" xfId="1260"/>
    <cellStyle name="60% - Accent5 4" xfId="1261"/>
    <cellStyle name="60% - Accent5 4 2" xfId="1262"/>
    <cellStyle name="60% - Accent5 5" xfId="1263"/>
    <cellStyle name="60% - Accent5 6" xfId="1264"/>
    <cellStyle name="60% - Accent5 7" xfId="1265"/>
    <cellStyle name="60% - Accent6 2" xfId="1266"/>
    <cellStyle name="60% - Accent6 2 2" xfId="1267"/>
    <cellStyle name="60% - Accent6 2 2 2" xfId="1268"/>
    <cellStyle name="60% - Accent6 2 2 3" xfId="1269"/>
    <cellStyle name="60% - Accent6 2 2 4" xfId="1270"/>
    <cellStyle name="60% - Accent6 2 2 5" xfId="1271"/>
    <cellStyle name="60% - Accent6 2 3" xfId="1272"/>
    <cellStyle name="60% - Accent6 2 3 2" xfId="1273"/>
    <cellStyle name="60% - Accent6 2 4" xfId="1274"/>
    <cellStyle name="60% - Accent6 2 5" xfId="1275"/>
    <cellStyle name="60% - Accent6 2 6" xfId="1276"/>
    <cellStyle name="60% - Accent6 2 7" xfId="1277"/>
    <cellStyle name="60% - Accent6 2 8" xfId="1278"/>
    <cellStyle name="60% - Accent6 3" xfId="1279"/>
    <cellStyle name="60% - Accent6 3 2" xfId="1280"/>
    <cellStyle name="60% - Accent6 3 3" xfId="1281"/>
    <cellStyle name="60% - Accent6 3 4" xfId="1282"/>
    <cellStyle name="60% - Accent6 3 5" xfId="1283"/>
    <cellStyle name="60% - Accent6 4" xfId="1284"/>
    <cellStyle name="60% - Accent6 4 2" xfId="1285"/>
    <cellStyle name="60% - Accent6 5" xfId="1286"/>
    <cellStyle name="60% - Accent6 6" xfId="1287"/>
    <cellStyle name="60% - Accent6 7" xfId="1288"/>
    <cellStyle name="60% - アクセント 1" xfId="1289"/>
    <cellStyle name="60% - アクセント 1 2" xfId="1290"/>
    <cellStyle name="60% - アクセント 1 2 2" xfId="1291"/>
    <cellStyle name="60% - アクセント 1 3" xfId="1292"/>
    <cellStyle name="60% - アクセント 1 4" xfId="1293"/>
    <cellStyle name="60% - アクセント 1 5" xfId="1294"/>
    <cellStyle name="60% - アクセント 1 6" xfId="1295"/>
    <cellStyle name="60% - アクセント 2" xfId="1296"/>
    <cellStyle name="60% - アクセント 2 2" xfId="1297"/>
    <cellStyle name="60% - アクセント 2 2 2" xfId="1298"/>
    <cellStyle name="60% - アクセント 2 3" xfId="1299"/>
    <cellStyle name="60% - アクセント 2 4" xfId="1300"/>
    <cellStyle name="60% - アクセント 2 5" xfId="1301"/>
    <cellStyle name="60% - アクセント 2 6" xfId="1302"/>
    <cellStyle name="60% - アクセント 3" xfId="1303"/>
    <cellStyle name="60% - アクセント 3 2" xfId="1304"/>
    <cellStyle name="60% - アクセント 3 2 2" xfId="1305"/>
    <cellStyle name="60% - アクセント 3 3" xfId="1306"/>
    <cellStyle name="60% - アクセント 3 4" xfId="1307"/>
    <cellStyle name="60% - アクセント 3 5" xfId="1308"/>
    <cellStyle name="60% - アクセント 3 6" xfId="1309"/>
    <cellStyle name="60% - アクセント 4" xfId="1310"/>
    <cellStyle name="60% - アクセント 4 2" xfId="1311"/>
    <cellStyle name="60% - アクセント 4 2 2" xfId="1312"/>
    <cellStyle name="60% - アクセント 4 3" xfId="1313"/>
    <cellStyle name="60% - アクセント 4 4" xfId="1314"/>
    <cellStyle name="60% - アクセント 4 5" xfId="1315"/>
    <cellStyle name="60% - アクセント 4 6" xfId="1316"/>
    <cellStyle name="60% - アクセント 5" xfId="1317"/>
    <cellStyle name="60% - アクセント 5 2" xfId="1318"/>
    <cellStyle name="60% - アクセント 5 2 2" xfId="1319"/>
    <cellStyle name="60% - アクセント 5 3" xfId="1320"/>
    <cellStyle name="60% - アクセント 5 4" xfId="1321"/>
    <cellStyle name="60% - アクセント 5 5" xfId="1322"/>
    <cellStyle name="60% - アクセント 5 6" xfId="1323"/>
    <cellStyle name="60% - アクセント 6" xfId="1324"/>
    <cellStyle name="60% - アクセント 6 2" xfId="1325"/>
    <cellStyle name="60% - アクセント 6 2 2" xfId="1326"/>
    <cellStyle name="60% - アクセント 6 3" xfId="1327"/>
    <cellStyle name="60% - アクセント 6 4" xfId="1328"/>
    <cellStyle name="60% - アクセント 6 5" xfId="1329"/>
    <cellStyle name="60% - アクセント 6 6" xfId="1330"/>
    <cellStyle name="60% - 강조색1" xfId="1331"/>
    <cellStyle name="60% - 강조색1 2" xfId="1332"/>
    <cellStyle name="60% - 강조색2" xfId="1333"/>
    <cellStyle name="60% - 강조색2 2" xfId="1334"/>
    <cellStyle name="60% - 강조색3" xfId="1335"/>
    <cellStyle name="60% - 강조색3 2" xfId="1336"/>
    <cellStyle name="60% - 강조색4" xfId="1337"/>
    <cellStyle name="60% - 강조색4 2" xfId="1338"/>
    <cellStyle name="60% - 강조색5" xfId="1339"/>
    <cellStyle name="60% - 강조색5 2" xfId="1340"/>
    <cellStyle name="60% - 강조색6" xfId="1341"/>
    <cellStyle name="60% - 강조색6 2" xfId="1342"/>
    <cellStyle name="Accent1 - 20%" xfId="1343"/>
    <cellStyle name="Accent1 - 40%" xfId="1344"/>
    <cellStyle name="Accent1 - 60%" xfId="1345"/>
    <cellStyle name="Accent1 2" xfId="1346"/>
    <cellStyle name="Accent1 2 2" xfId="1347"/>
    <cellStyle name="Accent1 2 2 2" xfId="1348"/>
    <cellStyle name="Accent1 2 2 3" xfId="1349"/>
    <cellStyle name="Accent1 2 2 4" xfId="1350"/>
    <cellStyle name="Accent1 2 2 5" xfId="1351"/>
    <cellStyle name="Accent1 2 3" xfId="1352"/>
    <cellStyle name="Accent1 2 3 2" xfId="1353"/>
    <cellStyle name="Accent1 2 4" xfId="1354"/>
    <cellStyle name="Accent1 2 5" xfId="1355"/>
    <cellStyle name="Accent1 2 6" xfId="1356"/>
    <cellStyle name="Accent1 2 7" xfId="1357"/>
    <cellStyle name="Accent1 2 8" xfId="1358"/>
    <cellStyle name="Accent1 3" xfId="1359"/>
    <cellStyle name="Accent1 3 2" xfId="1360"/>
    <cellStyle name="Accent1 3 3" xfId="1361"/>
    <cellStyle name="Accent1 3 4" xfId="1362"/>
    <cellStyle name="Accent1 3 5" xfId="1363"/>
    <cellStyle name="Accent1 3 6" xfId="1364"/>
    <cellStyle name="Accent1 4" xfId="1365"/>
    <cellStyle name="Accent1 4 2" xfId="1366"/>
    <cellStyle name="Accent1 4 3" xfId="1367"/>
    <cellStyle name="Accent1 5" xfId="1368"/>
    <cellStyle name="Accent1 6" xfId="1369"/>
    <cellStyle name="Accent1 7" xfId="1370"/>
    <cellStyle name="Accent1 8" xfId="1371"/>
    <cellStyle name="Accent2 - 20%" xfId="1372"/>
    <cellStyle name="Accent2 - 40%" xfId="1373"/>
    <cellStyle name="Accent2 - 60%" xfId="1374"/>
    <cellStyle name="Accent2 2" xfId="1375"/>
    <cellStyle name="Accent2 2 2" xfId="1376"/>
    <cellStyle name="Accent2 2 2 2" xfId="1377"/>
    <cellStyle name="Accent2 2 2 3" xfId="1378"/>
    <cellStyle name="Accent2 2 2 4" xfId="1379"/>
    <cellStyle name="Accent2 2 2 5" xfId="1380"/>
    <cellStyle name="Accent2 2 3" xfId="1381"/>
    <cellStyle name="Accent2 2 3 2" xfId="1382"/>
    <cellStyle name="Accent2 2 4" xfId="1383"/>
    <cellStyle name="Accent2 2 5" xfId="1384"/>
    <cellStyle name="Accent2 2 6" xfId="1385"/>
    <cellStyle name="Accent2 2 7" xfId="1386"/>
    <cellStyle name="Accent2 2 8" xfId="1387"/>
    <cellStyle name="Accent2 3" xfId="1388"/>
    <cellStyle name="Accent2 3 2" xfId="1389"/>
    <cellStyle name="Accent2 3 3" xfId="1390"/>
    <cellStyle name="Accent2 3 4" xfId="1391"/>
    <cellStyle name="Accent2 3 5" xfId="1392"/>
    <cellStyle name="Accent2 3 6" xfId="1393"/>
    <cellStyle name="Accent2 4" xfId="1394"/>
    <cellStyle name="Accent2 4 2" xfId="1395"/>
    <cellStyle name="Accent2 4 3" xfId="1396"/>
    <cellStyle name="Accent2 5" xfId="1397"/>
    <cellStyle name="Accent2 6" xfId="1398"/>
    <cellStyle name="Accent2 7" xfId="1399"/>
    <cellStyle name="Accent2 8" xfId="1400"/>
    <cellStyle name="Accent3 - 20%" xfId="1401"/>
    <cellStyle name="Accent3 - 40%" xfId="1402"/>
    <cellStyle name="Accent3 - 60%" xfId="1403"/>
    <cellStyle name="Accent3 2" xfId="1404"/>
    <cellStyle name="Accent3 2 2" xfId="1405"/>
    <cellStyle name="Accent3 2 2 2" xfId="1406"/>
    <cellStyle name="Accent3 2 2 3" xfId="1407"/>
    <cellStyle name="Accent3 2 2 4" xfId="1408"/>
    <cellStyle name="Accent3 2 2 5" xfId="1409"/>
    <cellStyle name="Accent3 2 3" xfId="1410"/>
    <cellStyle name="Accent3 2 3 2" xfId="1411"/>
    <cellStyle name="Accent3 2 4" xfId="1412"/>
    <cellStyle name="Accent3 2 5" xfId="1413"/>
    <cellStyle name="Accent3 2 6" xfId="1414"/>
    <cellStyle name="Accent3 2 7" xfId="1415"/>
    <cellStyle name="Accent3 2 8" xfId="1416"/>
    <cellStyle name="Accent3 3" xfId="1417"/>
    <cellStyle name="Accent3 3 2" xfId="1418"/>
    <cellStyle name="Accent3 3 3" xfId="1419"/>
    <cellStyle name="Accent3 3 4" xfId="1420"/>
    <cellStyle name="Accent3 3 5" xfId="1421"/>
    <cellStyle name="Accent3 3 6" xfId="1422"/>
    <cellStyle name="Accent3 4" xfId="1423"/>
    <cellStyle name="Accent3 4 2" xfId="1424"/>
    <cellStyle name="Accent3 4 3" xfId="1425"/>
    <cellStyle name="Accent3 5" xfId="1426"/>
    <cellStyle name="Accent3 6" xfId="1427"/>
    <cellStyle name="Accent3 7" xfId="1428"/>
    <cellStyle name="Accent3 8" xfId="1429"/>
    <cellStyle name="Accent4 - 20%" xfId="1430"/>
    <cellStyle name="Accent4 - 40%" xfId="1431"/>
    <cellStyle name="Accent4 - 60%" xfId="1432"/>
    <cellStyle name="Accent4 2" xfId="1433"/>
    <cellStyle name="Accent4 2 2" xfId="1434"/>
    <cellStyle name="Accent4 2 2 2" xfId="1435"/>
    <cellStyle name="Accent4 2 2 3" xfId="1436"/>
    <cellStyle name="Accent4 2 2 4" xfId="1437"/>
    <cellStyle name="Accent4 2 2 5" xfId="1438"/>
    <cellStyle name="Accent4 2 3" xfId="1439"/>
    <cellStyle name="Accent4 2 3 2" xfId="1440"/>
    <cellStyle name="Accent4 2 4" xfId="1441"/>
    <cellStyle name="Accent4 2 5" xfId="1442"/>
    <cellStyle name="Accent4 2 6" xfId="1443"/>
    <cellStyle name="Accent4 2 7" xfId="1444"/>
    <cellStyle name="Accent4 2 8" xfId="1445"/>
    <cellStyle name="Accent4 3" xfId="1446"/>
    <cellStyle name="Accent4 3 2" xfId="1447"/>
    <cellStyle name="Accent4 3 3" xfId="1448"/>
    <cellStyle name="Accent4 3 4" xfId="1449"/>
    <cellStyle name="Accent4 3 5" xfId="1450"/>
    <cellStyle name="Accent4 3 6" xfId="1451"/>
    <cellStyle name="Accent4 4" xfId="1452"/>
    <cellStyle name="Accent4 4 2" xfId="1453"/>
    <cellStyle name="Accent4 4 3" xfId="1454"/>
    <cellStyle name="Accent4 5" xfId="1455"/>
    <cellStyle name="Accent4 6" xfId="1456"/>
    <cellStyle name="Accent4 7" xfId="1457"/>
    <cellStyle name="Accent4 8" xfId="1458"/>
    <cellStyle name="Accent5 - 20%" xfId="1459"/>
    <cellStyle name="Accent5 - 40%" xfId="1460"/>
    <cellStyle name="Accent5 - 60%" xfId="1461"/>
    <cellStyle name="Accent5 2" xfId="1462"/>
    <cellStyle name="Accent5 2 2" xfId="1463"/>
    <cellStyle name="Accent5 2 2 2" xfId="1464"/>
    <cellStyle name="Accent5 2 2 3" xfId="1465"/>
    <cellStyle name="Accent5 2 2 4" xfId="1466"/>
    <cellStyle name="Accent5 2 2 5" xfId="1467"/>
    <cellStyle name="Accent5 2 3" xfId="1468"/>
    <cellStyle name="Accent5 2 3 2" xfId="1469"/>
    <cellStyle name="Accent5 2 4" xfId="1470"/>
    <cellStyle name="Accent5 2 5" xfId="1471"/>
    <cellStyle name="Accent5 2 6" xfId="1472"/>
    <cellStyle name="Accent5 2 7" xfId="1473"/>
    <cellStyle name="Accent5 2 8" xfId="1474"/>
    <cellStyle name="Accent5 3" xfId="1475"/>
    <cellStyle name="Accent5 3 2" xfId="1476"/>
    <cellStyle name="Accent5 3 3" xfId="1477"/>
    <cellStyle name="Accent5 3 4" xfId="1478"/>
    <cellStyle name="Accent5 3 5" xfId="1479"/>
    <cellStyle name="Accent5 3 6" xfId="1480"/>
    <cellStyle name="Accent5 4" xfId="1481"/>
    <cellStyle name="Accent5 4 2" xfId="1482"/>
    <cellStyle name="Accent5 4 3" xfId="1483"/>
    <cellStyle name="Accent5 5" xfId="1484"/>
    <cellStyle name="Accent5 6" xfId="1485"/>
    <cellStyle name="Accent5 7" xfId="1486"/>
    <cellStyle name="Accent5 8" xfId="1487"/>
    <cellStyle name="Accent6 - 20%" xfId="1488"/>
    <cellStyle name="Accent6 - 40%" xfId="1489"/>
    <cellStyle name="Accent6 - 60%" xfId="1490"/>
    <cellStyle name="Accent6 2" xfId="1491"/>
    <cellStyle name="Accent6 2 2" xfId="1492"/>
    <cellStyle name="Accent6 2 2 2" xfId="1493"/>
    <cellStyle name="Accent6 2 2 3" xfId="1494"/>
    <cellStyle name="Accent6 2 2 4" xfId="1495"/>
    <cellStyle name="Accent6 2 2 5" xfId="1496"/>
    <cellStyle name="Accent6 2 3" xfId="1497"/>
    <cellStyle name="Accent6 2 3 2" xfId="1498"/>
    <cellStyle name="Accent6 2 4" xfId="1499"/>
    <cellStyle name="Accent6 2 5" xfId="1500"/>
    <cellStyle name="Accent6 2 6" xfId="1501"/>
    <cellStyle name="Accent6 2 7" xfId="1502"/>
    <cellStyle name="Accent6 2 8" xfId="1503"/>
    <cellStyle name="Accent6 3" xfId="1504"/>
    <cellStyle name="Accent6 3 2" xfId="1505"/>
    <cellStyle name="Accent6 3 3" xfId="1506"/>
    <cellStyle name="Accent6 3 4" xfId="1507"/>
    <cellStyle name="Accent6 3 5" xfId="1508"/>
    <cellStyle name="Accent6 3 6" xfId="1509"/>
    <cellStyle name="Accent6 4" xfId="1510"/>
    <cellStyle name="Accent6 4 2" xfId="1511"/>
    <cellStyle name="Accent6 4 3" xfId="1512"/>
    <cellStyle name="Accent6 5" xfId="1513"/>
    <cellStyle name="Accent6 6" xfId="1514"/>
    <cellStyle name="Accent6 7" xfId="1515"/>
    <cellStyle name="Accent6 8" xfId="1516"/>
    <cellStyle name="AR" xfId="1517"/>
    <cellStyle name="Bad 2" xfId="1518"/>
    <cellStyle name="Bad 2 2" xfId="1519"/>
    <cellStyle name="Bad 2 2 2" xfId="1520"/>
    <cellStyle name="Bad 2 2 3" xfId="1521"/>
    <cellStyle name="Bad 2 2 4" xfId="1522"/>
    <cellStyle name="Bad 2 2 5" xfId="1523"/>
    <cellStyle name="Bad 2 3" xfId="1524"/>
    <cellStyle name="Bad 2 3 2" xfId="1525"/>
    <cellStyle name="Bad 2 4" xfId="1526"/>
    <cellStyle name="Bad 2 5" xfId="1527"/>
    <cellStyle name="Bad 2 6" xfId="1528"/>
    <cellStyle name="Bad 2 7" xfId="1529"/>
    <cellStyle name="Bad 2 8" xfId="1530"/>
    <cellStyle name="Bad 3" xfId="1531"/>
    <cellStyle name="Bad 3 2" xfId="1532"/>
    <cellStyle name="Bad 3 3" xfId="1533"/>
    <cellStyle name="Bad 3 4" xfId="1534"/>
    <cellStyle name="Bad 3 5" xfId="1535"/>
    <cellStyle name="Bad 4" xfId="1536"/>
    <cellStyle name="Bad 4 2" xfId="1537"/>
    <cellStyle name="Bad 5" xfId="1538"/>
    <cellStyle name="Bad 6" xfId="1539"/>
    <cellStyle name="Bad 7" xfId="1540"/>
    <cellStyle name="Calculation 2" xfId="1541"/>
    <cellStyle name="Calculation 2 2" xfId="1542"/>
    <cellStyle name="Calculation 2 2 2" xfId="1543"/>
    <cellStyle name="Calculation 2 2 2 2" xfId="1544"/>
    <cellStyle name="Calculation 2 2 3" xfId="1545"/>
    <cellStyle name="Calculation 2 2 3 2" xfId="1546"/>
    <cellStyle name="Calculation 2 2 4" xfId="1547"/>
    <cellStyle name="Calculation 2 2 5" xfId="1548"/>
    <cellStyle name="Calculation 2 2 6" xfId="1549"/>
    <cellStyle name="Calculation 2 3" xfId="1550"/>
    <cellStyle name="Calculation 2 3 2" xfId="1551"/>
    <cellStyle name="Calculation 2 3 3" xfId="1552"/>
    <cellStyle name="Calculation 2 3 4" xfId="1553"/>
    <cellStyle name="Calculation 2 3 5" xfId="1554"/>
    <cellStyle name="Calculation 2 3 6" xfId="1555"/>
    <cellStyle name="Calculation 2 4" xfId="1556"/>
    <cellStyle name="Calculation 2 4 2" xfId="1557"/>
    <cellStyle name="Calculation 2 4 3" xfId="1558"/>
    <cellStyle name="Calculation 2 4 4" xfId="1559"/>
    <cellStyle name="Calculation 2 5" xfId="1560"/>
    <cellStyle name="Calculation 2 5 2" xfId="1561"/>
    <cellStyle name="Calculation 2 5 3" xfId="1562"/>
    <cellStyle name="Calculation 2 5 4" xfId="1563"/>
    <cellStyle name="Calculation 2 5 5" xfId="1564"/>
    <cellStyle name="Calculation 2 6" xfId="1565"/>
    <cellStyle name="Calculation 2 7" xfId="1566"/>
    <cellStyle name="Calculation 2 8" xfId="1567"/>
    <cellStyle name="Calculation 3" xfId="1568"/>
    <cellStyle name="Calculation 3 2" xfId="1569"/>
    <cellStyle name="Calculation 3 3" xfId="1570"/>
    <cellStyle name="Calculation 3 4" xfId="1571"/>
    <cellStyle name="Calculation 3 5" xfId="1572"/>
    <cellStyle name="Calculation 4" xfId="1573"/>
    <cellStyle name="Calculation 4 2" xfId="1574"/>
    <cellStyle name="Calculation 5" xfId="1575"/>
    <cellStyle name="Calculation 6" xfId="1576"/>
    <cellStyle name="Calculation 7" xfId="1577"/>
    <cellStyle name="Check Cell 2" xfId="1578"/>
    <cellStyle name="Check Cell 2 2" xfId="1579"/>
    <cellStyle name="Check Cell 2 2 2" xfId="1580"/>
    <cellStyle name="Check Cell 2 2 3" xfId="1581"/>
    <cellStyle name="Check Cell 2 2 4" xfId="1582"/>
    <cellStyle name="Check Cell 2 2 5" xfId="1583"/>
    <cellStyle name="Check Cell 2 3" xfId="1584"/>
    <cellStyle name="Check Cell 2 3 2" xfId="1585"/>
    <cellStyle name="Check Cell 2 4" xfId="1586"/>
    <cellStyle name="Check Cell 2 5" xfId="1587"/>
    <cellStyle name="Check Cell 2 6" xfId="1588"/>
    <cellStyle name="Check Cell 2 7" xfId="1589"/>
    <cellStyle name="Check Cell 2 8" xfId="1590"/>
    <cellStyle name="Check Cell 3" xfId="1591"/>
    <cellStyle name="Check Cell 3 2" xfId="1592"/>
    <cellStyle name="Check Cell 3 3" xfId="1593"/>
    <cellStyle name="Check Cell 3 4" xfId="1594"/>
    <cellStyle name="Check Cell 3 5" xfId="1595"/>
    <cellStyle name="Check Cell 4" xfId="1596"/>
    <cellStyle name="Check Cell 4 2" xfId="1597"/>
    <cellStyle name="Check Cell 5" xfId="1598"/>
    <cellStyle name="Check Cell 6" xfId="1599"/>
    <cellStyle name="Check Cell 7" xfId="1600"/>
    <cellStyle name="Checksum" xfId="1601"/>
    <cellStyle name="****************************************** 2" xfId="1602"/>
    <cellStyle name="Normal 6" xfId="1603"/>
    <cellStyle name="20% - Accent1 10" xfId="1604"/>
    <cellStyle name="20% - Accent2 10" xfId="1605"/>
    <cellStyle name="20% - Accent3 10" xfId="1606"/>
    <cellStyle name="20% - Accent4 10" xfId="1607"/>
    <cellStyle name="Accent1 14" xfId="1608"/>
    <cellStyle name="Accent6 15" xfId="1609"/>
    <cellStyle name="40% - Accent1 10" xfId="1610"/>
    <cellStyle name="40% - Accent2 10" xfId="1611"/>
    <cellStyle name="40% - Accent3 10" xfId="1612"/>
    <cellStyle name="40% - Accent4 10" xfId="1613"/>
    <cellStyle name="Input 4" xfId="1614"/>
    <cellStyle name="40% - Accent6 10" xfId="1615"/>
    <cellStyle name="60% - Accent1 8" xfId="1616"/>
    <cellStyle name="60% - Accent2 8" xfId="1617"/>
    <cellStyle name="60% - Accent3 8" xfId="1618"/>
    <cellStyle name="60% - Accent4 8" xfId="1619"/>
    <cellStyle name="Calculation 11" xfId="1620"/>
    <cellStyle name="60% - Accent6 8" xfId="1621"/>
    <cellStyle name="Accent1 9" xfId="1622"/>
    <cellStyle name="Accent2 9" xfId="1623"/>
    <cellStyle name="Accent3 9" xfId="1624"/>
    <cellStyle name="Accent4 9" xfId="1625"/>
    <cellStyle name="Accent5 9" xfId="1626"/>
    <cellStyle name="Accent6 9" xfId="1627"/>
    <cellStyle name="Bad 8" xfId="1628"/>
    <cellStyle name="Calculation 8" xfId="1629"/>
    <cellStyle name="Accent1 16" xfId="1630"/>
    <cellStyle name="Currency 4" xfId="1631"/>
    <cellStyle name="E&amp;Y House" xfId="1632"/>
    <cellStyle name="Euro 2" xfId="1633"/>
    <cellStyle name="Explanatory Text 2" xfId="1634"/>
    <cellStyle name="Good 2" xfId="1635"/>
    <cellStyle name="Note 3" xfId="1636"/>
    <cellStyle name="Header2 2" xfId="1637"/>
    <cellStyle name="Heading 1 2" xfId="1638"/>
    <cellStyle name="Heading 2 2" xfId="1639"/>
    <cellStyle name="Heading 3 2" xfId="1640"/>
    <cellStyle name="Heading 4 2" xfId="1641"/>
    <cellStyle name="Input 2" xfId="1642"/>
    <cellStyle name="Linked Cell 2" xfId="1643"/>
    <cellStyle name="Neutral 2" xfId="1644"/>
    <cellStyle name="Note 2" xfId="1645"/>
    <cellStyle name="Output 2" xfId="1646"/>
    <cellStyle name="Title 2" xfId="1647"/>
    <cellStyle name="Total 3" xfId="1648"/>
    <cellStyle name="Tusental_Cepheid A B  5 Year_Capex_HR_from_Henry" xfId="1649"/>
    <cellStyle name="Valuta_IFRS_Balance_Cepheid Mar 07 with More Questions" xfId="1650"/>
    <cellStyle name="Warning Text 2" xfId="1651"/>
    <cellStyle name="Normal 2 2 3" xfId="1652"/>
    <cellStyle name="Normal 7" xfId="1653"/>
    <cellStyle name="Percent 4" xfId="1654"/>
    <cellStyle name="Accent2 14" xfId="1655"/>
    <cellStyle name="Accent3 14" xfId="1656"/>
    <cellStyle name="Currency 8" xfId="1657"/>
    <cellStyle name="Accent4 14" xfId="1658"/>
    <cellStyle name="Accent5 14" xfId="1659"/>
    <cellStyle name="Accent6 14" xfId="1660"/>
    <cellStyle name="Accent1 12" xfId="1661"/>
    <cellStyle name="Accent2 12" xfId="1662"/>
    <cellStyle name="Currency 6" xfId="1663"/>
    <cellStyle name="Accent3 12" xfId="1664"/>
    <cellStyle name="Calculation 9" xfId="1665"/>
    <cellStyle name="Accent4 12" xfId="1666"/>
    <cellStyle name="Accent1 10" xfId="1667"/>
    <cellStyle name="Accent2 10" xfId="1668"/>
    <cellStyle name="Accent3 10" xfId="1669"/>
    <cellStyle name="Accent4 10" xfId="1670"/>
    <cellStyle name="Accent5 10" xfId="1671"/>
    <cellStyle name="Accent6 10" xfId="1672"/>
    <cellStyle name="Accent6 11" xfId="1673"/>
    <cellStyle name="Accent5 11" xfId="1674"/>
    <cellStyle name="Accent4 11" xfId="1675"/>
    <cellStyle name="Currency 5" xfId="1676"/>
    <cellStyle name="Accent3 11" xfId="1677"/>
    <cellStyle name="Accent2 11" xfId="1678"/>
    <cellStyle name="Accent1 11" xfId="1679"/>
    <cellStyle name="Accent5 12" xfId="1680"/>
    <cellStyle name="Accent6 12" xfId="1681"/>
    <cellStyle name="Accent6 13" xfId="1682"/>
    <cellStyle name="Accent5 13" xfId="1683"/>
    <cellStyle name="Accent4 13" xfId="1684"/>
    <cellStyle name="Currency 7" xfId="1685"/>
    <cellStyle name="Accent3 13" xfId="1686"/>
    <cellStyle name="Input 3" xfId="1687"/>
    <cellStyle name="Accent1 13" xfId="1688"/>
    <cellStyle name="Accent5 15" xfId="1689"/>
    <cellStyle name="Currency 9" xfId="1690"/>
    <cellStyle name="Accent3 15" xfId="1691"/>
    <cellStyle name="Accent2 15" xfId="1692"/>
    <cellStyle name="Accent1 15" xfId="1693"/>
    <cellStyle name="Input 5" xfId="1694"/>
    <cellStyle name="Accent4 16" xfId="1695"/>
    <cellStyle name="Normal 8" xfId="1696"/>
    <cellStyle name="Accent4 15" xfId="1697"/>
    <cellStyle name="Calculation 10" xfId="1698"/>
    <cellStyle name="Percent 5" xfId="1699"/>
    <cellStyle name="Accent2 13" xfId="1700"/>
    <cellStyle name="Accent2 18" xfId="1701"/>
    <cellStyle name="Input 6" xfId="1702"/>
    <cellStyle name="Currency 12" xfId="1703"/>
    <cellStyle name="Accent6 19" xfId="1704"/>
    <cellStyle name="Accent1 20" xfId="1705"/>
    <cellStyle name="Normal 9" xfId="1706"/>
    <cellStyle name="Accent3 18" xfId="1707"/>
    <cellStyle name="Currency 10" xfId="1708"/>
    <cellStyle name="Percent 6" xfId="1709"/>
    <cellStyle name="Accent2 16" xfId="1710"/>
    <cellStyle name="Accent5 16" xfId="1711"/>
    <cellStyle name="Accent5 17" xfId="1712"/>
    <cellStyle name="Accent4 17" xfId="1713"/>
    <cellStyle name="Input 7" xfId="1714"/>
    <cellStyle name="Accent3 17" xfId="1715"/>
    <cellStyle name="Accent2 17" xfId="1716"/>
    <cellStyle name="Accent5 18" xfId="1717"/>
    <cellStyle name="Normal 13" xfId="1718"/>
    <cellStyle name="Accent6 17" xfId="1719"/>
    <cellStyle name="Accent6 16" xfId="1720"/>
    <cellStyle name="Percent 7" xfId="1721"/>
    <cellStyle name="Accent3 16" xfId="1722"/>
    <cellStyle name="Currency 14" xfId="1723"/>
    <cellStyle name="Accent6 21" xfId="1724"/>
    <cellStyle name="Input 8" xfId="1725"/>
    <cellStyle name="Accent2 22" xfId="1726"/>
    <cellStyle name="Accent1 22" xfId="1727"/>
    <cellStyle name="Normal 14" xfId="1728"/>
    <cellStyle name="Accent2 20" xfId="1729"/>
    <cellStyle name="Accent3 20" xfId="1730"/>
    <cellStyle name="Percent 8" xfId="1731"/>
    <cellStyle name="Accent1 18" xfId="1732"/>
    <cellStyle name="Accent6 18" xfId="1733"/>
    <cellStyle name="Accent5 19" xfId="1734"/>
    <cellStyle name="Calculation 12" xfId="1735"/>
    <cellStyle name="Accent4 19" xfId="1736"/>
    <cellStyle name="Currency 13" xfId="1737"/>
    <cellStyle name="Normal 15" xfId="1738"/>
    <cellStyle name="Accent4 18" xfId="1739"/>
    <cellStyle name="Accent1 17" xfId="1740"/>
    <cellStyle name="Percent 9" xfId="1741"/>
    <cellStyle name="Currency 11" xfId="1742"/>
    <cellStyle name="Note 4" xfId="1743"/>
    <cellStyle name="Output 3" xfId="1744"/>
    <cellStyle name="Accent3 24" xfId="1745"/>
    <cellStyle name="Total 4" xfId="1746"/>
    <cellStyle name="Accent2 24" xfId="1747"/>
    <cellStyle name="Note 5" xfId="1748"/>
    <cellStyle name="Normal 16" xfId="1749"/>
    <cellStyle name="Input 10" xfId="1750"/>
    <cellStyle name="Currency 16" xfId="1751"/>
    <cellStyle name="Percent 10" xfId="1752"/>
    <cellStyle name="Accent3 22" xfId="1753"/>
    <cellStyle name="Input 9" xfId="1754"/>
    <cellStyle name="Accent2 19" xfId="1755"/>
    <cellStyle name="Accent1 19" xfId="1756"/>
    <cellStyle name="Accent6 20" xfId="1757"/>
    <cellStyle name="Accent5 21" xfId="1758"/>
    <cellStyle name="Calculation 13" xfId="1759"/>
    <cellStyle name="Accent4 21" xfId="1760"/>
    <cellStyle name="Currency 15" xfId="1761"/>
    <cellStyle name="Input 11" xfId="1762"/>
    <cellStyle name="Normal 17" xfId="1763"/>
    <cellStyle name="Accent5 20" xfId="1764"/>
    <cellStyle name="Accent4 20" xfId="1765"/>
    <cellStyle name="Percent 11" xfId="1766"/>
    <cellStyle name="Accent3 19" xfId="1767"/>
    <cellStyle name="Output 4" xfId="1768"/>
    <cellStyle name="Input 12" xfId="1769"/>
    <cellStyle name="Total 5" xfId="1770"/>
    <cellStyle name="Accent3 26" xfId="1771"/>
    <cellStyle name="Accent2 26" xfId="1772"/>
    <cellStyle name="Normal 18" xfId="1773"/>
    <cellStyle name="Currency 18" xfId="1774"/>
    <cellStyle name="Accent1 24" xfId="1775"/>
    <cellStyle name="Percent 12" xfId="1776"/>
    <cellStyle name="Accent6 23" xfId="1777"/>
    <cellStyle name="Accent2 21" xfId="1778"/>
    <cellStyle name="Accent1 21" xfId="1779"/>
    <cellStyle name="Accent6 22" xfId="1780"/>
    <cellStyle name="Accent5 23" xfId="1781"/>
    <cellStyle name="Calculation 14" xfId="1782"/>
    <cellStyle name="Accent4 23" xfId="1783"/>
    <cellStyle name="Currency 17" xfId="1784"/>
    <cellStyle name="Input 13" xfId="1785"/>
    <cellStyle name="Normal 19" xfId="1786"/>
    <cellStyle name="Accent5 22" xfId="1787"/>
    <cellStyle name="Accent4 22" xfId="1788"/>
    <cellStyle name="Percent 13" xfId="1789"/>
    <cellStyle name="Accent3 21" xfId="1790"/>
    <cellStyle name="Note 6" xfId="1791"/>
    <cellStyle name="Output 5" xfId="1792"/>
    <cellStyle name="Input 14" xfId="1793"/>
    <cellStyle name="Total 6" xfId="1794"/>
    <cellStyle name="Accent3 28" xfId="1795"/>
    <cellStyle name="Accent2 28" xfId="1796"/>
    <cellStyle name="Normal 20" xfId="1797"/>
    <cellStyle name="Currency 20" xfId="1798"/>
    <cellStyle name="Accent1 26" xfId="1799"/>
    <cellStyle name="Percent 14" xfId="1800"/>
    <cellStyle name="Accent6 25" xfId="1801"/>
    <cellStyle name="Accent2 23" xfId="1802"/>
    <cellStyle name="Accent1 23" xfId="1803"/>
    <cellStyle name="Accent6 24" xfId="1804"/>
    <cellStyle name="Accent5 25" xfId="1805"/>
    <cellStyle name="Calculation 15" xfId="1806"/>
    <cellStyle name="Accent4 25" xfId="1807"/>
    <cellStyle name="Currency 19" xfId="1808"/>
    <cellStyle name="Input 15" xfId="1809"/>
    <cellStyle name="Normal 21" xfId="1810"/>
    <cellStyle name="Accent5 24" xfId="1811"/>
    <cellStyle name="Accent4 24" xfId="1812"/>
    <cellStyle name="Percent 15" xfId="1813"/>
    <cellStyle name="Accent3 23" xfId="1814"/>
    <cellStyle name="Note 7" xfId="1815"/>
    <cellStyle name="Output 6" xfId="1816"/>
    <cellStyle name="Input 16" xfId="1817"/>
    <cellStyle name="Total 7" xfId="1818"/>
    <cellStyle name="Accent3 30" xfId="1819"/>
    <cellStyle name="Accent2 30" xfId="1820"/>
    <cellStyle name="Normal 22" xfId="1821"/>
    <cellStyle name="Currency 22" xfId="1822"/>
    <cellStyle name="Accent1 28" xfId="1823"/>
    <cellStyle name="Percent 16" xfId="1824"/>
    <cellStyle name="Accent6 27" xfId="1825"/>
    <cellStyle name="Accent2 25" xfId="1826"/>
    <cellStyle name="Accent1 25" xfId="1827"/>
    <cellStyle name="Accent6 26" xfId="1828"/>
    <cellStyle name="Accent5 27" xfId="1829"/>
    <cellStyle name="Calculation 16" xfId="1830"/>
    <cellStyle name="Accent4 27" xfId="1831"/>
    <cellStyle name="Currency 21" xfId="1832"/>
    <cellStyle name="Input 17" xfId="1833"/>
    <cellStyle name="Normal 23" xfId="1834"/>
    <cellStyle name="Accent5 26" xfId="1835"/>
    <cellStyle name="Accent4 26" xfId="1836"/>
    <cellStyle name="Percent 17" xfId="1837"/>
    <cellStyle name="Accent3 25" xfId="1838"/>
    <cellStyle name="Note 8" xfId="1839"/>
    <cellStyle name="Output 7" xfId="1840"/>
    <cellStyle name="Input 18" xfId="1841"/>
    <cellStyle name="Total 8" xfId="1842"/>
    <cellStyle name="Accent3 32" xfId="1843"/>
    <cellStyle name="Accent2 32" xfId="1844"/>
    <cellStyle name="Normal 24" xfId="1845"/>
    <cellStyle name="Currency 24" xfId="1846"/>
    <cellStyle name="Accent1 30" xfId="1847"/>
    <cellStyle name="Percent 18" xfId="1848"/>
    <cellStyle name="Accent6 29" xfId="1849"/>
    <cellStyle name="Accent2 27" xfId="1850"/>
    <cellStyle name="Accent1 27" xfId="1851"/>
    <cellStyle name="Accent6 28" xfId="1852"/>
    <cellStyle name="Accent5 29" xfId="1853"/>
    <cellStyle name="Calculation 17" xfId="1854"/>
    <cellStyle name="Accent4 29" xfId="1855"/>
    <cellStyle name="Currency 23" xfId="1856"/>
    <cellStyle name="Input 19" xfId="1857"/>
    <cellStyle name="Normal 25" xfId="1858"/>
    <cellStyle name="Accent5 28" xfId="1859"/>
    <cellStyle name="Accent4 28" xfId="1860"/>
    <cellStyle name="Percent 19" xfId="1861"/>
    <cellStyle name="Accent3 27" xfId="1862"/>
    <cellStyle name="Note 9" xfId="1863"/>
    <cellStyle name="Output 8" xfId="1864"/>
    <cellStyle name="Input 20" xfId="1865"/>
    <cellStyle name="Total 9" xfId="1866"/>
    <cellStyle name="Accent3 34" xfId="1867"/>
    <cellStyle name="Accent2 34" xfId="1868"/>
    <cellStyle name="Normal 26" xfId="1869"/>
    <cellStyle name="Currency 26" xfId="1870"/>
    <cellStyle name="Accent1 32" xfId="1871"/>
    <cellStyle name="Percent 20" xfId="1872"/>
    <cellStyle name="Accent6 31" xfId="1873"/>
    <cellStyle name="Accent2 29" xfId="1874"/>
    <cellStyle name="Accent1 29" xfId="1875"/>
    <cellStyle name="Accent6 30" xfId="1876"/>
    <cellStyle name="Accent5 31" xfId="1877"/>
    <cellStyle name="Calculation 18" xfId="1878"/>
    <cellStyle name="Accent4 31" xfId="1879"/>
    <cellStyle name="Currency 25" xfId="1880"/>
    <cellStyle name="Input 21" xfId="1881"/>
    <cellStyle name="Normal 27" xfId="1882"/>
    <cellStyle name="Accent5 30" xfId="1883"/>
    <cellStyle name="Accent4 30" xfId="1884"/>
    <cellStyle name="Percent 21" xfId="1885"/>
    <cellStyle name="Accent3 29" xfId="1886"/>
    <cellStyle name="Note 10" xfId="1887"/>
    <cellStyle name="Output 9" xfId="1888"/>
    <cellStyle name="Input 22" xfId="1889"/>
    <cellStyle name="Total 10" xfId="1890"/>
    <cellStyle name="Accent3 36" xfId="1891"/>
    <cellStyle name="Accent2 36" xfId="1892"/>
    <cellStyle name="Normal 28" xfId="1893"/>
    <cellStyle name="Currency 28" xfId="1894"/>
    <cellStyle name="Accent1 34" xfId="1895"/>
    <cellStyle name="Percent 22" xfId="1896"/>
    <cellStyle name="Accent6 33" xfId="1897"/>
    <cellStyle name="Accent2 31" xfId="1898"/>
    <cellStyle name="Accent1 31" xfId="1899"/>
    <cellStyle name="Accent6 32" xfId="1900"/>
    <cellStyle name="Accent5 33" xfId="1901"/>
    <cellStyle name="Calculation 19" xfId="1902"/>
    <cellStyle name="Accent4 33" xfId="1903"/>
    <cellStyle name="Currency 27" xfId="1904"/>
    <cellStyle name="Input 23" xfId="1905"/>
    <cellStyle name="Normal 29" xfId="1906"/>
    <cellStyle name="Accent5 32" xfId="1907"/>
    <cellStyle name="Accent4 32" xfId="1908"/>
    <cellStyle name="Percent 23" xfId="1909"/>
    <cellStyle name="Accent3 31" xfId="1910"/>
    <cellStyle name="Note 11" xfId="1911"/>
    <cellStyle name="Output 10" xfId="1912"/>
    <cellStyle name="Input 24" xfId="1913"/>
    <cellStyle name="Total 11" xfId="1914"/>
    <cellStyle name="Accent3 38" xfId="1915"/>
    <cellStyle name="Accent2 38" xfId="1916"/>
    <cellStyle name="Normal 30" xfId="1917"/>
    <cellStyle name="Currency 30" xfId="1918"/>
    <cellStyle name="Accent1 36" xfId="1919"/>
    <cellStyle name="Percent 24" xfId="1920"/>
    <cellStyle name="Accent6 35" xfId="1921"/>
    <cellStyle name="Accent2 33" xfId="1922"/>
    <cellStyle name="Accent1 33" xfId="1923"/>
    <cellStyle name="Accent6 34" xfId="1924"/>
    <cellStyle name="Accent5 35" xfId="1925"/>
    <cellStyle name="Calculation 20" xfId="1926"/>
    <cellStyle name="Accent4 35" xfId="1927"/>
    <cellStyle name="Currency 29" xfId="1928"/>
    <cellStyle name="Input 25" xfId="1929"/>
    <cellStyle name="Normal 31" xfId="1930"/>
    <cellStyle name="Accent5 34" xfId="1931"/>
    <cellStyle name="Accent4 34" xfId="1932"/>
    <cellStyle name="Percent 25" xfId="1933"/>
    <cellStyle name="Accent3 33" xfId="1934"/>
    <cellStyle name="Note 12" xfId="1935"/>
    <cellStyle name="Output 11" xfId="1936"/>
    <cellStyle name="Input 26" xfId="1937"/>
    <cellStyle name="Total 12" xfId="1938"/>
    <cellStyle name="Accent3 40" xfId="1939"/>
    <cellStyle name="Accent2 40" xfId="1940"/>
    <cellStyle name="Normal 32" xfId="1941"/>
    <cellStyle name="Currency 32" xfId="1942"/>
    <cellStyle name="Accent1 38" xfId="1943"/>
    <cellStyle name="Percent 26" xfId="1944"/>
    <cellStyle name="Accent6 37" xfId="1945"/>
    <cellStyle name="Accent2 35" xfId="1946"/>
    <cellStyle name="Accent1 35" xfId="1947"/>
    <cellStyle name="Accent6 36" xfId="1948"/>
    <cellStyle name="Accent5 37" xfId="1949"/>
    <cellStyle name="Calculation 21" xfId="1950"/>
    <cellStyle name="Accent4 37" xfId="1951"/>
    <cellStyle name="Currency 31" xfId="1952"/>
    <cellStyle name="Input 27" xfId="1953"/>
    <cellStyle name="Normal 33" xfId="1954"/>
    <cellStyle name="Accent5 36" xfId="1955"/>
    <cellStyle name="Accent4 36" xfId="1956"/>
    <cellStyle name="Percent 27" xfId="1957"/>
    <cellStyle name="Accent3 35" xfId="1958"/>
    <cellStyle name="Note 13" xfId="1959"/>
    <cellStyle name="Output 12" xfId="1960"/>
    <cellStyle name="Input 28" xfId="1961"/>
    <cellStyle name="Total 13" xfId="1962"/>
    <cellStyle name="Accent3 42" xfId="1963"/>
    <cellStyle name="Accent2 42" xfId="1964"/>
    <cellStyle name="Normal 34" xfId="1965"/>
    <cellStyle name="Currency 34" xfId="1966"/>
    <cellStyle name="Accent1 40" xfId="1967"/>
    <cellStyle name="Percent 28" xfId="1968"/>
    <cellStyle name="Accent6 39" xfId="1969"/>
    <cellStyle name="Accent2 37" xfId="1970"/>
    <cellStyle name="Accent1 37" xfId="1971"/>
    <cellStyle name="Accent6 38" xfId="1972"/>
    <cellStyle name="Accent5 39" xfId="1973"/>
    <cellStyle name="Calculation 22" xfId="1974"/>
    <cellStyle name="Accent4 39" xfId="1975"/>
    <cellStyle name="Currency 33" xfId="1976"/>
    <cellStyle name="Input 29" xfId="1977"/>
    <cellStyle name="Normal 35" xfId="1978"/>
    <cellStyle name="Accent5 38" xfId="1979"/>
    <cellStyle name="Accent4 38" xfId="1980"/>
    <cellStyle name="Percent 29" xfId="1981"/>
    <cellStyle name="Accent3 37" xfId="1982"/>
    <cellStyle name="Note 14" xfId="1983"/>
    <cellStyle name="Output 13" xfId="1984"/>
    <cellStyle name="Input 30" xfId="1985"/>
    <cellStyle name="Total 14" xfId="1986"/>
    <cellStyle name="Accent3 44" xfId="1987"/>
    <cellStyle name="Accent2 44" xfId="1988"/>
    <cellStyle name="Normal 36" xfId="1989"/>
    <cellStyle name="Currency 36" xfId="1990"/>
    <cellStyle name="Accent1 42" xfId="1991"/>
    <cellStyle name="Percent 30" xfId="1992"/>
    <cellStyle name="Accent6 41" xfId="1993"/>
    <cellStyle name="Accent2 39" xfId="1994"/>
    <cellStyle name="Accent1 39" xfId="1995"/>
    <cellStyle name="Accent6 40" xfId="1996"/>
    <cellStyle name="Accent5 41" xfId="1997"/>
    <cellStyle name="Calculation 23" xfId="1998"/>
    <cellStyle name="Accent4 41" xfId="1999"/>
    <cellStyle name="Currency 35" xfId="2000"/>
    <cellStyle name="Input 31" xfId="2001"/>
    <cellStyle name="Normal 37" xfId="2002"/>
    <cellStyle name="Accent5 40" xfId="2003"/>
    <cellStyle name="Accent4 40" xfId="2004"/>
    <cellStyle name="Percent 31" xfId="2005"/>
    <cellStyle name="Accent3 39" xfId="2006"/>
    <cellStyle name="Note 15" xfId="2007"/>
    <cellStyle name="Output 14" xfId="2008"/>
    <cellStyle name="Input 32" xfId="2009"/>
    <cellStyle name="Total 15" xfId="2010"/>
    <cellStyle name="Accent3 46" xfId="2011"/>
    <cellStyle name="Accent2 46" xfId="2012"/>
    <cellStyle name="Normal 38" xfId="2013"/>
    <cellStyle name="Currency 38" xfId="2014"/>
    <cellStyle name="Accent1 44" xfId="2015"/>
    <cellStyle name="Percent 32" xfId="2016"/>
    <cellStyle name="Accent6 43" xfId="2017"/>
    <cellStyle name="Accent2 41" xfId="2018"/>
    <cellStyle name="Accent1 41" xfId="2019"/>
    <cellStyle name="Accent6 42" xfId="2020"/>
    <cellStyle name="Accent5 43" xfId="2021"/>
    <cellStyle name="Calculation 24" xfId="2022"/>
    <cellStyle name="Accent4 43" xfId="2023"/>
    <cellStyle name="Currency 37" xfId="2024"/>
    <cellStyle name="Input 33" xfId="2025"/>
    <cellStyle name="Normal 39" xfId="2026"/>
    <cellStyle name="Accent5 42" xfId="2027"/>
    <cellStyle name="Accent4 42" xfId="2028"/>
    <cellStyle name="Percent 33" xfId="2029"/>
    <cellStyle name="Accent3 41" xfId="2030"/>
    <cellStyle name="Note 16" xfId="2031"/>
    <cellStyle name="Output 15" xfId="2032"/>
    <cellStyle name="Input 34" xfId="2033"/>
    <cellStyle name="Total 16" xfId="2034"/>
    <cellStyle name="Accent3 48" xfId="2035"/>
    <cellStyle name="Accent2 48" xfId="2036"/>
    <cellStyle name="Normal 40" xfId="2037"/>
    <cellStyle name="Currency 40" xfId="2038"/>
    <cellStyle name="Accent1 46" xfId="2039"/>
    <cellStyle name="Percent 34" xfId="2040"/>
    <cellStyle name="Accent6 45" xfId="2041"/>
    <cellStyle name="Accent2 43" xfId="2042"/>
    <cellStyle name="Accent1 43" xfId="2043"/>
    <cellStyle name="Accent6 44" xfId="2044"/>
    <cellStyle name="Accent5 45" xfId="2045"/>
    <cellStyle name="Calculation 25" xfId="2046"/>
    <cellStyle name="Accent4 45" xfId="2047"/>
    <cellStyle name="Currency 39" xfId="2048"/>
    <cellStyle name="Input 35" xfId="2049"/>
    <cellStyle name="Normal 41" xfId="2050"/>
    <cellStyle name="Accent5 44" xfId="2051"/>
    <cellStyle name="Accent4 44" xfId="2052"/>
    <cellStyle name="Percent 35" xfId="2053"/>
    <cellStyle name="Accent3 43" xfId="2054"/>
    <cellStyle name="Note 17" xfId="2055"/>
    <cellStyle name="Output 16" xfId="2056"/>
    <cellStyle name="Input 36" xfId="2057"/>
    <cellStyle name="Total 17" xfId="2058"/>
    <cellStyle name="Accent3 50" xfId="2059"/>
    <cellStyle name="Accent2 50" xfId="2060"/>
    <cellStyle name="Normal 42" xfId="2061"/>
    <cellStyle name="Currency 42" xfId="2062"/>
    <cellStyle name="Accent1 48" xfId="2063"/>
    <cellStyle name="Percent 36" xfId="2064"/>
    <cellStyle name="Accent6 47" xfId="2065"/>
    <cellStyle name="Accent2 45" xfId="2066"/>
    <cellStyle name="Accent1 45" xfId="2067"/>
    <cellStyle name="Accent6 46" xfId="2068"/>
    <cellStyle name="Accent5 47" xfId="2069"/>
    <cellStyle name="Calculation 26" xfId="2070"/>
    <cellStyle name="Accent4 47" xfId="2071"/>
    <cellStyle name="Currency 41" xfId="2072"/>
    <cellStyle name="Input 37" xfId="2073"/>
    <cellStyle name="Normal 43" xfId="2074"/>
    <cellStyle name="Accent5 46" xfId="2075"/>
    <cellStyle name="Accent4 46" xfId="2076"/>
    <cellStyle name="Percent 37" xfId="2077"/>
    <cellStyle name="Accent3 45" xfId="2078"/>
    <cellStyle name="Note 18" xfId="2079"/>
    <cellStyle name="Output 17" xfId="2080"/>
    <cellStyle name="Input 38" xfId="2081"/>
    <cellStyle name="Total 18" xfId="2082"/>
    <cellStyle name="Accent3 52" xfId="2083"/>
    <cellStyle name="Accent2 52" xfId="2084"/>
    <cellStyle name="Normal 44" xfId="2085"/>
    <cellStyle name="Currency 44" xfId="2086"/>
    <cellStyle name="Accent1 50" xfId="2087"/>
    <cellStyle name="Percent 38" xfId="2088"/>
    <cellStyle name="Accent6 49" xfId="2089"/>
    <cellStyle name="Accent2 47" xfId="2090"/>
    <cellStyle name="Accent1 47" xfId="2091"/>
    <cellStyle name="Accent6 48" xfId="2092"/>
    <cellStyle name="Accent5 49" xfId="2093"/>
    <cellStyle name="Calculation 27" xfId="2094"/>
    <cellStyle name="Accent4 49" xfId="2095"/>
    <cellStyle name="Currency 43" xfId="2096"/>
    <cellStyle name="Input 39" xfId="2097"/>
    <cellStyle name="Normal 45" xfId="2098"/>
    <cellStyle name="Accent5 48" xfId="2099"/>
    <cellStyle name="Accent4 48" xfId="2100"/>
    <cellStyle name="Percent 39" xfId="2101"/>
    <cellStyle name="Accent3 47" xfId="2102"/>
    <cellStyle name="Note 19" xfId="2103"/>
    <cellStyle name="Output 18" xfId="2104"/>
    <cellStyle name="Input 40" xfId="2105"/>
    <cellStyle name="Total 19" xfId="2106"/>
    <cellStyle name="Accent3 54" xfId="2107"/>
    <cellStyle name="Accent2 54" xfId="2108"/>
    <cellStyle name="Normal 46" xfId="2109"/>
    <cellStyle name="Currency 46" xfId="2110"/>
    <cellStyle name="Accent1 52" xfId="2111"/>
    <cellStyle name="Percent 40" xfId="2112"/>
    <cellStyle name="Accent6 51" xfId="2113"/>
    <cellStyle name="Accent2 49" xfId="2114"/>
    <cellStyle name="Accent1 49" xfId="2115"/>
    <cellStyle name="Accent6 50" xfId="2116"/>
    <cellStyle name="Accent5 51" xfId="2117"/>
    <cellStyle name="Calculation 28" xfId="2118"/>
    <cellStyle name="Accent4 51" xfId="2119"/>
    <cellStyle name="Currency 45" xfId="2120"/>
    <cellStyle name="Input 41" xfId="2121"/>
    <cellStyle name="Normal 47" xfId="2122"/>
    <cellStyle name="Accent5 50" xfId="2123"/>
    <cellStyle name="Accent4 50" xfId="2124"/>
    <cellStyle name="Percent 41" xfId="2125"/>
    <cellStyle name="Accent3 49" xfId="2126"/>
    <cellStyle name="Note 20" xfId="2127"/>
    <cellStyle name="Output 19" xfId="2128"/>
    <cellStyle name="Input 42" xfId="2129"/>
    <cellStyle name="Total 20" xfId="2130"/>
    <cellStyle name="Normal 48" xfId="2131"/>
    <cellStyle name="Currency 48" xfId="2132"/>
    <cellStyle name="Accent1 54" xfId="2133"/>
    <cellStyle name="Percent 42" xfId="2134"/>
    <cellStyle name="Accent6 53" xfId="2135"/>
    <cellStyle name="Accent2 51" xfId="2136"/>
    <cellStyle name="Accent1 51" xfId="2137"/>
    <cellStyle name="Accent6 52" xfId="2138"/>
    <cellStyle name="Accent5 53" xfId="2139"/>
    <cellStyle name="Calculation 29" xfId="2140"/>
    <cellStyle name="Accent4 53" xfId="2141"/>
    <cellStyle name="Currency 47" xfId="2142"/>
    <cellStyle name="Input 43" xfId="2143"/>
    <cellStyle name="Normal 49" xfId="2144"/>
    <cellStyle name="Accent5 52" xfId="2145"/>
    <cellStyle name="Accent4 52" xfId="2146"/>
    <cellStyle name="Percent 43" xfId="2147"/>
    <cellStyle name="Accent3 51" xfId="2148"/>
    <cellStyle name="Note 21" xfId="2149"/>
    <cellStyle name="Output 20" xfId="2150"/>
    <cellStyle name="Input 44" xfId="2151"/>
    <cellStyle name="Total 21" xfId="2152"/>
    <cellStyle name="Normal 50" xfId="2153"/>
    <cellStyle name="Currency 50" xfId="2154"/>
    <cellStyle name="Percent 44" xfId="2155"/>
    <cellStyle name="Accent6 55" xfId="2156"/>
    <cellStyle name="Accent2 53" xfId="2157"/>
    <cellStyle name="Accent1 53" xfId="2158"/>
    <cellStyle name="Accent6 54" xfId="2159"/>
    <cellStyle name="Accent5 55" xfId="2160"/>
    <cellStyle name="Calculation 30" xfId="2161"/>
    <cellStyle name="Accent4 55" xfId="2162"/>
    <cellStyle name="Currency 49" xfId="2163"/>
    <cellStyle name="Input 45" xfId="2164"/>
    <cellStyle name="Normal 51" xfId="2165"/>
    <cellStyle name="Accent5 54" xfId="2166"/>
    <cellStyle name="Accent4 54" xfId="2167"/>
    <cellStyle name="Percent 45" xfId="2168"/>
    <cellStyle name="Accent3 53" xfId="2169"/>
    <cellStyle name="Note 22" xfId="2170"/>
    <cellStyle name="Output 21" xfId="2171"/>
    <cellStyle name="Input 46" xfId="2172"/>
    <cellStyle name="Total 22" xfId="2173"/>
    <cellStyle name="Normal 52" xfId="2174"/>
    <cellStyle name="Percent 46" xfId="2175"/>
    <cellStyle name="Accent2 55" xfId="2176"/>
    <cellStyle name="Accent1 55" xfId="2177"/>
    <cellStyle name="Input 47" xfId="2178"/>
    <cellStyle name="Normal 53" xfId="2179"/>
    <cellStyle name="Percent 47" xfId="2180"/>
    <cellStyle name="Accent3 55" xfId="2181"/>
    <cellStyle name="Note 23" xfId="2182"/>
    <cellStyle name="Output 22" xfId="2183"/>
    <cellStyle name="Input 48" xfId="2184"/>
    <cellStyle name="Total 23" xfId="2185"/>
    <cellStyle name="Normal 54" xfId="2186"/>
    <cellStyle name="Percent 48" xfId="2187"/>
    <cellStyle name="Normal 55" xfId="2188"/>
    <cellStyle name="Percent 49" xfId="2189"/>
    <cellStyle name="Note 24" xfId="2190"/>
    <cellStyle name="Output 23" xfId="2191"/>
    <cellStyle name="Total 24" xfId="2192"/>
    <cellStyle name="Percent 50" xfId="2193"/>
    <cellStyle name="Normal 7 2" xfId="2194"/>
    <cellStyle name="Normal 2 3" xfId="2195"/>
    <cellStyle name="Hyperlink 2 2" xfId="2196"/>
    <cellStyle name="Normal 2 2 2 2" xfId="2197"/>
  </cellStyles>
  <dxfs count="5">
    <dxf>
      <font>
        <name val="Calibri"/>
        <family val="2"/>
        <strike val="0"/>
        <outline val="0"/>
        <shadow val="0"/>
        <color theme="1"/>
        <sz val="9"/>
        <vertAlign val="baseline"/>
        <scheme val="minor"/>
      </font>
    </dxf>
    <dxf>
      <font>
        <name val="Calibri"/>
        <family val="2"/>
        <strike val="0"/>
        <outline val="0"/>
        <shadow val="0"/>
        <color theme="1"/>
        <sz val="9"/>
        <vertAlign val="baseline"/>
        <scheme val="minor"/>
      </font>
    </dxf>
    <dxf>
      <border outline="0">
        <top style="thin">
          <color rgb="FF73C5EC"/>
        </top>
      </border>
    </dxf>
    <dxf>
      <font>
        <name val="Calibri"/>
        <family val="2"/>
        <strike val="0"/>
        <outline val="0"/>
        <shadow val="0"/>
        <color rgb="FF000000"/>
        <sz val="9"/>
        <vertAlign val="baseline"/>
      </font>
    </dxf>
    <dxf>
      <font>
        <name val="Calibri"/>
        <family val="2"/>
        <b val="1"/>
        <strike val="0"/>
        <outline val="0"/>
        <shadow val="0"/>
        <condense val="0"/>
        <color rgb="FFFFFFFF"/>
        <extend val="0"/>
        <sz val="11"/>
        <vertAlign val="baseline"/>
      </font>
      <numFmt numFmtId="0" formatCode="General"/>
      <fill>
        <patternFill patternType="solid">
          <fgColor indexed="64"/>
          <bgColor rgb="FF1E9BD7"/>
        </patternFill>
      </fill>
      <alignment horizontal="left" vertical="bottom"/>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externalLink" Target="/xl/externalLinks/externalLink1.xml" Id="rId21"/><Relationship Type="http://schemas.openxmlformats.org/officeDocument/2006/relationships/externalLink" Target="/xl/externalLinks/externalLink2.xml" Id="rId22"/><Relationship Type="http://schemas.openxmlformats.org/officeDocument/2006/relationships/externalLink" Target="/xl/externalLinks/externalLink3.xml" Id="rId23"/><Relationship Type="http://schemas.openxmlformats.org/officeDocument/2006/relationships/externalLink" Target="/xl/externalLinks/externalLink4.xml" Id="rId24"/><Relationship Type="http://schemas.openxmlformats.org/officeDocument/2006/relationships/externalLink" Target="/xl/externalLinks/externalLink5.xml" Id="rId25"/><Relationship Type="http://schemas.openxmlformats.org/officeDocument/2006/relationships/externalLink" Target="/xl/externalLinks/externalLink6.xml" Id="rId26"/><Relationship Type="http://schemas.openxmlformats.org/officeDocument/2006/relationships/externalLink" Target="/xl/externalLinks/externalLink7.xml" Id="rId27"/><Relationship Type="http://schemas.openxmlformats.org/officeDocument/2006/relationships/externalLink" Target="/xl/externalLinks/externalLink8.xml" Id="rId28"/><Relationship Type="http://schemas.openxmlformats.org/officeDocument/2006/relationships/externalLink" Target="/xl/externalLinks/externalLink9.xml" Id="rId29"/><Relationship Type="http://schemas.openxmlformats.org/officeDocument/2006/relationships/externalLink" Target="/xl/externalLinks/externalLink10.xml" Id="rId30"/><Relationship Type="http://schemas.openxmlformats.org/officeDocument/2006/relationships/externalLink" Target="/xl/externalLinks/externalLink11.xml" Id="rId31"/><Relationship Type="http://schemas.openxmlformats.org/officeDocument/2006/relationships/externalLink" Target="/xl/externalLinks/externalLink12.xml" Id="rId32"/><Relationship Type="http://schemas.openxmlformats.org/officeDocument/2006/relationships/externalLink" Target="/xl/externalLinks/externalLink13.xml" Id="rId33"/><Relationship Type="http://schemas.openxmlformats.org/officeDocument/2006/relationships/externalLink" Target="/xl/externalLinks/externalLink14.xml" Id="rId34"/><Relationship Type="http://schemas.openxmlformats.org/officeDocument/2006/relationships/externalLink" Target="/xl/externalLinks/externalLink15.xml" Id="rId35"/><Relationship Type="http://schemas.openxmlformats.org/officeDocument/2006/relationships/externalLink" Target="/xl/externalLinks/externalLink16.xml" Id="rId36"/><Relationship Type="http://schemas.openxmlformats.org/officeDocument/2006/relationships/externalLink" Target="/xl/externalLinks/externalLink17.xml" Id="rId37"/><Relationship Type="http://schemas.openxmlformats.org/officeDocument/2006/relationships/externalLink" Target="/xl/externalLinks/externalLink18.xml" Id="rId38"/><Relationship Type="http://schemas.openxmlformats.org/officeDocument/2006/relationships/externalLink" Target="/xl/externalLinks/externalLink19.xml" Id="rId39"/><Relationship Type="http://schemas.openxmlformats.org/officeDocument/2006/relationships/externalLink" Target="/xl/externalLinks/externalLink20.xml" Id="rId40"/><Relationship Type="http://schemas.openxmlformats.org/officeDocument/2006/relationships/externalLink" Target="/xl/externalLinks/externalLink21.xml" Id="rId41"/><Relationship Type="http://schemas.openxmlformats.org/officeDocument/2006/relationships/externalLink" Target="/xl/externalLinks/externalLink22.xml" Id="rId42"/><Relationship Type="http://schemas.openxmlformats.org/officeDocument/2006/relationships/styles" Target="styles.xml" Id="rId43"/><Relationship Type="http://schemas.openxmlformats.org/officeDocument/2006/relationships/theme" Target="theme/theme1.xml" Id="rId44"/></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marker val="1"/>
        <smooth val="0"/>
        <axId val="79948032"/>
        <axId val="80027648"/>
      </lineChart>
      <lineChart>
        <grouping val="standard"/>
        <varyColors val="0"/>
        <ser>
          <idx val="1"/>
          <order val="1"/>
          <tx>
            <strRef>
              <f>bands_A!$V$34:$V$35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0035840"/>
        <axId val="80029568"/>
      </lineChart>
      <dateAx>
        <axId val="79948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027648"/>
        <crosses val="autoZero"/>
        <lblOffset val="100"/>
        <baseTimeUnit val="days"/>
        <majorUnit val="1"/>
        <majorTimeUnit val="years"/>
      </dateAx>
      <valAx>
        <axId val="80027648"/>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79948032"/>
        <crosses val="autoZero"/>
        <crossBetween val="between"/>
      </valAx>
      <dateAx>
        <axId val="80035840"/>
        <scaling>
          <orientation val="minMax"/>
        </scaling>
        <delete val="1"/>
        <axPos val="b"/>
        <numFmt formatCode="m/d/yy" sourceLinked="1"/>
        <majorTickMark val="out"/>
        <minorTickMark val="none"/>
        <crossAx val="80029568"/>
        <crosses val="autoZero"/>
        <lblOffset val="100"/>
        <baseTimeUnit val="days"/>
      </dateAx>
      <valAx>
        <axId val="80029568"/>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0035840"/>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091392"/>
        <axId val="80101376"/>
      </lineChart>
      <dateAx>
        <axId val="800913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01376"/>
        <crosses val="autoZero"/>
        <lblOffset val="100"/>
        <baseTimeUnit val="days"/>
        <majorUnit val="1"/>
        <majorTimeUnit val="years"/>
      </dateAx>
      <valAx>
        <axId val="80101376"/>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09139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140928"/>
        <axId val="80142720"/>
      </lineChart>
      <dateAx>
        <axId val="8014092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42720"/>
        <crosses val="autoZero"/>
        <lblOffset val="100"/>
        <baseTimeUnit val="days"/>
        <majorUnit val="1"/>
        <majorTimeUnit val="years"/>
      </dateAx>
      <valAx>
        <axId val="80142720"/>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140928"/>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325632"/>
        <axId val="80331520"/>
      </lineChart>
      <dateAx>
        <axId val="803256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331520"/>
        <crosses val="autoZero"/>
        <lblOffset val="100"/>
        <baseTimeUnit val="days"/>
        <majorUnit val="1"/>
        <majorTimeUnit val="years"/>
      </dateAx>
      <valAx>
        <axId val="80331520"/>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3256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1"/>
          <order val="1"/>
          <tx>
            <strRef>
              <f>bands_A!$BJ$34:$BJ$35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2"/>
          <order val="2"/>
          <tx>
            <strRef>
              <f>bands_A!$BK$34:$BK$35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3"/>
          <order val="3"/>
          <tx>
            <strRef>
              <f>bands_A!$BL$34:$BL$35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4"/>
          <order val="4"/>
          <tx>
            <strRef>
              <f>bands_A!$BM$34:$BM$35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5"/>
          <order val="5"/>
          <tx>
            <strRef>
              <f>bands_A!$BN$34:$BN$35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dLbls>
          <showLegendKey val="0"/>
          <showVal val="0"/>
          <showCatName val="0"/>
          <showSerName val="0"/>
          <showPercent val="0"/>
          <showBubbleSize val="0"/>
        </dLbls>
        <smooth val="0"/>
        <axId val="80588160"/>
        <axId val="80589952"/>
      </lineChart>
      <dateAx>
        <axId val="8058816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589952"/>
        <crosses val="autoZero"/>
        <lblOffset val="100"/>
        <baseTimeUnit val="days"/>
        <majorUnit val="12"/>
      </dateAx>
      <valAx>
        <axId val="80589952"/>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0588160"/>
        <crosses val="autoZero"/>
        <crossBetween val="between"/>
      </valAx>
    </plotArea>
    <legend>
      <legendPos val="b"/>
      <layout>
        <manualLayout>
          <xMode val="edge"/>
          <yMode val="edge"/>
          <wMode val="factor"/>
          <hMode val="factor"/>
          <x val="0.02080426883576505"/>
          <y val="0.9082970502433017"/>
          <w val="0.9500497873201346"/>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0879616"/>
        <axId val="80881152"/>
      </lineChart>
      <dateAx>
        <axId val="8087961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881152"/>
        <crosses val="autoZero"/>
        <lblOffset val="100"/>
        <baseTimeUnit val="days"/>
        <majorUnit val="13"/>
        <majorTimeUnit val="months"/>
      </dateAx>
      <valAx>
        <axId val="80881152"/>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0879616"/>
        <crosses val="autoZero"/>
        <crossBetween val="between"/>
      </valAx>
    </plotArea>
    <legend>
      <legendPos val="b"/>
      <layout>
        <manualLayout>
          <xMode val="edge"/>
          <yMode val="edge"/>
          <wMode val="factor"/>
          <hMode val="factor"/>
          <x val="0.05000013136496077"/>
          <y val="0.9134476396972118"/>
          <w val="0.9250247622951089"/>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002496"/>
        <axId val="81004032"/>
      </lineChart>
      <dateAx>
        <axId val="8100249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004032"/>
        <crosses val="autoZero"/>
        <lblOffset val="100"/>
        <baseTimeUnit val="days"/>
        <majorUnit val="13"/>
        <majorTimeUnit val="months"/>
      </dateAx>
      <valAx>
        <axId val="81004032"/>
        <scaling>
          <orientation val="minMax"/>
          <max val="2.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1002496"/>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158144"/>
        <axId val="81159680"/>
      </lineChart>
      <dateAx>
        <axId val="8115814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159680"/>
        <crosses val="autoZero"/>
        <lblOffset val="100"/>
        <baseTimeUnit val="days"/>
        <majorUnit val="13"/>
        <majorTimeUnit val="months"/>
      </dateAx>
      <valAx>
        <axId val="81159680"/>
        <scaling>
          <orientation val="minMax"/>
          <max val="23"/>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1158144"/>
        <crosses val="autoZero"/>
        <crossBetween val="between"/>
      </valAx>
    </plotArea>
    <legend>
      <legendPos val="b"/>
      <layout>
        <manualLayout>
          <xMode val="edge"/>
          <yMode val="edge"/>
          <wMode val="factor"/>
          <hMode val="factor"/>
          <x val="0.02080426883576505"/>
          <y val="0.9108723449702486"/>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444864"/>
        <axId val="81446400"/>
      </lineChart>
      <dateAx>
        <axId val="8144486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446400"/>
        <crosses val="autoZero"/>
        <lblOffset val="100"/>
        <baseTimeUnit val="days"/>
        <majorUnit val="1"/>
        <majorTimeUnit val="years"/>
      </dateAx>
      <valAx>
        <axId val="81446400"/>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44486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625472"/>
        <axId val="81627008"/>
      </lineChart>
      <dateAx>
        <axId val="8162547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627008"/>
        <crosses val="autoZero"/>
        <lblOffset val="100"/>
        <baseTimeUnit val="days"/>
        <majorUnit val="1"/>
        <majorTimeUnit val="years"/>
      </dateAx>
      <valAx>
        <axId val="8162700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62547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835136"/>
        <axId val="81836672"/>
      </lineChart>
      <dateAx>
        <axId val="8183513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836672"/>
        <crosses val="autoZero"/>
        <lblOffset val="100"/>
        <baseTimeUnit val="days"/>
        <majorUnit val="1"/>
        <majorTimeUnit val="years"/>
      </dateAx>
      <valAx>
        <axId val="81836672"/>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835136"/>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'bands_A-H_Avg'!$U$34:$U$35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marker val="1"/>
        <smooth val="0"/>
        <axId val="83864192"/>
        <axId val="83865984"/>
      </lineChart>
      <lineChart>
        <grouping val="standard"/>
        <varyColors val="0"/>
        <ser>
          <idx val="1"/>
          <order val="1"/>
          <tx>
            <strRef>
              <f>'bands_A-H_Avg'!$V$34:$V$35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3882368"/>
        <axId val="83867904"/>
      </lineChart>
      <dateAx>
        <axId val="838641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3865984"/>
        <crosses val="autoZero"/>
        <lblOffset val="100"/>
        <baseTimeUnit val="days"/>
        <majorUnit val="1"/>
        <majorTimeUnit val="years"/>
      </dateAx>
      <valAx>
        <axId val="83865984"/>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83864192"/>
        <crosses val="autoZero"/>
        <crossBetween val="between"/>
      </valAx>
      <dateAx>
        <axId val="83882368"/>
        <scaling>
          <orientation val="minMax"/>
        </scaling>
        <delete val="1"/>
        <axPos val="b"/>
        <numFmt formatCode="m/d/yy" sourceLinked="1"/>
        <majorTickMark val="out"/>
        <minorTickMark val="none"/>
        <crossAx val="83867904"/>
        <crosses val="autoZero"/>
        <lblOffset val="100"/>
        <baseTimeUnit val="days"/>
      </dateAx>
      <valAx>
        <axId val="83867904"/>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3882368"/>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4265600"/>
        <axId val="84271488"/>
      </lineChart>
      <dateAx>
        <axId val="8426560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271488"/>
        <crosses val="autoZero"/>
        <lblOffset val="100"/>
        <baseTimeUnit val="days"/>
        <majorUnit val="1"/>
        <majorTimeUnit val="years"/>
      </dateAx>
      <valAx>
        <axId val="842714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426560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'bands_A-H_Avg'!$AS$34:$AS$35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1999104"/>
        <axId val="462000896"/>
      </lineChart>
      <dateAx>
        <axId val="46199910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000896"/>
        <crosses val="autoZero"/>
        <lblOffset val="100"/>
        <baseTimeUnit val="days"/>
        <majorUnit val="1"/>
        <majorTimeUnit val="years"/>
      </dateAx>
      <valAx>
        <axId val="462000896"/>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199910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'bands_A-H_Avg'!$BA$34:$BA$35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2978432"/>
        <axId val="462980224"/>
      </lineChart>
      <dateAx>
        <axId val="4629784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980224"/>
        <crosses val="autoZero"/>
        <lblOffset val="100"/>
        <baseTimeUnit val="days"/>
        <majorUnit val="1"/>
        <majorTimeUnit val="years"/>
      </dateAx>
      <valAx>
        <axId val="462980224"/>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29784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'bands_A-H_Avg'!$BI$34:$BI$35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1"/>
          <order val="1"/>
          <tx>
            <strRef>
              <f>'bands_A-H_Avg'!$BJ$34:$BJ$35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2"/>
          <order val="2"/>
          <tx>
            <strRef>
              <f>'bands_A-H_Avg'!$BK$34:$BK$35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3"/>
          <order val="3"/>
          <tx>
            <strRef>
              <f>'bands_A-H_Avg'!$BL$34:$BL$35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4"/>
          <order val="4"/>
          <tx>
            <strRef>
              <f>'bands_A-H_Avg'!$BM$34:$BM$35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5"/>
          <order val="5"/>
          <tx>
            <strRef>
              <f>'bands_A-H_Avg'!$BN$34:$BN$35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dLbls>
          <showLegendKey val="0"/>
          <showVal val="0"/>
          <showCatName val="0"/>
          <showSerName val="0"/>
          <showPercent val="0"/>
          <showBubbleSize val="0"/>
        </dLbls>
        <smooth val="0"/>
        <axId val="84307968"/>
        <axId val="84309504"/>
      </lineChart>
      <dateAx>
        <axId val="8430796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309504"/>
        <crosses val="autoZero"/>
        <lblOffset val="100"/>
        <baseTimeUnit val="days"/>
        <majorUnit val="12"/>
      </dateAx>
      <valAx>
        <axId val="84309504"/>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4307968"/>
        <crosses val="autoZero"/>
        <crossBetween val="between"/>
      </valAx>
    </plotArea>
    <legend>
      <legendPos val="b"/>
      <layout>
        <manualLayout>
          <xMode val="edge"/>
          <yMode val="edge"/>
          <wMode val="factor"/>
          <hMode val="factor"/>
          <x val="0.02080426883576505"/>
          <y val="0.9082970502433017"/>
          <w val="0.9500497873201343"/>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1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'bands_A-H_Avg'!$BQ$34:$BQ$35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356288"/>
        <axId val="463357824"/>
      </lineChart>
      <dateAx>
        <axId val="46335628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357824"/>
        <crosses val="autoZero"/>
        <lblOffset val="100"/>
        <baseTimeUnit val="days"/>
        <majorUnit val="13"/>
        <majorTimeUnit val="months"/>
      </dateAx>
      <valAx>
        <axId val="463357824"/>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356288"/>
        <crosses val="autoZero"/>
        <crossBetween val="between"/>
      </valAx>
    </plotArea>
    <legend>
      <legendPos val="b"/>
      <layout>
        <manualLayout>
          <xMode val="edge"/>
          <yMode val="edge"/>
          <wMode val="factor"/>
          <hMode val="factor"/>
          <x val="0.05000013136496077"/>
          <y val="0.9134476396972118"/>
          <w val="0.9250247622951087"/>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1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'bands_A-H_Avg'!$BY$34:$BY$35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516032"/>
        <axId val="463517568"/>
      </lineChart>
      <dateAx>
        <axId val="463516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517568"/>
        <crosses val="autoZero"/>
        <lblOffset val="100"/>
        <baseTimeUnit val="days"/>
        <majorUnit val="13"/>
        <majorTimeUnit val="months"/>
      </dateAx>
      <valAx>
        <axId val="463517568"/>
        <scaling>
          <orientation val="minMax"/>
          <max val="1.6"/>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463516032"/>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1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'bands_A-H_Avg'!$CG$34:$CG$35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905152"/>
        <axId val="463906688"/>
      </lineChart>
      <dateAx>
        <axId val="4639051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906688"/>
        <crosses val="autoZero"/>
        <lblOffset val="100"/>
        <baseTimeUnit val="days"/>
        <majorUnit val="13"/>
        <majorTimeUnit val="months"/>
      </dateAx>
      <valAx>
        <axId val="463906688"/>
        <scaling>
          <orientation val="minMax"/>
          <max val="18"/>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905152"/>
        <crosses val="autoZero"/>
        <crossBetween val="between"/>
      </valAx>
    </plotArea>
    <legend>
      <legendPos val="b"/>
      <layout>
        <manualLayout>
          <xMode val="edge"/>
          <yMode val="edge"/>
          <wMode val="factor"/>
          <hMode val="factor"/>
          <x val="0.02080426883576505"/>
          <y val="0.910872344970249"/>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2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462912"/>
        <axId val="541464448"/>
      </lineChart>
      <dateAx>
        <axId val="54146291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464448"/>
        <crosses val="autoZero"/>
        <lblOffset val="100"/>
        <baseTimeUnit val="days"/>
        <majorUnit val="1"/>
        <majorTimeUnit val="years"/>
      </dateAx>
      <valAx>
        <axId val="541464448"/>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46291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508352"/>
        <axId val="541509888"/>
      </lineChart>
      <dateAx>
        <axId val="5415083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509888"/>
        <crosses val="autoZero"/>
        <lblOffset val="100"/>
        <baseTimeUnit val="days"/>
        <majorUnit val="1"/>
        <majorTimeUnit val="years"/>
      </dateAx>
      <valAx>
        <axId val="5415098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50835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'bands_A-H_Avg'!$AC$34:$AC$35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52568320"/>
        <axId val="552569856"/>
      </lineChart>
      <dateAx>
        <axId val="55256832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52569856"/>
        <crosses val="autoZero"/>
        <lblOffset val="100"/>
        <baseTimeUnit val="days"/>
        <majorUnit val="1"/>
        <majorTimeUnit val="years"/>
      </dateAx>
      <valAx>
        <axId val="552569856"/>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5256832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omments/comment1.xml><?xml version="1.0" encoding="utf-8"?>
<comments xmlns="http://schemas.openxmlformats.org/spreadsheetml/2006/main">
  <authors>
    <author>Wang, Dien</author>
  </authors>
  <commentList>
    <comment ref="M30" authorId="0" shapeId="0">
      <text>
        <t>Wang, Dien:
 55,921,562 and
52,542,466 shares issued and outstanding, respectively, at March 31, 2022;
55,967,254 and
50,206,255 shares issued and outstanding, respectively, at June 30, 2022
 55,974,063 and
49,393,642 shares issued and outstanding, respectively, at September 30, 2022;
56,017,672 and
48,138,257 shares issued and outstanding, respectively, at December 31, 2022
56,183,735 and
47,305,551 shares issued and outstanding, respectively, at March 31, 2023;
56,242,504 and
47,364,320 shares issued and outstanding, respectively, at June 30, 2023
56,317,438 and
46,320,671 shares issued and outstanding, respectively, at December 31, 2023;
56,521,438 and
45,566,746 shares issued and outstanding, respectively, at March 31, 2024;</t>
      </text>
    </comment>
  </commentList>
</comments>
</file>

<file path=xl/comments/comment2.xml><?xml version="1.0" encoding="utf-8"?>
<comments xmlns="http://schemas.openxmlformats.org/spreadsheetml/2006/main">
  <authors>
    <author>tc={A440F06A-2771-44B9-8F5F-988AACC781B3}</author>
    <author>Cheng, Dennis</author>
    <author>Tang, Cathy</author>
    <author>Wang, Dien</author>
  </authors>
  <commentList>
    <comment ref="BS29" authorId="0" shapeId="0">
      <text>
        <t>[Threaded comment]
Your version of Excel allows you to read this threaded comment; however, any edits to it will get removed if the file is opened in a newer version of Excel. Learn more: https://go.microsoft.com/fwlink/?linkid=870924
Comment:
    Guidance 0.3-0.6</t>
      </text>
    </comment>
    <comment ref="AW30" authorId="1" shapeId="0">
      <text>
        <t>Cheng, Dennis:
guidance 1.30-1.50</t>
      </text>
    </comment>
    <comment ref="AY30" authorId="1" shapeId="0">
      <text>
        <t>Cheng, Dennis:
guidance: 1.25-1.55</t>
      </text>
    </comment>
    <comment ref="BA30" authorId="1" shapeId="0">
      <text>
        <t>Cheng, Dennis:
guidance 0.55-0.95</t>
      </text>
    </comment>
    <comment ref="BB30" authorId="1" shapeId="0">
      <text>
        <t>Cheng, Dennis:
guidance 0.55-0.95</t>
      </text>
    </comment>
    <comment ref="BC30" authorId="2" shapeId="0">
      <text>
        <t>Tang, Cathy:
guidance 0.4-0.7</t>
      </text>
    </comment>
    <comment ref="BE30" authorId="3" shapeId="0">
      <text>
        <t>Wang, Dien:
IPG anticipates delivering earnings per diluted share in the range of $0.75 to $1.05</t>
      </text>
    </comment>
    <comment ref="BH30" authorId="3" shapeId="0">
      <text>
        <t>Wang, Dien:
IPG anticipates delivering earnings per diluted share in the range of $1.10 to $1.40</t>
      </text>
    </comment>
    <comment ref="BI30" authorId="3" shapeId="0">
      <text>
        <t>Wang, Dien:
IPG anticipates delivering earnings per diluted share in the range of $1 to
$1.30 with approximately 54 million diluted shares outstanding.</t>
      </text>
    </comment>
    <comment ref="BM30" authorId="3" shapeId="0">
      <text>
        <t>Wang, Dien:
guidance 0.70-1.00</t>
      </text>
    </comment>
    <comment ref="AN50" authorId="1" shapeId="0">
      <text>
        <t>Cheng, Dennis:
deferred income taxes is moved to non-current in later reports</t>
      </text>
    </comment>
    <comment ref="AJ62" authorId="1" shapeId="0">
      <text>
        <t>Cheng, Dennis
Revolving line-of-credit facilities + Deferred income taxes, net</t>
      </text>
    </comment>
    <comment ref="AN63" authorId="1" shapeId="0">
      <text>
        <t>Cheng, Dennis:
deferred income tax moved to non-current liablilities in later reports</t>
      </text>
    </comment>
    <comment ref="T64" authorId="1" shapeId="0">
      <text>
        <t>Cheng, Dennis:
incl. REDEEMABLE NONCONTROLLING INTERESTS</t>
      </text>
    </comment>
    <comment ref="U74" authorId="1" shapeId="0">
      <text>
        <t>Cheng, Dennis:
incl. redeemable non-controlling interests</t>
      </text>
    </comment>
    <comment ref="V74" authorId="1" shapeId="0">
      <text>
        <t>Cheng, Dennis:
incl. redeemable non-controlling interests</t>
      </text>
    </comment>
    <comment ref="A95" authorId="1" shapeId="0">
      <text>
        <t>Cheng, Dennis:
incl. deferred income taxes, stock-based compensation, unrealized losses on FX, and other</t>
      </text>
    </comment>
    <comment ref="A101" authorId="1" shapeId="0">
      <text>
        <t>Cheng, Dennis:
incl. accrued expenses, income and other taxs payable, tax benefit from exercise of employee stock options</t>
      </text>
    </comment>
  </commentList>
</comments>
</file>

<file path=xl/comments/comment3.xml><?xml version="1.0" encoding="utf-8"?>
<comments xmlns="http://schemas.openxmlformats.org/spreadsheetml/2006/main">
  <authors>
    <author>Wang, Dien</author>
    <author>tc={7599BF15-3B96-447D-87B0-95A3214F5D27}</author>
    <author>Cheng, Dennis</author>
    <author>tc={30FCCDA2-B80F-4570-AEA2-DCBCABAD0149}</author>
    <author>tc={C4CABE37-46CB-470A-A398-08AC0E120EC5}</author>
    <author>tc={7DC41291-2B01-4BDD-B047-92688043CC97}</author>
    <author>tc={B5200774-0F5C-4F7C-B710-A1B38E53E26E}</author>
    <author>tc={724ABE78-CF67-40A9-93EF-5867F1DDFC30}</author>
    <author>tc={F019F024-C087-44E4-9658-46C16E5D4D25}</author>
  </authors>
  <commentList>
    <comment ref="BH20" authorId="0" shapeId="0">
      <text>
        <t>Wang, Dien:
For the third quarter of 2021, IPG expects revenue of $350 to $380 million.</t>
      </text>
    </comment>
    <comment ref="BI20" authorId="0" shapeId="0">
      <text>
        <t>Wang, Dien:
For the fourth quarter of 2021, IPG expects revenue of $330 million to $360 million.</t>
      </text>
    </comment>
    <comment ref="BK20" authorId="0" shapeId="0">
      <text>
        <t>Wang, Dien:
guidance $355M - $385M</t>
      </text>
    </comment>
    <comment ref="BL20" authorId="0" shapeId="0">
      <text>
        <t>Wang, Dien:
guidance $350M - $380M 
consensus 374.7
FX is expected to have a
negative impact on revenue in
Q3</t>
      </text>
    </comment>
    <comment ref="BM20" authorId="0" shapeId="0">
      <text>
        <t>Wang, Dien:
guidance $300M - $330M 
FX is expected to have a
negative impact on revenue in
Q4</t>
      </text>
    </comment>
    <comment ref="BN20" authorId="0" shapeId="0">
      <text>
        <t>Wang, Dien:
Guidance $310M - $340M</t>
      </text>
    </comment>
    <comment ref="BO20" authorId="0" shapeId="0">
      <text>
        <t>Wang, Dien:
Guidance $325M - $355M</t>
      </text>
    </comment>
    <comment ref="BP20" authorId="0" shapeId="0">
      <text>
        <t>Wang, Dien:
Guidance $325M - $355M</t>
      </text>
    </comment>
    <comment ref="BS20" authorId="1" shapeId="0">
      <text>
        <t>[Threaded comment]
Your version of Excel allows you to read this threaded comment; however, any edits to it will get removed if the file is opened in a newer version of Excel. Learn more: https://go.microsoft.com/fwlink/?linkid=870924
Comment:
    Guidance USD 240-270 mn</t>
      </text>
    </comment>
    <comment ref="AT23" authorId="2" shapeId="0">
      <text>
        <t>Cheng, Dennis:
1Q18 guide: 15%-24%</t>
      </text>
    </comment>
    <comment ref="BK65" authorId="0" shapeId="0">
      <text>
        <t xml:space="preserve">Wang, Dien:
guidance 44% - 46%
</t>
      </text>
    </comment>
    <comment ref="BL65" authorId="0" shapeId="0">
      <text>
        <t>Wang, Dien:
guidance 44% - 46%</t>
      </text>
    </comment>
    <comment ref="BM65" authorId="0" shapeId="0">
      <text>
        <t>Wang, Dien:
guidance 42% - 44%</t>
      </text>
    </comment>
    <comment ref="BN65" authorId="0" shapeId="0">
      <text>
        <t>Wang, Dien:
guidance 41% - 43%</t>
      </text>
    </comment>
    <comment ref="BO65" authorId="0" shapeId="0">
      <text>
        <t>Wang, Dien:
Guidance: 41.5% - 43.5%</t>
      </text>
    </comment>
    <comment ref="BP65" authorId="0" shapeId="0">
      <text>
        <t>Wang, Dien:
Guidance: 41.5% - 43.5%</t>
      </text>
    </comment>
    <comment ref="BS65" authorId="3" shapeId="0">
      <text>
        <t>[Threaded comment]
Your version of Excel allows you to read this threaded comment; however, any edits to it will get removed if the file is opened in a newer version of Excel. Learn more: https://go.microsoft.com/fwlink/?linkid=870924
Comment:
    Guidance 37%-40%</t>
      </text>
    </comment>
    <comment ref="BG73" authorId="0" shapeId="0">
      <text>
        <t>Wang, Dien:
IPG expects total operating
expenses to be in the range of $82 and $84 million</t>
      </text>
    </comment>
    <comment ref="BK82" authorId="0" shapeId="0">
      <text>
        <t>Wang, Dien:
guidance $85M - $87M</t>
      </text>
    </comment>
    <comment ref="BM82" authorId="0" shapeId="0">
      <text>
        <t>Wang, Dien:
guidance 77M-79M</t>
      </text>
    </comment>
    <comment ref="BN82" authorId="0" shapeId="0">
      <text>
        <t>Wang, Dien:
guidance $76M - $78M</t>
      </text>
    </comment>
    <comment ref="BO82" authorId="0" shapeId="0">
      <text>
        <t>Wang, Dien:
Guidance: $76M - $78M</t>
      </text>
    </comment>
    <comment ref="BP82" authorId="0" shapeId="0">
      <text>
        <t>Wang, Dien:
Guidance: $76M - $78M</t>
      </text>
    </comment>
    <comment ref="BR82" authorId="4" shapeId="0">
      <text>
        <t>[Threaded comment]
Your version of Excel allows you to read this threaded comment; however, any edits to it will get removed if the file is opened in a newer version of Excel. Learn more: https://go.microsoft.com/fwlink/?linkid=870924
Comment:
    Guidance 80-83 mn</t>
      </text>
    </comment>
    <comment ref="BS82" authorId="5" shapeId="0">
      <text>
        <t>[Threaded comment]
Your version of Excel allows you to read this threaded comment; however, any edits to it will get removed if the file is opened in a newer version of Excel. Learn more: https://go.microsoft.com/fwlink/?linkid=870924
Comment:
    Guidance 82-85 mn</t>
      </text>
    </comment>
    <comment ref="AT89" authorId="2" shapeId="0">
      <text>
        <t>Cheng, Dennis:
Guidance: OpEX is slightly higher than 16.5%.
IPG is trying to develop new markets, so OpEx will be slightly higher over the years. (Earnings call page 12)</t>
      </text>
    </comment>
    <comment ref="BE94" authorId="0" shapeId="0">
      <text>
        <t>Wang, Dien:
Previous: 0.5%</t>
      </text>
    </comment>
    <comment ref="AT102" authorId="2" shapeId="0">
      <text>
        <t>Cheng, Dennis:
https://www.investopedia.com/news/trumps-tax-reform-what-can-be-done/</t>
      </text>
    </comment>
    <comment ref="AV102" authorId="2" shapeId="0">
      <text>
        <t>Cheng, Dennis:
guidance 26
2Q transcipt, line2, page 5</t>
      </text>
    </comment>
    <comment ref="BG102" authorId="0" shapeId="0">
      <text>
        <t xml:space="preserve">Wang, Dien:
</t>
      </text>
    </comment>
    <comment ref="BH102" authorId="0" shapeId="0">
      <text>
        <t>Wang, Dien:
The Company expects the  tax rate
to be approximately 25%.</t>
      </text>
    </comment>
    <comment ref="BK102" authorId="0" shapeId="0">
      <text>
        <t>Wang, Dien:
guidance ~26%</t>
      </text>
    </comment>
    <comment ref="BM102" authorId="0" shapeId="0">
      <text>
        <t>Wang, Dien:
guidance ~25%</t>
      </text>
    </comment>
    <comment ref="BS102" authorId="6" shapeId="0">
      <text>
        <t>[Threaded comment]
Your version of Excel allows you to read this threaded comment; however, any edits to it will get removed if the file is opened in a newer version of Excel. Learn more: https://go.microsoft.com/fwlink/?linkid=870924
Comment:
    Guidance 25%</t>
      </text>
    </comment>
    <comment ref="AT177" authorId="2" shapeId="0">
      <text>
        <t>Cheng, Dennis:
guidance: 170m-190m</t>
      </text>
    </comment>
    <comment ref="A178" authorId="2" shapeId="0">
      <text>
        <t>Cheng, Dennis:
D&amp;A for simplification</t>
      </text>
    </comment>
    <comment ref="BR187" authorId="7" shapeId="0">
      <text>
        <t>[Threaded comment]
Your version of Excel allows you to read this threaded comment; however, any edits to it will get removed if the file is opened in a newer version of Excel. Learn more: https://go.microsoft.com/fwlink/?linkid=870924
Comment:
    Actual capital expenditures were 28mn, but gain in sales of two buildings 25mn</t>
      </text>
    </comment>
    <comment ref="BU188" authorId="8" shapeId="0">
      <text>
        <t>[Threaded comment]
Your version of Excel allows you to read this threaded comment; however, any edits to it will get removed if the file is opened in a newer version of Excel. Learn more: https://go.microsoft.com/fwlink/?linkid=870924
Comment:
    Guidance: Capex USD 120-130 mn
Reply:
    1Q24 selling 2 buildings, proceed USD 25mn, thus lower net CAPEX to USD 95mn to 115mn in 2024</t>
      </text>
    </comment>
    <comment ref="A230" authorId="2" shapeId="0">
      <text>
        <t>Cheng, Dennis:
IPG does not declare cash dividend
(2010 annual report)
We have never declared or paid any cash dividends on our capital stock. We anticipate that we will retain any future earnings to support operations and to finance the growth and development of our business. Therefore, we do not expect to pay cash dividends in the foreseeable future.</t>
      </text>
    </comment>
    <comment ref="BL232" authorId="0" shapeId="0">
      <text>
        <t>Wang, Dien:
guidance Diluted common shares ~51M</t>
      </text>
    </comment>
    <comment ref="BL237" authorId="0" shapeId="0">
      <text>
        <t>Wang, Dien:
guidance Diluted common shares ~51M</t>
      </text>
    </comment>
  </commentList>
</comments>
</file>

<file path=xl/comments/comment4.xml><?xml version="1.0" encoding="utf-8"?>
<comments xmlns="http://schemas.openxmlformats.org/spreadsheetml/2006/main">
  <authors>
    <author>Cheng, Dennis</author>
    <author>Wang, Dien</author>
    <author>tc={ECB28479-CBF3-4E03-83E7-B24C9D8A224C}</author>
    <author>Tang, Cathy</author>
    <author>tc={0E352367-9928-47D7-B773-01438EAFEA19}</author>
  </authors>
  <commentList>
    <comment ref="AT12" authorId="0" shapeId="0">
      <text>
        <t>Cheng, Dennis:
IPG 20180Q1 excel workbook</t>
      </text>
    </comment>
    <comment ref="AB22" authorId="0" shapeId="0">
      <text>
        <t xml:space="preserve">Cheng, Dennis
old numbers replaced with data from IPG 2018Q1 workbook
</t>
      </text>
    </comment>
    <comment ref="AB23" authorId="0" shapeId="0">
      <text>
        <t xml:space="preserve">Cheng, Dennis:
old numbers replaced with data from IPG 2018Q1 workbook
</t>
      </text>
    </comment>
    <comment ref="BA85" authorId="0" shapeId="0">
      <text>
        <t>Cheng, Dennis:
incl. goodwill impairment 37,120 AND impairment of long-lived assets and other restructuring charges 7,130</t>
      </text>
    </comment>
    <comment ref="BC85" authorId="1" shapeId="0">
      <text>
        <t>Wang, Dien:
impairment of long-lived assets and other restructuring charges 1,165</t>
      </text>
    </comment>
    <comment ref="BD85" authorId="1" shapeId="0">
      <text>
        <t>Wang, Dien:
Impairment of long-lived assets and other restructuring charges 1177
Goodwill impairment 44589
Loss (gain) on foreign exchange -18101</t>
      </text>
    </comment>
    <comment ref="BE85" authorId="1" shapeId="0">
      <text>
        <t xml:space="preserve">Wang, Dien:
Goodwill impairment 44,589  + Impairment of long-lived assets and other restructuring charges 1,177 </t>
      </text>
    </comment>
    <comment ref="BL85" authorId="1" shapeId="0">
      <text>
        <t>Wang, Dien:
Gain on divestiture
Impairment of long-lived assets and other restructuring
charges</t>
      </text>
    </comment>
    <comment ref="BM85" authorId="1" shapeId="0">
      <text>
        <t>Wang, Dien:
Gain on divestiture
Impairment of long-lived assets and other restructuring
charges
Other restructuring charges</t>
      </text>
    </comment>
    <comment ref="BN85" authorId="1" shapeId="0">
      <text>
        <t xml:space="preserve">Wang, Dien:
+Other restructuring charges
</t>
      </text>
    </comment>
    <comment ref="BO85" authorId="1" shapeId="0">
      <text>
        <t xml:space="preserve">Wang, Dien:
+Other restructuring charges
</t>
      </text>
    </comment>
    <comment ref="BR85" authorId="2" shapeId="0">
      <text>
        <t>[Threaded comment]
Your version of Excel allows you to read this threaded comment; however, any edits to it will get removed if the file is opened in a newer version of Excel. Learn more: https://go.microsoft.com/fwlink/?linkid=870924
Comment:
    Incl. gain on sale of assets</t>
      </text>
    </comment>
    <comment ref="R104" authorId="0" shapeId="0">
      <text>
        <t>Cheng, Dennis:
incl. Change in cumulative translation adjustment attributable to NCI &amp; redeemable NCI</t>
      </text>
    </comment>
    <comment ref="AT107" authorId="0" shapeId="0">
      <text>
        <t>Cheng, Dennis:
Effect of adopted accounting standards</t>
      </text>
    </comment>
    <comment ref="V110" authorId="0" shapeId="0">
      <text>
        <t>Cheng, Dennis:
reported as -2765</t>
      </text>
    </comment>
    <comment ref="AN129" authorId="0" shapeId="0">
      <text>
        <t>Cheng, Dennis:
deferred income taxes is moved to non-current in later reports</t>
      </text>
    </comment>
    <comment ref="BB140" authorId="3" shapeId="0">
      <text>
        <t>Tang, Cathy:
incl. accured compension + customer deposites and deferred revenue + current portion of accrued warranty + other liabilities</t>
      </text>
    </comment>
    <comment ref="AJ142" authorId="0" shapeId="0">
      <text>
        <t>Cheng, Dennis
Revolving line-of-credit facilities + Deferred income taxes, net</t>
      </text>
    </comment>
    <comment ref="AN143" authorId="0" shapeId="0">
      <text>
        <t>Cheng, Dennis:
deferred income tax moved to non-current liablilities in later reports</t>
      </text>
    </comment>
    <comment ref="T144" authorId="0" shapeId="0">
      <text>
        <t>Cheng, Dennis:
incl. REDEEMABLE NONCONTROLLING INTERESTS</t>
      </text>
    </comment>
    <comment ref="U154" authorId="0" shapeId="0">
      <text>
        <t>Cheng, Dennis:
incl. redeemable non-controlling interests</t>
      </text>
    </comment>
    <comment ref="V154" authorId="0" shapeId="0">
      <text>
        <t>Cheng, Dennis:
incl. redeemable non-controlling interests</t>
      </text>
    </comment>
    <comment ref="BA177" authorId="0" shapeId="0">
      <text>
        <t>Cheng, Dennis:
incl. goodwill impairment 37,120 AND impairment of long-lived assets 5,350</t>
      </text>
    </comment>
    <comment ref="BC177" authorId="1" shapeId="0">
      <text>
        <t>Wang, Dien:
 impairment of long-lived assets 671</t>
      </text>
    </comment>
    <comment ref="BE177" authorId="0" shapeId="0">
      <text>
        <t>Cheng, Dennis:
incl. goodwill impairment 44589 AND impairment of long-lived assets 671</t>
      </text>
    </comment>
    <comment ref="BH177" authorId="1" shapeId="0">
      <text>
        <t>Wang, Dien:
Deferred income taxes+Stock-based compensation+Unrealized losses (gains) on foreign currency transactions+Other</t>
      </text>
    </comment>
    <comment ref="BL177" authorId="1" shapeId="0">
      <text>
        <t>Wang, Dien:
Deferred income taxes+Stock-based compensation+Unrealized losses (gains) on foreign currency transactions+Other+Gain on divestiture+Impairment of long-lived assets and other restructuring charges</t>
      </text>
    </comment>
    <comment ref="BM177" authorId="1" shapeId="0">
      <text>
        <t>Wang, Dien:
Impairment of long-lived assets
Gain on divestiture and sale of asset</t>
      </text>
    </comment>
    <comment ref="BG180" authorId="1" shapeId="0">
      <text>
        <t>Wang, Dien:
Accounts receivable and accounts payable</t>
      </text>
    </comment>
    <comment ref="BH180" authorId="1" shapeId="0">
      <text>
        <t>Wang, Dien:
Accounts receivable and accounts payable</t>
      </text>
    </comment>
    <comment ref="BL180" authorId="1" shapeId="0">
      <text>
        <t>Wang, Dien:
Accounts receivable and accounts payable</t>
      </text>
    </comment>
    <comment ref="BG185" authorId="1" shapeId="0">
      <text>
        <t>Wang, Dien:
Others: Income and other taxes payable + Accrued expenses and other liabilities + Prepaid expenses and other current assets</t>
      </text>
    </comment>
    <comment ref="BH185" authorId="1" shapeId="0">
      <text>
        <t>Wang, Dien:
Others: Income and other taxes payable + Accrued expenses and other liabilities + Prepaid expenses and other current assets</t>
      </text>
    </comment>
    <comment ref="BK185" authorId="1" shapeId="0">
      <text>
        <t>Wang, Dien:
Others: Income and other taxes payable + Accrued expenses and other liabilities + Prepaid expenses and other current assets</t>
      </text>
    </comment>
    <comment ref="BL185" authorId="1" shapeId="0">
      <text>
        <t>Wang, Dien:
Others: Income and other taxes payable + Accrued expenses and other liabilities + Prepaid expenses and other current assets</t>
      </text>
    </comment>
    <comment ref="BO185" authorId="1" shapeId="0">
      <text>
        <t>Wang, Dien:
Others: Income and other taxes payable + Accrued expenses and other liabilities + Prepaid expenses and other current assets</t>
      </text>
    </comment>
    <comment ref="BP185" authorId="4" shapeId="0">
      <text>
        <t>[Threaded comment]
Your version of Excel allows you to read this threaded comment; however, any edits to it will get removed if the file is opened in a newer version of Excel. Learn more: https://go.microsoft.com/fwlink/?linkid=870924
Comment:
    others</t>
      </text>
    </comment>
    <comment ref="AY214" authorId="0" shapeId="0">
      <text>
        <t>Cheng, Dennis:
incl. restricted cash included in  other assets</t>
      </text>
    </comment>
    <comment ref="AY215" authorId="0" shapeId="0">
      <text>
        <t>Cheng, Dennis:
incl. restricted cash included in  other assets</t>
      </text>
    </comment>
    <comment ref="Q228" authorId="0" shapeId="0">
      <text>
        <t>Cheng, Dennis:
incl. Amounts related to acquisition of businesses included in accounts payable and accrued
expenses and other liabilities</t>
      </text>
    </comment>
    <comment ref="T228" authorId="0" shapeId="0">
      <text>
        <t>Cheng, Dennis:
incl. Change in fair value of warrant
&amp;
Amounts related to acquisition of businesses included in accounts payable and accrued expenses
and other long-term liabilities</t>
      </text>
    </comment>
    <comment ref="X228" authorId="0" shapeId="0">
      <text>
        <t>Cheng, Dennis:
Amounts related to acquisition of businesses included in accounts payable and accrued expenses
and other long-term liabilities</t>
      </text>
    </comment>
    <comment ref="AO267" authorId="0" shapeId="0">
      <text>
        <t>Cheng, Dennis:
2016 annual report page 77</t>
      </text>
    </comment>
  </commentList>
</comments>
</file>

<file path=xl/comments/comment5.xml><?xml version="1.0" encoding="utf-8"?>
<comments xmlns="http://schemas.openxmlformats.org/spreadsheetml/2006/main">
  <authors>
    <author>Jhuang5</author>
    <author>slin2</author>
    <author>Columbia University</author>
  </authors>
  <commentList>
    <comment ref="V17" authorId="0" shapeId="0">
      <text>
        <t>Jhuang5:
Coal-fired equipment only</t>
      </text>
    </comment>
    <comment ref="V47" authorId="0" shapeId="0">
      <text>
        <t>Jhuang5:
Elevator</t>
      </text>
    </comment>
    <comment ref="Q57" authorId="1" shapeId="0">
      <text>
        <t xml:space="preserve">slin2:
not mentioned by mgt. </t>
      </text>
    </comment>
    <comment ref="H60" authorId="0" shapeId="0">
      <text>
        <t>Jhuang5:
Estimate</t>
      </text>
    </comment>
    <comment ref="U61" authorId="0" shapeId="0">
      <text>
        <t>Jhuang5:
May be 2380</t>
      </text>
    </comment>
    <comment ref="Q63" authorId="1" shapeId="0">
      <text>
        <t>slin2:
incl. others</t>
      </text>
    </comment>
    <comment ref="A334" authorId="2" shapeId="0">
      <text>
        <t>from statement of equity</t>
      </text>
    </comment>
  </commentList>
</comments>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s>
</file>

<file path=xl/drawings/_rels/drawing2.xml.rels><Relationships xmlns="http://schemas.openxmlformats.org/package/2006/relationships"><Relationship Type="http://schemas.openxmlformats.org/officeDocument/2006/relationships/chart" Target="/xl/charts/chart12.xml" Id="rId1"/><Relationship Type="http://schemas.openxmlformats.org/officeDocument/2006/relationships/chart" Target="/xl/charts/chart13.xml" Id="rId2"/><Relationship Type="http://schemas.openxmlformats.org/officeDocument/2006/relationships/chart" Target="/xl/charts/chart14.xml" Id="rId3"/><Relationship Type="http://schemas.openxmlformats.org/officeDocument/2006/relationships/chart" Target="/xl/charts/chart15.xml" Id="rId4"/><Relationship Type="http://schemas.openxmlformats.org/officeDocument/2006/relationships/chart" Target="/xl/charts/chart16.xml" Id="rId5"/><Relationship Type="http://schemas.openxmlformats.org/officeDocument/2006/relationships/chart" Target="/xl/charts/chart17.xml" Id="rId6"/><Relationship Type="http://schemas.openxmlformats.org/officeDocument/2006/relationships/chart" Target="/xl/charts/chart18.xml" Id="rId7"/><Relationship Type="http://schemas.openxmlformats.org/officeDocument/2006/relationships/chart" Target="/xl/charts/chart19.xml" Id="rId8"/><Relationship Type="http://schemas.openxmlformats.org/officeDocument/2006/relationships/chart" Target="/xl/charts/chart20.xml" Id="rId9"/><Relationship Type="http://schemas.openxmlformats.org/officeDocument/2006/relationships/chart" Target="/xl/charts/chart21.xml" Id="rId10"/><Relationship Type="http://schemas.openxmlformats.org/officeDocument/2006/relationships/chart" Target="/xl/charts/chart22.xml" Id="rId11"/></Relationships>
</file>

<file path=xl/drawings/drawing1.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drawings/drawing2.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file:///C:/Users/Frank/Quarterly%20S&amp;A%20Reports/2003q1/1%20HISTSALES%20123101.xls" TargetMode="External" Id="rId1"/></Relationships>
</file>

<file path=xl/externalLinks/_rels/externalLink2.xml.rels><Relationships xmlns="http://schemas.openxmlformats.org/package/2006/relationships"><Relationship Type="http://schemas.openxmlformats.org/officeDocument/2006/relationships/externalLinkPath" Target="file:///C:/Documents%20and%20Settings/mvasar/Local%20Settings/Temporary%20Internet%20Files/OLK100E/FactSet%20formulas_M%20Vasarhelyi%20(11).xls" TargetMode="External" Id="rId1"/></Relationships>
</file>

<file path=xl/externalLinks/_rels/externalLink3.xml.rels><Relationships xmlns="http://schemas.openxmlformats.org/package/2006/relationships"><Relationship Type="http://schemas.openxmlformats.org/officeDocument/2006/relationships/externalLinkPath" Target="file:///S:/HKG_SSRES/Asian%20IT%20Hardware/Calls/20150908_Industrial%20Automation%20and%20Macro/Robot%20Market%20Data.xlsx" TargetMode="External" Id="rId1"/></Relationships>
</file>

<file path=xl/externalLinks/_rels/externalLink4.xml.rels><Relationships xmlns="http://schemas.openxmlformats.org/package/2006/relationships"><Relationship Type="http://schemas.openxmlformats.org/officeDocument/2006/relationships/externalLinkPath" Target="/NTR0102/TBuech/COMPT/123R31/BUDGET/2000/INC/exp2000310.xls" TargetMode="External" Id="rId1"/></Relationships>
</file>

<file path=xl/externalLinks/_rels/externalLink5.xml.rels><Relationships xmlns="http://schemas.openxmlformats.org/package/2006/relationships"><Relationship Type="http://schemas.openxmlformats.org/officeDocument/2006/relationships/externalLinkPath" Target="/NTS0016/RSCH1/AATECH/VALUATIO/NEW/MKTCAP/VZ6.XLS" TargetMode="External" Id="rId1"/></Relationships>
</file>

<file path=xl/externalLinks/_rels/externalLink6.xml.rels><Relationships xmlns="http://schemas.openxmlformats.org/package/2006/relationships"><Relationship Type="http://schemas.openxmlformats.org/officeDocument/2006/relationships/externalLinkPath" Target="file:///C:/HKG_SSRES/Asian%20Utilities/Public%20Book/_Databases%20-%20EIA,%20IMF,%20ETC/BP%202011%20Energy%20Survey.xls" TargetMode="External" Id="rId1"/></Relationships>
</file>

<file path=xl/externalLinks/_rels/externalLink7.xml.rels><Relationships xmlns="http://schemas.openxmlformats.org/package/2006/relationships"><Relationship Type="http://schemas.openxmlformats.org/officeDocument/2006/relationships/externalLinkPath" Target="file:///C:/Documents%20and%20Settings/BJoy/Desktop/June%202009/US%20sell%20through/vendor%20main.xls" TargetMode="External" Id="rId1"/></Relationships>
</file>

<file path=xl/externalLinks/_rels/externalLink8.xml.rels><Relationships xmlns="http://schemas.openxmlformats.org/package/2006/relationships"><Relationship Type="http://schemas.openxmlformats.org/officeDocument/2006/relationships/externalLinkPath" Target="file:///C:/Users/SBicheno/AppData/Local/Temp/Temp1_data%20(3).zip/vendor%20main.xlsx" TargetMode="External" Id="rId1"/></Relationships>
</file>

<file path=xl/externalLinks/_rels/externalLink9.xml.rels><Relationships xmlns="http://schemas.openxmlformats.org/package/2006/relationships"><Relationship Type="http://schemas.microsoft.com/office/2006/relationships/xlExternalLinkPath/xlStartup" Target="News/Charts.xls" TargetMode="External" Id="rId1"/></Relationships>
</file>

<file path=xl/externalLinks/_rels/externalLink10.xml.rels><Relationships xmlns="http://schemas.openxmlformats.org/package/2006/relationships"><Relationship Type="http://schemas.openxmlformats.org/officeDocument/2006/relationships/externalLinkPath" Target="/NTS0016/rsch1/TEMP/MasterStats.xls" TargetMode="External" Id="rId1"/></Relationships>
</file>

<file path=xl/externalLinks/_rels/externalLink11.xml.rels><Relationships xmlns="http://schemas.openxmlformats.org/package/2006/relationships"><Relationship Type="http://schemas.openxmlformats.org/officeDocument/2006/relationships/externalLinkPath" Target="/njgisnap003/groups5/fid23groups/MORTGAGE_RESEARCH/Heike/Data/MasterStats.xls" TargetMode="External" Id="rId1"/></Relationships>
</file>

<file path=xl/externalLinks/_rels/externalLink12.xml.rels><Relationships xmlns="http://schemas.openxmlformats.org/package/2006/relationships"><Relationship Type="http://schemas.openxmlformats.org/officeDocument/2006/relationships/externalLinkPath" Target="/ac03hkg0202/jkim12$/054050_Model.xlsx" TargetMode="External" Id="rId1"/></Relationships>
</file>

<file path=xl/externalLinks/_rels/externalLink13.xml.rels><Relationships xmlns="http://schemas.openxmlformats.org/package/2006/relationships"><Relationship Type="http://schemas.openxmlformats.org/officeDocument/2006/relationships/externalLinkPath" Target="file:///C:/Documents%20and%20Settings/alu/Local%20Settings/Application%20Data/Capital%20IQ/Office%20Plug-in/Templates/Company%20Tearsheets/+One%20Page%20Tearsheet.xls" TargetMode="External" Id="rId1"/></Relationships>
</file>

<file path=xl/externalLinks/_rels/externalLink14.xml.rels><Relationships xmlns="http://schemas.openxmlformats.org/package/2006/relationships"><Relationship Type="http://schemas.openxmlformats.org/officeDocument/2006/relationships/externalLinkPath" Target="/hkgssusrsrv/userdata/TransEcoInfo/STAT/OICA/EXP-PRO-SURVEY/PROQUARTERS20052009.xls" TargetMode="External" Id="rId1"/></Relationships>
</file>

<file path=xl/externalLinks/_rels/externalLink15.xml.rels><Relationships xmlns="http://schemas.openxmlformats.org/package/2006/relationships"><Relationship Type="http://schemas.openxmlformats.org/officeDocument/2006/relationships/externalLinkPath" Target="/Taipei_fs/101010/WINDOWS/TEMP/Goods%20in%20Transit%202001%2006-ACG.xls" TargetMode="External" Id="rId1"/></Relationships>
</file>

<file path=xl/externalLinks/_rels/externalLink16.xml.rels><Relationships xmlns="http://schemas.openxmlformats.org/package/2006/relationships"><Relationship Type="http://schemas.microsoft.com/office/2006/relationships/xlExternalLinkPath/xlStartup" Target="DATA/Research%20Reports/FactSet/TCEM%20Industry%20Spreadsheets/Music%20AWW.xls" TargetMode="External" Id="rId1"/></Relationships>
</file>

<file path=xl/externalLinks/_rels/externalLink17.xml.rels><Relationships xmlns="http://schemas.openxmlformats.org/package/2006/relationships"><Relationship Type="http://schemas.openxmlformats.org/officeDocument/2006/relationships/externalLinkPath" Target="file:///C:/HKG_SSRES/Asian%20IT%20Hardware/Companies/LG%20Display%20(034220.KR,%20LPL.NYSE)/MODEL/TSMC%20Working%20Model%20110208.xlsm" TargetMode="External" Id="rId1"/></Relationships>
</file>

<file path=xl/externalLinks/_rels/externalLink18.xml.rels><Relationships xmlns="http://schemas.openxmlformats.org/package/2006/relationships"><Relationship Type="http://schemas.openxmlformats.org/officeDocument/2006/relationships/externalLinkPath" Target="file:///C:/HKG_SSRES/Asian%20IT%20Hardware/Market%20Data/Trading%20Multiples/Trading%20multiples_P-B%205YR.xlsx" TargetMode="External" Id="rId1"/></Relationships>
</file>

<file path=xl/externalLinks/_rels/externalLink19.xml.rels><Relationships xmlns="http://schemas.openxmlformats.org/package/2006/relationships"><Relationship Type="http://schemas.openxmlformats.org/officeDocument/2006/relationships/externalLinkPath" Target="/Twtpemeyfl02/Taipei_fs/Documents%20and%20Settings/101010/&#26700;&#38754;/ASUS%2094%20Q2/ASUS%2094Q2&#21512;&#20341;&#36039;&#35338;/&#33775;&#30889;94Q2&#21512;&#20341;(PBC)/ASUS94Q2&#21512;&#20341;&#22235;&#22823;&#34920;9.8.xls" TargetMode="External" Id="rId1"/></Relationships>
</file>

<file path=xl/externalLinks/_rels/externalLink20.xml.rels><Relationships xmlns="http://schemas.openxmlformats.org/package/2006/relationships"><Relationship Type="http://schemas.openxmlformats.org/officeDocument/2006/relationships/externalLinkPath" Target="file:///C:/DEPT/Corpfin/FORECAST/Scale/00%20April/Models%20Prototype/Prototype23.xls" TargetMode="External" Id="rId1"/></Relationships>
</file>

<file path=xl/externalLinks/_rels/externalLink21.xml.rels><Relationships xmlns="http://schemas.openxmlformats.org/package/2006/relationships"><Relationship Type="http://schemas.openxmlformats.org/officeDocument/2006/relationships/externalLinkPath" Target="file:///C:/Documents%20and%20Settings/mli/Desktop/Price%20Perf%20100723.xls" TargetMode="External" Id="rId1"/></Relationships>
</file>

<file path=xl/externalLinks/_rels/externalLink22.xml.rels><Relationships xmlns="http://schemas.openxmlformats.org/package/2006/relationships"><Relationship Type="http://schemas.openxmlformats.org/officeDocument/2006/relationships/externalLinkPath" Target="file:///C:/DOCUME~1/CHRISA~1/LOCALS~1/Temp/Documents%20and%20Settings/dkerr.INSIGHTS/Local%20Settings/Temporary%20Internet%20Files/OLK1/APAC%20DEC%2004.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A"/>
      <sheetName val="HI"/>
      <sheetName val="Net Interest"/>
      <sheetName val="Sector Op. Prof"/>
    </sheetNames>
    <sheetDataSet>
      <sheetData sheetId="0" refreshError="1">
        <row r="3">
          <cell r="A3">
            <v>1985</v>
          </cell>
          <cell r="B3">
            <v>1986</v>
          </cell>
          <cell r="C3">
            <v>1987</v>
          </cell>
          <cell r="D3">
            <v>1988</v>
          </cell>
          <cell r="E3">
            <v>1989</v>
          </cell>
          <cell r="F3">
            <v>1990</v>
          </cell>
          <cell r="G3">
            <v>1991</v>
          </cell>
          <cell r="H3">
            <v>1992</v>
          </cell>
          <cell r="I3">
            <v>1993</v>
          </cell>
          <cell r="J3">
            <v>1994</v>
          </cell>
          <cell r="K3">
            <v>1995</v>
          </cell>
          <cell r="L3">
            <v>1996</v>
          </cell>
          <cell r="M3">
            <v>1997</v>
          </cell>
          <cell r="N3">
            <v>1998</v>
          </cell>
          <cell r="O3">
            <v>1999</v>
          </cell>
          <cell r="P3">
            <v>2000</v>
          </cell>
        </row>
        <row r="4">
          <cell r="A4">
            <v>4.5</v>
          </cell>
          <cell r="B4">
            <v>8.1</v>
          </cell>
          <cell r="C4">
            <v>9.3000000000000007</v>
          </cell>
          <cell r="D4">
            <v>7.2</v>
          </cell>
          <cell r="E4">
            <v>9.8000000000000007</v>
          </cell>
          <cell r="F4">
            <v>12</v>
          </cell>
          <cell r="G4">
            <v>17.3</v>
          </cell>
          <cell r="H4">
            <v>28.5</v>
          </cell>
          <cell r="I4">
            <v>46.6</v>
          </cell>
          <cell r="J4">
            <v>50.2</v>
          </cell>
          <cell r="K4">
            <v>51.3</v>
          </cell>
          <cell r="L4">
            <v>74.3</v>
          </cell>
          <cell r="M4">
            <v>88.2</v>
          </cell>
          <cell r="N4">
            <v>99.8</v>
          </cell>
          <cell r="O4">
            <v>123</v>
          </cell>
          <cell r="P4">
            <v>137.19999999999999</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__FDSCACHE__"/>
      <sheetName val="Sheet1"/>
      <sheetName val="Sheet1 (2)"/>
      <sheetName val="Sheet2"/>
      <sheetName val="__APW_ACTIVE_FIELD_RESTORE__"/>
      <sheetName val="Community Bank"/>
    </sheetNames>
    <sheetDataSet>
      <sheetData sheetId="0"/>
      <sheetData sheetId="1"/>
      <sheetData sheetId="2"/>
      <sheetData sheetId="3"/>
      <sheetData sheetId="4"/>
      <sheetData sheetId="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hinaMacro"/>
      <sheetName val="IFA"/>
      <sheetName val="GDP"/>
      <sheetName val="China forecasts"/>
      <sheetName val="Employment"/>
      <sheetName val="Wage"/>
      <sheetName val="Population"/>
      <sheetName val="Productivity"/>
      <sheetName val="Production"/>
      <sheetName val="IFR"/>
      <sheetName val="Density"/>
      <sheetName val="Industry"/>
      <sheetName val="Country"/>
      <sheetName val="RobotForecast"/>
      <sheetName val="Application"/>
      <sheetName val="Cycle"/>
      <sheetName val="RobotIQ"/>
      <sheetName val="Operational stock"/>
      <sheetName val="WorldMacro"/>
      <sheetName val="M_employee"/>
      <sheetName val="WorldData"/>
      <sheetName val="Manufacturing"/>
      <sheetName val="IndustrialOutput"/>
      <sheetName val="Handset"/>
      <sheetName val="Auto"/>
    </sheetNames>
    <sheetDataSet>
      <sheetData sheetId="0"/>
      <sheetData sheetId="1">
        <row r="25">
          <cell r="C25" t="str">
            <v>Investment in fixed assets (RMB trn)</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JANUARY"/>
      <sheetName val="FEBRUARY"/>
      <sheetName val="FEBRUARY YTD"/>
      <sheetName val="MARCH"/>
      <sheetName val="1ST QUARTER"/>
      <sheetName val="APRIL"/>
      <sheetName val="APRIL YTD"/>
      <sheetName val="MAY"/>
      <sheetName val="MAY YTD"/>
      <sheetName val="TWO MONTH MAY"/>
      <sheetName val="JUNE"/>
      <sheetName val="JUNE YTD"/>
      <sheetName val="2ND QUARTER"/>
      <sheetName val="JULY"/>
      <sheetName val="JULY YTD"/>
      <sheetName val="AUGUST"/>
      <sheetName val="TWO MONTH AUGUST"/>
      <sheetName val="AUGUST YTD"/>
      <sheetName val="SEPTEMBER"/>
      <sheetName val="SEPTEMBER YTD"/>
      <sheetName val="3RD QUARTER"/>
      <sheetName val="3Q VAR"/>
      <sheetName val="OCTOBER"/>
      <sheetName val="OCTOBER YTD"/>
      <sheetName val="NOVEMBER"/>
      <sheetName val="NOVEMBER YTD"/>
      <sheetName val="TWO MONTH NOVEMBER"/>
      <sheetName val="DECEMBER"/>
      <sheetName val="4TH QUARTER"/>
      <sheetName val="DECEMBER YTD"/>
      <sheetName val="REVBUDVSBUD"/>
      <sheetName val="REVBUDVSBUDXMR"/>
      <sheetName val="REVBUDVSBUDXMR (2)"/>
      <sheetName val="EXPVARBUDTOBUD"/>
      <sheetName val="5 YR EXP DET"/>
      <sheetName val="5 YEAR EXPENSE SUM"/>
      <sheetName val="BUD VS BUD"/>
      <sheetName val="BUD VS BUD (2)"/>
      <sheetName val="DEC YTD VAR"/>
      <sheetName val="EXP DET REV"/>
      <sheetName val="EXP DET REV1"/>
      <sheetName val="OTHER OTHER"/>
      <sheetName val="4Q VAR"/>
      <sheetName val="EXPENSE MATRIX"/>
      <sheetName val="BUD VS BUD  OTHER"/>
      <sheetName val="BUD VS BUD  OTHER (2)"/>
      <sheetName val="OTHER OTHER EMP BENF"/>
      <sheetName val="OTHER OTHER  EXP"/>
      <sheetName val="SETTLEMENT BY ORG"/>
      <sheetName val="INTANGIBLE BY ORG"/>
      <sheetName val="T AND E BY ORG"/>
      <sheetName val="T AND E BY ORG (2)"/>
      <sheetName val="OP RATIO PRF MAR"/>
      <sheetName val="MERGER RELATED"/>
      <sheetName val="MERGER RELATED (2)"/>
      <sheetName val="5 YEAR EXPENSE SUM (2)"/>
      <sheetName val="INTANGIBLE BY ORG (2)"/>
      <sheetName val="T AND E BY ORG (3)"/>
      <sheetName val="Auto Sales BBG"/>
      <sheetName val="__FDSCACHE__"/>
      <sheetName val="IPO"/>
      <sheetName val="Comps"/>
      <sheetName val="Comp 2"/>
      <sheetName val="Wind"/>
      <sheetName val="Guide"/>
      <sheetName val="1. Market Model (old)"/>
      <sheetName val="1. Market model"/>
      <sheetName val="1.0 Market"/>
      <sheetName val="1.0 Market - 072219"/>
      <sheetName val="1. Market model- Feb 18.2019"/>
      <sheetName val="1.0 Market - Feb 18.2019"/>
      <sheetName val="1. Market model 2019"/>
      <sheetName val="Market Model Assumptions"/>
      <sheetName val="1.0 Market raw"/>
      <sheetName val="1.01 Market initiation"/>
      <sheetName val="1.2 eCommerce"/>
      <sheetName val="1.2 eCommerce (unused)"/>
      <sheetName val="1.2.2 eCommerce OLD"/>
      <sheetName val="1.2.1 Order Size"/>
      <sheetName val="1.3. O2O-Old"/>
      <sheetName val="1.3. O2O"/>
      <sheetName val="1.4. Coldchain"/>
      <sheetName val="1.6 TFS"/>
      <sheetName val="1.5 Other countries"/>
      <sheetName val="2. Players 2016"/>
      <sheetName val="2. Players 2017"/>
      <sheetName val="2. Players 2018"/>
      <sheetName val="Notes"/>
      <sheetName val="2.1 Players MS"/>
      <sheetName val="2.2 Bhav"/>
      <sheetName val="2.3 Deppon"/>
      <sheetName val="3. Service quality"/>
      <sheetName val="3.1 Sat and Comp"/>
      <sheetName val="3.2 Time 2B"/>
      <sheetName val="3.3 Time 2C"/>
      <sheetName val="4. Product"/>
      <sheetName val="4.1 Product list"/>
      <sheetName val="5. Company comparison"/>
      <sheetName val="Comp hardcode"/>
      <sheetName val="5.1 Operating metrics"/>
      <sheetName val="5.2. Financial metrics"/>
      <sheetName val="5.11 Automatic Sorting Cost"/>
      <sheetName val="6 Other countries"/>
      <sheetName val="6.1. UPS"/>
      <sheetName val="UPS By Measure"/>
      <sheetName val="6.2 FDX"/>
      <sheetName val="FDX By Measure"/>
      <sheetName val="6.3 DHL"/>
      <sheetName val="6.4 Yamato"/>
      <sheetName val="6.5 Sagawa"/>
      <sheetName val="6.6 CJ"/>
      <sheetName val="bbg"/>
      <sheetName val="7. Buyer"/>
      <sheetName val="7.1 Cainiao"/>
      <sheetName val="7.2 AJ"/>
      <sheetName val="7.3 EAL"/>
      <sheetName val="8 Airports"/>
      <sheetName val="8.1 Memphis"/>
      <sheetName val="8.2 Louisville"/>
      <sheetName val="9. International"/>
      <sheetName val="9.1 Price"/>
      <sheetName val="9.2 Fruit imports"/>
      <sheetName val="Sheet32"/>
      <sheetName val="Old model"/>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
      <sheetName val="Val_Momen"/>
      <sheetName val="Chart1"/>
      <sheetName val="EPS Revision"/>
      <sheetName val="SP vs. Perf"/>
      <sheetName val="Price_sales"/>
      <sheetName val="Rev vs Perf"/>
      <sheetName val="Rel SP vs Rel Perf"/>
      <sheetName val="Rel SP vs Annual Perf"/>
      <sheetName val="REV vs Annual Perf "/>
      <sheetName val="Chart1 (3)"/>
      <sheetName val="Qtr Rev"/>
      <sheetName val="94-"/>
      <sheetName val="JANUARY"/>
      <sheetName val="VZ6"/>
    </sheetNames>
    <sheetDataSet>
      <sheetData sheetId="0" refreshError="1">
        <row r="6">
          <cell r="A6">
            <v>6</v>
          </cell>
          <cell r="B6">
            <v>28460</v>
          </cell>
          <cell r="C6">
            <v>1</v>
          </cell>
          <cell r="D6">
            <v>59.38</v>
          </cell>
          <cell r="E6">
            <v>1.0860300000000001</v>
          </cell>
          <cell r="F6" t="e">
            <v>#N/A</v>
          </cell>
          <cell r="G6">
            <v>0.15748000000000001</v>
          </cell>
          <cell r="H6">
            <v>7.0354E-2</v>
          </cell>
          <cell r="I6">
            <v>0.51190999999999998</v>
          </cell>
          <cell r="J6">
            <v>0.63902000000000003</v>
          </cell>
          <cell r="K6">
            <v>1.2051499999999999</v>
          </cell>
        </row>
        <row r="7">
          <cell r="A7">
            <v>6</v>
          </cell>
          <cell r="B7">
            <v>28550</v>
          </cell>
          <cell r="C7">
            <v>1</v>
          </cell>
          <cell r="D7">
            <v>65.400000000000006</v>
          </cell>
          <cell r="E7">
            <v>1.03687</v>
          </cell>
          <cell r="F7" t="e">
            <v>#N/A</v>
          </cell>
          <cell r="G7">
            <v>0.16198000000000001</v>
          </cell>
          <cell r="H7">
            <v>7.4369000000000005E-2</v>
          </cell>
          <cell r="I7">
            <v>0.49048000000000003</v>
          </cell>
          <cell r="J7">
            <v>0.60787000000000002</v>
          </cell>
          <cell r="K7">
            <v>1.4371400000000001</v>
          </cell>
        </row>
        <row r="8">
          <cell r="A8">
            <v>6</v>
          </cell>
          <cell r="B8">
            <v>28642</v>
          </cell>
          <cell r="C8">
            <v>1</v>
          </cell>
          <cell r="D8">
            <v>76.64</v>
          </cell>
          <cell r="E8">
            <v>0.93667999999999996</v>
          </cell>
          <cell r="F8" t="e">
            <v>#N/A</v>
          </cell>
          <cell r="G8">
            <v>0.15286</v>
          </cell>
          <cell r="H8">
            <v>7.2860999999999995E-2</v>
          </cell>
          <cell r="I8">
            <v>0.44169999999999998</v>
          </cell>
          <cell r="J8">
            <v>0.51287000000000005</v>
          </cell>
          <cell r="K8">
            <v>0.47692000000000001</v>
          </cell>
        </row>
        <row r="9">
          <cell r="A9">
            <v>6</v>
          </cell>
          <cell r="B9">
            <v>28734</v>
          </cell>
          <cell r="C9">
            <v>1</v>
          </cell>
          <cell r="D9">
            <v>83.86</v>
          </cell>
          <cell r="E9">
            <v>0.91549000000000003</v>
          </cell>
          <cell r="F9" t="e">
            <v>#N/A</v>
          </cell>
          <cell r="G9">
            <v>0.15171999999999999</v>
          </cell>
          <cell r="H9">
            <v>7.4146000000000004E-2</v>
          </cell>
          <cell r="I9">
            <v>0.42988999999999999</v>
          </cell>
          <cell r="J9">
            <v>0.47208</v>
          </cell>
          <cell r="K9">
            <v>-0.70489999999999997</v>
          </cell>
        </row>
        <row r="10">
          <cell r="A10">
            <v>6</v>
          </cell>
          <cell r="B10">
            <v>28825</v>
          </cell>
          <cell r="C10">
            <v>1</v>
          </cell>
          <cell r="D10">
            <v>138.80000000000001</v>
          </cell>
          <cell r="E10">
            <v>0.82154000000000005</v>
          </cell>
          <cell r="F10" t="e">
            <v>#N/A</v>
          </cell>
          <cell r="G10">
            <v>0.11737</v>
          </cell>
          <cell r="H10">
            <v>5.1027999999999997E-2</v>
          </cell>
          <cell r="I10">
            <v>0.3337</v>
          </cell>
          <cell r="J10">
            <v>0.48451</v>
          </cell>
          <cell r="K10">
            <v>0.13925000000000001</v>
          </cell>
        </row>
        <row r="11">
          <cell r="A11">
            <v>6</v>
          </cell>
          <cell r="B11">
            <v>29281</v>
          </cell>
          <cell r="C11">
            <v>1</v>
          </cell>
          <cell r="D11">
            <v>149.56</v>
          </cell>
          <cell r="E11">
            <v>0.81872999999999996</v>
          </cell>
          <cell r="F11" t="e">
            <v>#N/A</v>
          </cell>
          <cell r="G11">
            <v>0.12403</v>
          </cell>
          <cell r="H11">
            <v>5.3263999999999999E-2</v>
          </cell>
          <cell r="I11">
            <v>0.45605000000000001</v>
          </cell>
          <cell r="J11">
            <v>0.50655000000000006</v>
          </cell>
          <cell r="K11">
            <v>1.37741</v>
          </cell>
        </row>
        <row r="12">
          <cell r="A12">
            <v>6</v>
          </cell>
          <cell r="B12">
            <v>29373</v>
          </cell>
          <cell r="C12">
            <v>1</v>
          </cell>
          <cell r="D12">
            <v>137.34</v>
          </cell>
          <cell r="E12">
            <v>0.99943000000000004</v>
          </cell>
          <cell r="F12" t="e">
            <v>#N/A</v>
          </cell>
          <cell r="G12">
            <v>0.15704000000000001</v>
          </cell>
          <cell r="H12">
            <v>7.1435999999999999E-2</v>
          </cell>
          <cell r="I12">
            <v>0.53227999999999998</v>
          </cell>
          <cell r="J12">
            <v>0.60187999999999997</v>
          </cell>
          <cell r="K12">
            <v>4.38286</v>
          </cell>
        </row>
        <row r="13">
          <cell r="A13">
            <v>6</v>
          </cell>
          <cell r="B13">
            <v>29465</v>
          </cell>
          <cell r="C13">
            <v>1</v>
          </cell>
          <cell r="D13">
            <v>187.19</v>
          </cell>
          <cell r="E13">
            <v>0.79766000000000004</v>
          </cell>
          <cell r="F13" t="e">
            <v>#N/A</v>
          </cell>
          <cell r="G13">
            <v>0.12411999999999999</v>
          </cell>
          <cell r="H13">
            <v>5.9116000000000002E-2</v>
          </cell>
          <cell r="I13">
            <v>0.40886</v>
          </cell>
          <cell r="J13">
            <v>0.47262999999999999</v>
          </cell>
          <cell r="K13">
            <v>1.15229</v>
          </cell>
        </row>
        <row r="14">
          <cell r="A14">
            <v>6</v>
          </cell>
          <cell r="B14">
            <v>29556</v>
          </cell>
          <cell r="C14">
            <v>3</v>
          </cell>
          <cell r="D14">
            <v>440.24</v>
          </cell>
          <cell r="E14">
            <v>0.79981999999999998</v>
          </cell>
          <cell r="F14" t="e">
            <v>#N/A</v>
          </cell>
          <cell r="G14">
            <v>0.11785</v>
          </cell>
          <cell r="H14">
            <v>5.8465999999999997E-2</v>
          </cell>
          <cell r="I14">
            <v>0.30748000000000003</v>
          </cell>
          <cell r="J14">
            <v>0.50463999999999998</v>
          </cell>
          <cell r="K14">
            <v>-1.29423</v>
          </cell>
        </row>
        <row r="15">
          <cell r="A15">
            <v>6</v>
          </cell>
          <cell r="B15">
            <v>29646</v>
          </cell>
          <cell r="C15">
            <v>3</v>
          </cell>
          <cell r="D15">
            <v>355.92</v>
          </cell>
          <cell r="E15">
            <v>0.87921000000000005</v>
          </cell>
          <cell r="F15" t="e">
            <v>#N/A</v>
          </cell>
          <cell r="G15">
            <v>0.12520999999999999</v>
          </cell>
          <cell r="H15">
            <v>6.4451999999999995E-2</v>
          </cell>
          <cell r="I15">
            <v>0.38847999999999999</v>
          </cell>
          <cell r="J15">
            <v>0.67520000000000002</v>
          </cell>
          <cell r="K15">
            <v>-2.70879</v>
          </cell>
        </row>
        <row r="16">
          <cell r="A16">
            <v>6</v>
          </cell>
          <cell r="B16">
            <v>29738</v>
          </cell>
          <cell r="C16">
            <v>3</v>
          </cell>
          <cell r="D16">
            <v>334.79</v>
          </cell>
          <cell r="E16">
            <v>0.89238000000000006</v>
          </cell>
          <cell r="F16" t="e">
            <v>#N/A</v>
          </cell>
          <cell r="G16">
            <v>0.10215</v>
          </cell>
          <cell r="H16">
            <v>5.1205000000000001E-2</v>
          </cell>
          <cell r="I16">
            <v>0.42304999999999998</v>
          </cell>
          <cell r="J16">
            <v>0.76615999999999995</v>
          </cell>
          <cell r="K16">
            <v>-4.9278500000000003</v>
          </cell>
        </row>
        <row r="17">
          <cell r="A17">
            <v>6</v>
          </cell>
          <cell r="B17">
            <v>29830</v>
          </cell>
          <cell r="C17">
            <v>3</v>
          </cell>
          <cell r="D17">
            <v>246.84</v>
          </cell>
          <cell r="E17">
            <v>1.1954199999999999</v>
          </cell>
          <cell r="F17" t="e">
            <v>#N/A</v>
          </cell>
          <cell r="G17">
            <v>0.11105</v>
          </cell>
          <cell r="H17">
            <v>5.1533000000000002E-2</v>
          </cell>
          <cell r="I17">
            <v>0.58306000000000002</v>
          </cell>
          <cell r="J17">
            <v>1.0123</v>
          </cell>
          <cell r="K17">
            <v>-2.87799</v>
          </cell>
        </row>
        <row r="18">
          <cell r="A18">
            <v>6</v>
          </cell>
          <cell r="B18">
            <v>29921</v>
          </cell>
          <cell r="C18">
            <v>1</v>
          </cell>
          <cell r="D18">
            <v>145.46</v>
          </cell>
          <cell r="E18">
            <v>1.1269199999999999</v>
          </cell>
          <cell r="F18" t="e">
            <v>#N/A</v>
          </cell>
          <cell r="G18">
            <v>8.8599999999999998E-2</v>
          </cell>
          <cell r="H18">
            <v>3.9406000000000004E-2</v>
          </cell>
          <cell r="I18">
            <v>0.62075999999999998</v>
          </cell>
          <cell r="J18">
            <v>0.95372999999999997</v>
          </cell>
          <cell r="K18">
            <v>-1.4866999999999999</v>
          </cell>
        </row>
        <row r="19">
          <cell r="A19">
            <v>6</v>
          </cell>
          <cell r="B19">
            <v>30011</v>
          </cell>
          <cell r="C19">
            <v>1</v>
          </cell>
          <cell r="D19">
            <v>117.43</v>
          </cell>
          <cell r="E19">
            <v>1.3620000000000001</v>
          </cell>
          <cell r="F19" t="e">
            <v>#N/A</v>
          </cell>
          <cell r="G19">
            <v>8.2129999999999995E-2</v>
          </cell>
          <cell r="H19">
            <v>3.6336E-2</v>
          </cell>
          <cell r="I19">
            <v>0.77100999999999997</v>
          </cell>
          <cell r="J19">
            <v>1.24566</v>
          </cell>
          <cell r="K19">
            <v>-0.83150000000000002</v>
          </cell>
        </row>
        <row r="20">
          <cell r="A20">
            <v>6</v>
          </cell>
          <cell r="B20">
            <v>30103</v>
          </cell>
          <cell r="C20">
            <v>1</v>
          </cell>
          <cell r="D20">
            <v>123.4</v>
          </cell>
          <cell r="E20">
            <v>1.2886</v>
          </cell>
          <cell r="F20" t="e">
            <v>#N/A</v>
          </cell>
          <cell r="G20">
            <v>7.0519999999999999E-2</v>
          </cell>
          <cell r="H20">
            <v>3.1620000000000002E-2</v>
          </cell>
          <cell r="I20">
            <v>0.74787999999999999</v>
          </cell>
          <cell r="J20">
            <v>1.18127</v>
          </cell>
          <cell r="K20">
            <v>-5.1200000000000002E-2</v>
          </cell>
        </row>
        <row r="21">
          <cell r="A21">
            <v>6</v>
          </cell>
          <cell r="B21">
            <v>30195</v>
          </cell>
          <cell r="C21">
            <v>1</v>
          </cell>
          <cell r="D21">
            <v>173.22</v>
          </cell>
          <cell r="E21">
            <v>0.93359999999999999</v>
          </cell>
          <cell r="F21" t="e">
            <v>#N/A</v>
          </cell>
          <cell r="G21">
            <v>4.7140000000000001E-2</v>
          </cell>
          <cell r="H21">
            <v>1.9980999999999999E-2</v>
          </cell>
          <cell r="I21">
            <v>0.53705999999999998</v>
          </cell>
          <cell r="J21">
            <v>0.87128000000000005</v>
          </cell>
          <cell r="K21">
            <v>0.62858000000000003</v>
          </cell>
        </row>
        <row r="22">
          <cell r="A22">
            <v>6</v>
          </cell>
          <cell r="B22">
            <v>30286</v>
          </cell>
          <cell r="C22">
            <v>2</v>
          </cell>
          <cell r="D22">
            <v>370.02</v>
          </cell>
          <cell r="E22">
            <v>0.69789000000000001</v>
          </cell>
          <cell r="F22" t="e">
            <v>#N/A</v>
          </cell>
          <cell r="G22">
            <v>-5.7000000000000002E-3</v>
          </cell>
          <cell r="H22">
            <v>-1.6084999999999999E-2</v>
          </cell>
          <cell r="I22">
            <v>0.34889999999999999</v>
          </cell>
          <cell r="J22">
            <v>0.60175000000000001</v>
          </cell>
          <cell r="K22">
            <v>2.3108599999999999</v>
          </cell>
        </row>
        <row r="23">
          <cell r="A23">
            <v>6</v>
          </cell>
          <cell r="B23">
            <v>30376</v>
          </cell>
          <cell r="C23">
            <v>2</v>
          </cell>
          <cell r="D23">
            <v>556.47</v>
          </cell>
          <cell r="E23">
            <v>0.47910000000000003</v>
          </cell>
          <cell r="F23" t="e">
            <v>#N/A</v>
          </cell>
          <cell r="G23">
            <v>2.4199999999999998E-3</v>
          </cell>
          <cell r="H23">
            <v>-7.0190000000000001E-3</v>
          </cell>
          <cell r="I23">
            <v>0.23924999999999999</v>
          </cell>
          <cell r="J23">
            <v>0.42308000000000001</v>
          </cell>
          <cell r="K23">
            <v>3.3977499999999998</v>
          </cell>
        </row>
        <row r="24">
          <cell r="A24">
            <v>6</v>
          </cell>
          <cell r="B24">
            <v>30468</v>
          </cell>
          <cell r="C24">
            <v>2</v>
          </cell>
          <cell r="D24">
            <v>849.05</v>
          </cell>
          <cell r="E24">
            <v>0.33546999999999999</v>
          </cell>
          <cell r="F24" t="e">
            <v>#N/A</v>
          </cell>
          <cell r="G24">
            <v>1.1339999999999999E-2</v>
          </cell>
          <cell r="H24">
            <v>1.354E-3</v>
          </cell>
          <cell r="I24">
            <v>0.19164</v>
          </cell>
          <cell r="J24">
            <v>0.28781000000000001</v>
          </cell>
          <cell r="K24">
            <v>4.4187000000000003</v>
          </cell>
        </row>
        <row r="25">
          <cell r="A25">
            <v>6</v>
          </cell>
          <cell r="B25">
            <v>30560</v>
          </cell>
          <cell r="C25">
            <v>2</v>
          </cell>
          <cell r="D25">
            <v>930.76</v>
          </cell>
          <cell r="E25">
            <v>0.32795000000000002</v>
          </cell>
          <cell r="F25" t="e">
            <v>#N/A</v>
          </cell>
          <cell r="G25">
            <v>2.5930000000000002E-2</v>
          </cell>
          <cell r="H25">
            <v>1.2700000000000001E-2</v>
          </cell>
          <cell r="I25">
            <v>0.18318999999999999</v>
          </cell>
          <cell r="J25">
            <v>0.29494999999999999</v>
          </cell>
          <cell r="K25">
            <v>4.2784700000000004</v>
          </cell>
        </row>
        <row r="26">
          <cell r="A26">
            <v>6</v>
          </cell>
          <cell r="B26">
            <v>30651</v>
          </cell>
          <cell r="C26">
            <v>5</v>
          </cell>
          <cell r="D26">
            <v>1709.54</v>
          </cell>
          <cell r="E26">
            <v>0.29003000000000001</v>
          </cell>
          <cell r="F26" t="e">
            <v>#N/A</v>
          </cell>
          <cell r="G26">
            <v>2.8140000000000002E-2</v>
          </cell>
          <cell r="H26">
            <v>1.5885E-2</v>
          </cell>
          <cell r="I26">
            <v>0.17057</v>
          </cell>
          <cell r="J26">
            <v>0.22236</v>
          </cell>
          <cell r="K26">
            <v>4.3924300000000001</v>
          </cell>
        </row>
        <row r="27">
          <cell r="A27">
            <v>6</v>
          </cell>
          <cell r="B27">
            <v>30742</v>
          </cell>
          <cell r="C27">
            <v>5</v>
          </cell>
          <cell r="D27">
            <v>1420.4</v>
          </cell>
          <cell r="E27">
            <v>0.38707999999999998</v>
          </cell>
          <cell r="F27" t="e">
            <v>#N/A</v>
          </cell>
          <cell r="G27">
            <v>4.5810000000000003E-2</v>
          </cell>
          <cell r="H27">
            <v>2.7942999999999999E-2</v>
          </cell>
          <cell r="I27">
            <v>0.25068000000000001</v>
          </cell>
          <cell r="J27">
            <v>0.28386</v>
          </cell>
          <cell r="K27">
            <v>3.78904</v>
          </cell>
        </row>
        <row r="28">
          <cell r="A28">
            <v>6</v>
          </cell>
          <cell r="B28">
            <v>30834</v>
          </cell>
          <cell r="C28">
            <v>5</v>
          </cell>
          <cell r="D28">
            <v>1360.78</v>
          </cell>
          <cell r="E28">
            <v>0.45490999999999998</v>
          </cell>
          <cell r="F28" t="e">
            <v>#N/A</v>
          </cell>
          <cell r="G28">
            <v>6.3020000000000007E-2</v>
          </cell>
          <cell r="H28">
            <v>3.8214999999999999E-2</v>
          </cell>
          <cell r="I28">
            <v>0.27988000000000002</v>
          </cell>
          <cell r="J28">
            <v>0.34982000000000002</v>
          </cell>
          <cell r="K28">
            <v>2.4871699999999999</v>
          </cell>
        </row>
        <row r="29">
          <cell r="A29">
            <v>6</v>
          </cell>
          <cell r="B29">
            <v>30926</v>
          </cell>
          <cell r="C29">
            <v>5</v>
          </cell>
          <cell r="D29">
            <v>1375.42</v>
          </cell>
          <cell r="E29">
            <v>0.51019000000000003</v>
          </cell>
          <cell r="F29" t="e">
            <v>#N/A</v>
          </cell>
          <cell r="G29">
            <v>8.1290000000000001E-2</v>
          </cell>
          <cell r="H29">
            <v>5.0084999999999998E-2</v>
          </cell>
          <cell r="I29">
            <v>0.30809999999999998</v>
          </cell>
          <cell r="J29">
            <v>0.35877999999999999</v>
          </cell>
          <cell r="K29">
            <v>1.5942000000000001</v>
          </cell>
        </row>
        <row r="30">
          <cell r="A30">
            <v>6</v>
          </cell>
          <cell r="B30">
            <v>31017</v>
          </cell>
          <cell r="C30">
            <v>5</v>
          </cell>
          <cell r="D30">
            <v>1377.64</v>
          </cell>
          <cell r="E30">
            <v>0.58169999999999999</v>
          </cell>
          <cell r="F30">
            <v>0.25109999999999999</v>
          </cell>
          <cell r="G30">
            <v>0.10020000000000001</v>
          </cell>
          <cell r="H30">
            <v>6.1200999999999998E-2</v>
          </cell>
          <cell r="I30">
            <v>0.31845000000000001</v>
          </cell>
          <cell r="J30">
            <v>0.38507000000000002</v>
          </cell>
          <cell r="K30">
            <v>2.0990799999999998</v>
          </cell>
        </row>
        <row r="31">
          <cell r="A31">
            <v>6</v>
          </cell>
          <cell r="B31">
            <v>31107</v>
          </cell>
          <cell r="C31">
            <v>5</v>
          </cell>
          <cell r="D31">
            <v>1338.75</v>
          </cell>
          <cell r="E31">
            <v>0.66593000000000002</v>
          </cell>
          <cell r="F31">
            <v>0.34693000000000002</v>
          </cell>
          <cell r="G31">
            <v>0.11407</v>
          </cell>
          <cell r="H31">
            <v>6.8707000000000004E-2</v>
          </cell>
          <cell r="I31">
            <v>0.35863</v>
          </cell>
          <cell r="J31">
            <v>0.4299</v>
          </cell>
          <cell r="K31">
            <v>-4.6213699999999998</v>
          </cell>
        </row>
        <row r="32">
          <cell r="A32">
            <v>6</v>
          </cell>
          <cell r="B32">
            <v>31199</v>
          </cell>
          <cell r="C32">
            <v>5</v>
          </cell>
          <cell r="D32">
            <v>1208.08</v>
          </cell>
          <cell r="E32">
            <v>0.77983000000000002</v>
          </cell>
          <cell r="F32">
            <v>0.38055</v>
          </cell>
          <cell r="G32">
            <v>0.12223000000000001</v>
          </cell>
          <cell r="H32">
            <v>8.1129000000000007E-2</v>
          </cell>
          <cell r="I32">
            <v>0.42297000000000001</v>
          </cell>
          <cell r="J32">
            <v>0.50611000000000006</v>
          </cell>
          <cell r="K32">
            <v>-4.1472600000000002</v>
          </cell>
        </row>
        <row r="33">
          <cell r="A33">
            <v>6</v>
          </cell>
          <cell r="B33">
            <v>31291</v>
          </cell>
          <cell r="C33">
            <v>5</v>
          </cell>
          <cell r="D33">
            <v>1070.4100000000001</v>
          </cell>
          <cell r="E33">
            <v>0.86516000000000004</v>
          </cell>
          <cell r="F33">
            <v>0.38103999999999999</v>
          </cell>
          <cell r="G33">
            <v>0.1047</v>
          </cell>
          <cell r="H33">
            <v>7.2513999999999995E-2</v>
          </cell>
          <cell r="I33">
            <v>0.48068</v>
          </cell>
          <cell r="J33">
            <v>0.66315999999999997</v>
          </cell>
          <cell r="K33">
            <v>-4.1933499999999997</v>
          </cell>
        </row>
        <row r="34">
          <cell r="A34">
            <v>6</v>
          </cell>
          <cell r="B34">
            <v>31382</v>
          </cell>
          <cell r="C34">
            <v>3</v>
          </cell>
          <cell r="D34">
            <v>1108.77</v>
          </cell>
          <cell r="E34">
            <v>0.42701</v>
          </cell>
          <cell r="F34">
            <v>0.1968</v>
          </cell>
          <cell r="G34">
            <v>5.1580000000000001E-2</v>
          </cell>
          <cell r="H34">
            <v>4.0705999999999999E-2</v>
          </cell>
          <cell r="I34">
            <v>0.32183</v>
          </cell>
          <cell r="J34">
            <v>0.39878000000000002</v>
          </cell>
          <cell r="K34">
            <v>-3.61944</v>
          </cell>
        </row>
        <row r="35">
          <cell r="A35">
            <v>6</v>
          </cell>
          <cell r="B35">
            <v>31472</v>
          </cell>
          <cell r="C35">
            <v>3</v>
          </cell>
          <cell r="D35">
            <v>1139.6199999999999</v>
          </cell>
          <cell r="E35">
            <v>0.39276</v>
          </cell>
          <cell r="F35">
            <v>0.18454000000000001</v>
          </cell>
          <cell r="G35">
            <v>3.6500000000000005E-2</v>
          </cell>
          <cell r="H35">
            <v>3.1737000000000001E-2</v>
          </cell>
          <cell r="I35">
            <v>0.31816</v>
          </cell>
          <cell r="J35">
            <v>0.40593000000000001</v>
          </cell>
          <cell r="K35">
            <v>-2.2276600000000002</v>
          </cell>
        </row>
        <row r="36">
          <cell r="A36">
            <v>6</v>
          </cell>
          <cell r="B36">
            <v>31564</v>
          </cell>
          <cell r="C36">
            <v>3</v>
          </cell>
          <cell r="D36">
            <v>1070.68</v>
          </cell>
          <cell r="E36">
            <v>0.40304000000000001</v>
          </cell>
          <cell r="F36">
            <v>0.18411</v>
          </cell>
          <cell r="G36">
            <v>2.6690000000000002E-2</v>
          </cell>
          <cell r="H36">
            <v>1.9841000000000001E-2</v>
          </cell>
          <cell r="I36">
            <v>0.34995999999999999</v>
          </cell>
          <cell r="J36">
            <v>0.43431000000000003</v>
          </cell>
          <cell r="K36">
            <v>-1.41272</v>
          </cell>
        </row>
        <row r="37">
          <cell r="A37">
            <v>6</v>
          </cell>
          <cell r="B37">
            <v>31656</v>
          </cell>
          <cell r="C37">
            <v>3</v>
          </cell>
          <cell r="D37">
            <v>856.83</v>
          </cell>
          <cell r="E37">
            <v>0.50078999999999996</v>
          </cell>
          <cell r="F37">
            <v>0.22945000000000002</v>
          </cell>
          <cell r="G37">
            <v>3.0859999999999999E-2</v>
          </cell>
          <cell r="H37">
            <v>2.1194999999999999E-2</v>
          </cell>
          <cell r="I37">
            <v>0.44539000000000001</v>
          </cell>
          <cell r="J37">
            <v>0.51821000000000006</v>
          </cell>
          <cell r="K37">
            <v>-0.94684999999999997</v>
          </cell>
        </row>
        <row r="38">
          <cell r="A38">
            <v>6</v>
          </cell>
          <cell r="B38">
            <v>31747</v>
          </cell>
          <cell r="C38">
            <v>3</v>
          </cell>
          <cell r="D38">
            <v>859.89</v>
          </cell>
          <cell r="E38">
            <v>0.51171999999999995</v>
          </cell>
          <cell r="F38">
            <v>0.23377000000000001</v>
          </cell>
          <cell r="G38">
            <v>3.143E-2</v>
          </cell>
          <cell r="H38">
            <v>2.1186E-2</v>
          </cell>
          <cell r="I38">
            <v>0.45007000000000003</v>
          </cell>
          <cell r="J38">
            <v>0.52288000000000001</v>
          </cell>
          <cell r="K38">
            <v>-0.91166999999999998</v>
          </cell>
        </row>
        <row r="39">
          <cell r="A39">
            <v>6</v>
          </cell>
          <cell r="B39">
            <v>31837</v>
          </cell>
          <cell r="C39">
            <v>3</v>
          </cell>
          <cell r="D39">
            <v>1199.81</v>
          </cell>
          <cell r="E39">
            <v>0.36973</v>
          </cell>
          <cell r="F39">
            <v>0.16803999999999999</v>
          </cell>
          <cell r="G39">
            <v>1.8030000000000001E-2</v>
          </cell>
          <cell r="H39">
            <v>1.5212E-2</v>
          </cell>
          <cell r="I39">
            <v>0.32951999999999998</v>
          </cell>
          <cell r="J39">
            <v>0.38521</v>
          </cell>
          <cell r="K39">
            <v>-0.40923999999999999</v>
          </cell>
        </row>
        <row r="40">
          <cell r="A40">
            <v>6</v>
          </cell>
          <cell r="B40">
            <v>31929</v>
          </cell>
          <cell r="C40">
            <v>3</v>
          </cell>
          <cell r="D40">
            <v>1268.1600000000001</v>
          </cell>
          <cell r="E40">
            <v>0.36599999999999999</v>
          </cell>
          <cell r="F40">
            <v>0.16349</v>
          </cell>
          <cell r="G40">
            <v>1.1770000000000001E-2</v>
          </cell>
          <cell r="H40">
            <v>1.0940999999999999E-2</v>
          </cell>
          <cell r="I40">
            <v>0.31746000000000002</v>
          </cell>
          <cell r="J40">
            <v>0.37414000000000003</v>
          </cell>
          <cell r="K40">
            <v>2.801E-2</v>
          </cell>
        </row>
        <row r="41">
          <cell r="A41">
            <v>6</v>
          </cell>
          <cell r="B41">
            <v>32021</v>
          </cell>
          <cell r="C41">
            <v>3</v>
          </cell>
          <cell r="D41">
            <v>1437.83</v>
          </cell>
          <cell r="E41">
            <v>0.33877000000000002</v>
          </cell>
          <cell r="F41">
            <v>0.15001</v>
          </cell>
          <cell r="G41">
            <v>6.3500000000000006E-3</v>
          </cell>
          <cell r="H41">
            <v>5.9789999999999999E-3</v>
          </cell>
          <cell r="I41">
            <v>0.28194999999999998</v>
          </cell>
          <cell r="J41">
            <v>0.33682000000000001</v>
          </cell>
          <cell r="K41">
            <v>1.4171800000000001</v>
          </cell>
        </row>
        <row r="42">
          <cell r="A42">
            <v>6</v>
          </cell>
          <cell r="B42">
            <v>32112</v>
          </cell>
          <cell r="C42">
            <v>4</v>
          </cell>
          <cell r="D42">
            <v>1217.1400000000001</v>
          </cell>
          <cell r="E42">
            <v>0.55766000000000004</v>
          </cell>
          <cell r="F42">
            <v>0.24157999999999999</v>
          </cell>
          <cell r="G42">
            <v>6.7600000000000004E-3</v>
          </cell>
          <cell r="H42">
            <v>5.1799999999999997E-3</v>
          </cell>
          <cell r="I42">
            <v>0.46368999999999999</v>
          </cell>
          <cell r="J42">
            <v>0.53454999999999997</v>
          </cell>
          <cell r="K42">
            <v>2.0709400000000002</v>
          </cell>
        </row>
        <row r="43">
          <cell r="A43">
            <v>6</v>
          </cell>
          <cell r="B43">
            <v>32203</v>
          </cell>
          <cell r="C43">
            <v>4</v>
          </cell>
          <cell r="D43">
            <v>1444.59</v>
          </cell>
          <cell r="E43">
            <v>0.51004000000000005</v>
          </cell>
          <cell r="F43">
            <v>0.22183</v>
          </cell>
          <cell r="G43">
            <v>1.3310000000000001E-2</v>
          </cell>
          <cell r="H43">
            <v>1.684E-3</v>
          </cell>
          <cell r="I43">
            <v>0.41263</v>
          </cell>
          <cell r="J43">
            <v>0.45358999999999999</v>
          </cell>
          <cell r="K43">
            <v>2.4639899999999999</v>
          </cell>
        </row>
        <row r="44">
          <cell r="A44">
            <v>6</v>
          </cell>
          <cell r="B44">
            <v>32295</v>
          </cell>
          <cell r="C44">
            <v>4</v>
          </cell>
          <cell r="D44">
            <v>1662.59</v>
          </cell>
          <cell r="E44">
            <v>0.48524</v>
          </cell>
          <cell r="F44">
            <v>0.21587000000000001</v>
          </cell>
          <cell r="G44">
            <v>2.8150000000000001E-2</v>
          </cell>
          <cell r="H44">
            <v>1.1435000000000001E-2</v>
          </cell>
          <cell r="I44">
            <v>0.37201000000000001</v>
          </cell>
          <cell r="J44">
            <v>0.40240999999999999</v>
          </cell>
          <cell r="K44">
            <v>3.6163600000000002</v>
          </cell>
        </row>
        <row r="45">
          <cell r="A45">
            <v>6</v>
          </cell>
          <cell r="B45">
            <v>32387</v>
          </cell>
          <cell r="C45">
            <v>4</v>
          </cell>
          <cell r="D45">
            <v>1304.82</v>
          </cell>
          <cell r="E45">
            <v>0.68535000000000001</v>
          </cell>
          <cell r="F45">
            <v>0.31025999999999998</v>
          </cell>
          <cell r="G45">
            <v>5.9300000000000005E-2</v>
          </cell>
          <cell r="H45">
            <v>2.9295999999999999E-2</v>
          </cell>
          <cell r="I45">
            <v>0.48793999999999998</v>
          </cell>
          <cell r="J45">
            <v>0.52266999999999997</v>
          </cell>
          <cell r="K45">
            <v>3.0039000000000002</v>
          </cell>
        </row>
        <row r="46">
          <cell r="A46">
            <v>6</v>
          </cell>
          <cell r="B46">
            <v>32478</v>
          </cell>
          <cell r="C46">
            <v>4</v>
          </cell>
          <cell r="D46">
            <v>1138.1400000000001</v>
          </cell>
          <cell r="E46">
            <v>0.87404000000000004</v>
          </cell>
          <cell r="F46">
            <v>0.3992</v>
          </cell>
          <cell r="G46">
            <v>9.4259999999999997E-2</v>
          </cell>
          <cell r="H46">
            <v>5.0192000000000001E-2</v>
          </cell>
          <cell r="I46">
            <v>0.58521999999999996</v>
          </cell>
          <cell r="J46">
            <v>0.66330999999999996</v>
          </cell>
          <cell r="K46">
            <v>2.08799</v>
          </cell>
        </row>
        <row r="47">
          <cell r="A47">
            <v>6</v>
          </cell>
          <cell r="B47">
            <v>32568</v>
          </cell>
          <cell r="C47">
            <v>4</v>
          </cell>
          <cell r="D47">
            <v>1079</v>
          </cell>
          <cell r="E47">
            <v>1.00661</v>
          </cell>
          <cell r="F47">
            <v>0.46667000000000003</v>
          </cell>
          <cell r="G47">
            <v>0.12645000000000001</v>
          </cell>
          <cell r="H47">
            <v>6.3198000000000004E-2</v>
          </cell>
          <cell r="I47">
            <v>0.62699000000000005</v>
          </cell>
          <cell r="J47">
            <v>0.78132000000000001</v>
          </cell>
          <cell r="K47">
            <v>0.86653999999999998</v>
          </cell>
        </row>
        <row r="48">
          <cell r="A48">
            <v>6</v>
          </cell>
          <cell r="B48">
            <v>32660</v>
          </cell>
          <cell r="C48">
            <v>4</v>
          </cell>
          <cell r="D48">
            <v>1125.57</v>
          </cell>
          <cell r="E48">
            <v>1.0232300000000001</v>
          </cell>
          <cell r="F48">
            <v>0.48071999999999998</v>
          </cell>
          <cell r="G48">
            <v>0.13236000000000001</v>
          </cell>
          <cell r="H48">
            <v>6.8373000000000003E-2</v>
          </cell>
          <cell r="I48">
            <v>0.62529999999999997</v>
          </cell>
          <cell r="J48">
            <v>0.78947000000000001</v>
          </cell>
          <cell r="K48">
            <v>-0.98548000000000002</v>
          </cell>
        </row>
        <row r="49">
          <cell r="A49">
            <v>6</v>
          </cell>
          <cell r="B49">
            <v>32752</v>
          </cell>
          <cell r="C49">
            <v>4</v>
          </cell>
          <cell r="D49">
            <v>1217.17</v>
          </cell>
          <cell r="E49">
            <v>0.99285999999999996</v>
          </cell>
          <cell r="F49">
            <v>0.46821000000000002</v>
          </cell>
          <cell r="G49">
            <v>0.12573999999999999</v>
          </cell>
          <cell r="H49">
            <v>6.7576999999999998E-2</v>
          </cell>
          <cell r="I49">
            <v>0.59506999999999999</v>
          </cell>
          <cell r="J49">
            <v>0.76605999999999996</v>
          </cell>
          <cell r="K49">
            <v>-1.8499300000000001</v>
          </cell>
        </row>
        <row r="50">
          <cell r="A50">
            <v>6</v>
          </cell>
          <cell r="B50">
            <v>32843</v>
          </cell>
          <cell r="C50">
            <v>3</v>
          </cell>
          <cell r="D50">
            <v>1023.33</v>
          </cell>
          <cell r="E50">
            <v>1.0516700000000001</v>
          </cell>
          <cell r="F50">
            <v>0.49898999999999999</v>
          </cell>
          <cell r="G50">
            <v>0.12537999999999999</v>
          </cell>
          <cell r="H50">
            <v>6.5616999999999995E-2</v>
          </cell>
          <cell r="I50">
            <v>0.61297000000000001</v>
          </cell>
          <cell r="J50">
            <v>0.85089999999999999</v>
          </cell>
          <cell r="K50">
            <v>-4.2419500000000001</v>
          </cell>
        </row>
        <row r="51">
          <cell r="A51">
            <v>6</v>
          </cell>
          <cell r="B51">
            <v>32933</v>
          </cell>
          <cell r="C51">
            <v>3</v>
          </cell>
          <cell r="D51">
            <v>981.35</v>
          </cell>
          <cell r="E51">
            <v>1.1155999999999999</v>
          </cell>
          <cell r="F51">
            <v>0.52512000000000003</v>
          </cell>
          <cell r="G51">
            <v>0.11550000000000001</v>
          </cell>
          <cell r="H51">
            <v>7.3525999999999994E-2</v>
          </cell>
          <cell r="I51">
            <v>0.65078999999999998</v>
          </cell>
          <cell r="J51">
            <v>0.90436000000000005</v>
          </cell>
          <cell r="K51">
            <v>-3.5407500000000001</v>
          </cell>
        </row>
        <row r="52">
          <cell r="A52">
            <v>6</v>
          </cell>
          <cell r="B52">
            <v>33025</v>
          </cell>
          <cell r="C52">
            <v>3</v>
          </cell>
          <cell r="D52">
            <v>1131.1400000000001</v>
          </cell>
          <cell r="E52">
            <v>0.98065000000000002</v>
          </cell>
          <cell r="F52">
            <v>0.45418000000000003</v>
          </cell>
          <cell r="G52">
            <v>8.541E-2</v>
          </cell>
          <cell r="H52">
            <v>5.3109999999999997E-2</v>
          </cell>
          <cell r="I52">
            <v>0.57432000000000005</v>
          </cell>
          <cell r="J52">
            <v>0.79408000000000001</v>
          </cell>
          <cell r="K52">
            <v>-3.1984400000000002</v>
          </cell>
        </row>
        <row r="53">
          <cell r="A53">
            <v>6</v>
          </cell>
          <cell r="B53">
            <v>33117</v>
          </cell>
          <cell r="C53">
            <v>3</v>
          </cell>
          <cell r="D53">
            <v>669.13</v>
          </cell>
          <cell r="E53">
            <v>1.65086</v>
          </cell>
          <cell r="F53">
            <v>0.75507999999999997</v>
          </cell>
          <cell r="G53">
            <v>0.11226</v>
          </cell>
          <cell r="H53">
            <v>6.6814999999999999E-2</v>
          </cell>
          <cell r="I53">
            <v>0.98230000000000006</v>
          </cell>
          <cell r="J53">
            <v>1.39747</v>
          </cell>
          <cell r="K53">
            <v>-2.4247399999999999</v>
          </cell>
        </row>
        <row r="54">
          <cell r="A54">
            <v>6</v>
          </cell>
          <cell r="B54">
            <v>33208</v>
          </cell>
          <cell r="C54">
            <v>5</v>
          </cell>
          <cell r="D54">
            <v>1046.8499999999999</v>
          </cell>
          <cell r="E54">
            <v>1.26</v>
          </cell>
          <cell r="F54">
            <v>0.52107999999999999</v>
          </cell>
          <cell r="G54">
            <v>2.5600000000000001E-2</v>
          </cell>
          <cell r="H54">
            <v>4.6629999999999998E-2</v>
          </cell>
          <cell r="I54">
            <v>0.78968000000000005</v>
          </cell>
          <cell r="J54">
            <v>1.1262399999999999</v>
          </cell>
          <cell r="K54">
            <v>-3.3387000000000002</v>
          </cell>
        </row>
        <row r="55">
          <cell r="A55">
            <v>6</v>
          </cell>
          <cell r="B55">
            <v>33298</v>
          </cell>
          <cell r="C55">
            <v>5</v>
          </cell>
          <cell r="D55">
            <v>1529.98</v>
          </cell>
          <cell r="E55">
            <v>0.87253000000000003</v>
          </cell>
          <cell r="F55">
            <v>0.37331000000000003</v>
          </cell>
          <cell r="G55">
            <v>2.8490000000000001E-2</v>
          </cell>
          <cell r="H55">
            <v>2.5859E-2</v>
          </cell>
          <cell r="I55">
            <v>0.53702000000000005</v>
          </cell>
          <cell r="J55">
            <v>0.78586999999999996</v>
          </cell>
          <cell r="K55">
            <v>-1.02521</v>
          </cell>
        </row>
        <row r="56">
          <cell r="A56">
            <v>6</v>
          </cell>
          <cell r="B56">
            <v>33390</v>
          </cell>
          <cell r="C56">
            <v>5</v>
          </cell>
          <cell r="D56">
            <v>1567.4</v>
          </cell>
          <cell r="E56">
            <v>0.87146000000000001</v>
          </cell>
          <cell r="F56">
            <v>0.37503999999999998</v>
          </cell>
          <cell r="G56">
            <v>3.4160000000000003E-2</v>
          </cell>
          <cell r="H56">
            <v>2.5189E-2</v>
          </cell>
          <cell r="I56">
            <v>0.53503000000000001</v>
          </cell>
          <cell r="J56">
            <v>0.77515999999999996</v>
          </cell>
          <cell r="K56">
            <v>0.91273000000000004</v>
          </cell>
        </row>
        <row r="57">
          <cell r="A57">
            <v>6</v>
          </cell>
          <cell r="B57">
            <v>33482</v>
          </cell>
          <cell r="C57">
            <v>5</v>
          </cell>
          <cell r="D57">
            <v>1446.4</v>
          </cell>
          <cell r="E57">
            <v>0.97907</v>
          </cell>
          <cell r="F57">
            <v>0.43314999999999998</v>
          </cell>
          <cell r="G57">
            <v>6.1409999999999999E-2</v>
          </cell>
          <cell r="H57">
            <v>3.3943000000000001E-2</v>
          </cell>
          <cell r="I57">
            <v>0.59833000000000003</v>
          </cell>
          <cell r="J57">
            <v>0.87387999999999999</v>
          </cell>
          <cell r="K57">
            <v>1.5314399999999999</v>
          </cell>
        </row>
        <row r="58">
          <cell r="A58">
            <v>6</v>
          </cell>
          <cell r="B58">
            <v>33573</v>
          </cell>
          <cell r="C58">
            <v>5</v>
          </cell>
          <cell r="D58">
            <v>1832.17</v>
          </cell>
          <cell r="E58">
            <v>0.79574</v>
          </cell>
          <cell r="F58">
            <v>0.35302</v>
          </cell>
          <cell r="G58">
            <v>5.9220000000000002E-2</v>
          </cell>
          <cell r="H58">
            <v>3.6733000000000002E-2</v>
          </cell>
          <cell r="I58">
            <v>0.48852000000000001</v>
          </cell>
          <cell r="J58">
            <v>0.71501000000000003</v>
          </cell>
          <cell r="K58">
            <v>1.2956300000000001</v>
          </cell>
        </row>
        <row r="59">
          <cell r="A59">
            <v>6</v>
          </cell>
          <cell r="B59">
            <v>33664</v>
          </cell>
          <cell r="C59">
            <v>5</v>
          </cell>
          <cell r="D59">
            <v>1891.93</v>
          </cell>
          <cell r="E59">
            <v>0.79276999999999997</v>
          </cell>
          <cell r="F59">
            <v>0.35160999999999998</v>
          </cell>
          <cell r="G59">
            <v>6.6100000000000006E-2</v>
          </cell>
          <cell r="H59">
            <v>4.1966999999999997E-2</v>
          </cell>
          <cell r="I59">
            <v>0.49135000000000001</v>
          </cell>
          <cell r="J59">
            <v>0.69511000000000001</v>
          </cell>
          <cell r="K59">
            <v>1.8515600000000001</v>
          </cell>
        </row>
        <row r="60">
          <cell r="A60">
            <v>6</v>
          </cell>
          <cell r="B60">
            <v>33756</v>
          </cell>
          <cell r="C60">
            <v>5</v>
          </cell>
          <cell r="D60">
            <v>1549.63</v>
          </cell>
          <cell r="E60">
            <v>0.99441000000000002</v>
          </cell>
          <cell r="F60">
            <v>0.43906000000000001</v>
          </cell>
          <cell r="G60">
            <v>8.7830000000000005E-2</v>
          </cell>
          <cell r="H60">
            <v>5.5821000000000003E-2</v>
          </cell>
          <cell r="I60">
            <v>0.62390000000000001</v>
          </cell>
          <cell r="J60">
            <v>0.90298999999999996</v>
          </cell>
          <cell r="K60">
            <v>1.70146</v>
          </cell>
        </row>
        <row r="61">
          <cell r="A61">
            <v>6</v>
          </cell>
          <cell r="B61">
            <v>33848</v>
          </cell>
          <cell r="C61">
            <v>5</v>
          </cell>
          <cell r="D61">
            <v>1932.02</v>
          </cell>
          <cell r="E61">
            <v>0.80788000000000004</v>
          </cell>
          <cell r="F61">
            <v>0.35052</v>
          </cell>
          <cell r="G61">
            <v>6.4180000000000001E-2</v>
          </cell>
          <cell r="H61">
            <v>3.6136000000000001E-2</v>
          </cell>
          <cell r="I61">
            <v>0.50372000000000006</v>
          </cell>
          <cell r="J61">
            <v>0.74390000000000001</v>
          </cell>
          <cell r="K61">
            <v>0.99363000000000001</v>
          </cell>
        </row>
        <row r="62">
          <cell r="A62">
            <v>6</v>
          </cell>
          <cell r="B62">
            <v>33939</v>
          </cell>
          <cell r="C62">
            <v>3</v>
          </cell>
          <cell r="D62">
            <v>2070.42</v>
          </cell>
          <cell r="E62">
            <v>0.65473000000000003</v>
          </cell>
          <cell r="F62">
            <v>0.27539999999999998</v>
          </cell>
          <cell r="G62">
            <v>5.3220000000000003E-2</v>
          </cell>
          <cell r="H62">
            <v>3.5429000000000002E-2</v>
          </cell>
          <cell r="I62">
            <v>0.42924000000000001</v>
          </cell>
          <cell r="J62">
            <v>0.55693000000000004</v>
          </cell>
          <cell r="K62">
            <v>1.8106</v>
          </cell>
        </row>
        <row r="63">
          <cell r="A63">
            <v>6</v>
          </cell>
          <cell r="B63">
            <v>34029</v>
          </cell>
          <cell r="C63">
            <v>3</v>
          </cell>
          <cell r="D63">
            <v>2433.08</v>
          </cell>
          <cell r="E63">
            <v>0.57513000000000003</v>
          </cell>
          <cell r="F63">
            <v>0.24203</v>
          </cell>
          <cell r="G63">
            <v>4.7320000000000001E-2</v>
          </cell>
          <cell r="H63">
            <v>3.1462999999999998E-2</v>
          </cell>
          <cell r="I63">
            <v>0.37492999999999999</v>
          </cell>
          <cell r="J63">
            <v>0.48875000000000002</v>
          </cell>
          <cell r="K63">
            <v>1.6956800000000001</v>
          </cell>
        </row>
        <row r="64">
          <cell r="A64">
            <v>6</v>
          </cell>
          <cell r="B64">
            <v>34121</v>
          </cell>
          <cell r="C64">
            <v>3</v>
          </cell>
          <cell r="D64">
            <v>3229.06</v>
          </cell>
          <cell r="E64">
            <v>0.45467000000000002</v>
          </cell>
          <cell r="F64">
            <v>0.19294</v>
          </cell>
          <cell r="G64">
            <v>4.0320000000000002E-2</v>
          </cell>
          <cell r="H64">
            <v>2.657E-2</v>
          </cell>
          <cell r="I64">
            <v>0.29877999999999999</v>
          </cell>
          <cell r="J64">
            <v>0.38238</v>
          </cell>
          <cell r="K64">
            <v>2.3817599999999999</v>
          </cell>
        </row>
        <row r="65">
          <cell r="A65">
            <v>6</v>
          </cell>
          <cell r="B65">
            <v>34213</v>
          </cell>
          <cell r="C65">
            <v>3</v>
          </cell>
          <cell r="D65">
            <v>4305.13</v>
          </cell>
          <cell r="E65">
            <v>0.36492000000000002</v>
          </cell>
          <cell r="F65">
            <v>0.15787000000000001</v>
          </cell>
          <cell r="G65">
            <v>3.8580000000000003E-2</v>
          </cell>
          <cell r="H65">
            <v>2.5527999999999999E-2</v>
          </cell>
          <cell r="I65">
            <v>0.23493</v>
          </cell>
          <cell r="J65">
            <v>0.28987000000000002</v>
          </cell>
          <cell r="K65">
            <v>3.1058400000000002</v>
          </cell>
        </row>
        <row r="66">
          <cell r="A66">
            <v>6</v>
          </cell>
          <cell r="B66">
            <v>34304</v>
          </cell>
          <cell r="C66">
            <v>4</v>
          </cell>
          <cell r="D66">
            <v>5140.46</v>
          </cell>
          <cell r="E66">
            <v>0.36787999999999998</v>
          </cell>
          <cell r="F66">
            <v>0.16020000000000001</v>
          </cell>
          <cell r="G66">
            <v>4.5240000000000002E-2</v>
          </cell>
          <cell r="H66">
            <v>2.9252E-2</v>
          </cell>
          <cell r="I66">
            <v>0.23755999999999999</v>
          </cell>
          <cell r="J66">
            <v>0.30808000000000002</v>
          </cell>
          <cell r="K66">
            <v>3.3764099999999999</v>
          </cell>
        </row>
        <row r="67">
          <cell r="A67">
            <v>6</v>
          </cell>
          <cell r="B67">
            <v>34394</v>
          </cell>
          <cell r="C67">
            <v>4</v>
          </cell>
          <cell r="D67">
            <v>5681.91</v>
          </cell>
          <cell r="E67">
            <v>0.36471999999999999</v>
          </cell>
          <cell r="F67">
            <v>0.16249</v>
          </cell>
          <cell r="G67">
            <v>5.2139999999999999E-2</v>
          </cell>
          <cell r="H67">
            <v>3.3425000000000003E-2</v>
          </cell>
          <cell r="I67">
            <v>0.22772000000000001</v>
          </cell>
          <cell r="J67">
            <v>0.27778000000000003</v>
          </cell>
          <cell r="K67">
            <v>1.5919700000000001</v>
          </cell>
        </row>
        <row r="68">
          <cell r="A68">
            <v>6</v>
          </cell>
          <cell r="B68">
            <v>34486</v>
          </cell>
          <cell r="C68">
            <v>4</v>
          </cell>
          <cell r="D68">
            <v>5910.28</v>
          </cell>
          <cell r="E68">
            <v>0.38815</v>
          </cell>
          <cell r="F68">
            <v>0.17609</v>
          </cell>
          <cell r="G68">
            <v>6.3409999999999994E-2</v>
          </cell>
          <cell r="H68">
            <v>4.1109E-2</v>
          </cell>
          <cell r="I68">
            <v>0.27195999999999998</v>
          </cell>
          <cell r="J68">
            <v>0.28545999999999999</v>
          </cell>
          <cell r="K68">
            <v>3.6648399999999999</v>
          </cell>
        </row>
        <row r="69">
          <cell r="A69">
            <v>6</v>
          </cell>
          <cell r="B69">
            <v>34578</v>
          </cell>
          <cell r="C69">
            <v>4</v>
          </cell>
          <cell r="D69">
            <v>6838.8</v>
          </cell>
          <cell r="E69">
            <v>0.36848999999999998</v>
          </cell>
          <cell r="F69">
            <v>0.17022000000000001</v>
          </cell>
          <cell r="G69">
            <v>6.5790000000000001E-2</v>
          </cell>
          <cell r="H69">
            <v>4.2956000000000001E-2</v>
          </cell>
          <cell r="I69">
            <v>0.25092999999999999</v>
          </cell>
          <cell r="J69">
            <v>0.26250000000000001</v>
          </cell>
          <cell r="K69">
            <v>1.37792</v>
          </cell>
        </row>
        <row r="70">
          <cell r="A70">
            <v>6</v>
          </cell>
          <cell r="B70">
            <v>34669</v>
          </cell>
          <cell r="C70">
            <v>5</v>
          </cell>
          <cell r="D70">
            <v>7220.61</v>
          </cell>
          <cell r="E70">
            <v>0.40222000000000002</v>
          </cell>
          <cell r="F70">
            <v>0.18967000000000001</v>
          </cell>
          <cell r="G70">
            <v>7.6590000000000005E-2</v>
          </cell>
          <cell r="H70">
            <v>5.0539000000000001E-2</v>
          </cell>
          <cell r="I70">
            <v>0.27611000000000002</v>
          </cell>
          <cell r="J70">
            <v>0.28311000000000003</v>
          </cell>
          <cell r="K70">
            <v>0.56274999999999997</v>
          </cell>
        </row>
        <row r="71">
          <cell r="A71">
            <v>6</v>
          </cell>
          <cell r="B71">
            <v>34759</v>
          </cell>
          <cell r="C71">
            <v>5</v>
          </cell>
          <cell r="D71">
            <v>9420.2099999999991</v>
          </cell>
          <cell r="E71">
            <v>0.34458</v>
          </cell>
          <cell r="F71">
            <v>0.16617999999999999</v>
          </cell>
          <cell r="G71">
            <v>6.8790000000000004E-2</v>
          </cell>
          <cell r="H71">
            <v>4.6259000000000002E-2</v>
          </cell>
          <cell r="I71">
            <v>0.22685</v>
          </cell>
          <cell r="J71">
            <v>0.22231999999999999</v>
          </cell>
          <cell r="K71">
            <v>-2.0801400000000001</v>
          </cell>
        </row>
        <row r="72">
          <cell r="A72">
            <v>6</v>
          </cell>
          <cell r="B72">
            <v>34851</v>
          </cell>
          <cell r="C72">
            <v>5</v>
          </cell>
          <cell r="D72">
            <v>13854.79</v>
          </cell>
          <cell r="E72">
            <v>0.26661000000000001</v>
          </cell>
          <cell r="F72">
            <v>0.129</v>
          </cell>
          <cell r="G72">
            <v>5.636E-2</v>
          </cell>
          <cell r="H72">
            <v>3.7656000000000002E-2</v>
          </cell>
          <cell r="I72">
            <v>0.17013</v>
          </cell>
          <cell r="J72">
            <v>0.18018000000000001</v>
          </cell>
          <cell r="K72">
            <v>3.4406500000000002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ontents"/>
      <sheetName val="Oil – Proved reserves"/>
      <sheetName val="Oil - proved reserves history"/>
      <sheetName val="Oil Production – barrels"/>
      <sheetName val="Oil Production – tonnes"/>
      <sheetName val="Oil Consumption – barrels"/>
      <sheetName val="Oil Consumption – tonnes"/>
      <sheetName val="Oil - Regional consumption "/>
      <sheetName val="Oil –  Spot crude prices"/>
      <sheetName val="Oil - crude prices since 1861"/>
      <sheetName val="Oil - Refinery capacities"/>
      <sheetName val="Oil - Refinery throughputs"/>
      <sheetName val="Oil - Regional refining margins"/>
      <sheetName val="Oil - Trade movements"/>
      <sheetName val="Oil - Inter-area movements "/>
      <sheetName val="Oil - Imports and exports"/>
      <sheetName val="Gas – Proved reserves"/>
      <sheetName val="Gas - Proved reserves history "/>
      <sheetName val="Gas Production – bcm"/>
      <sheetName val="Gas Production – bcf"/>
      <sheetName val="Gas Production – tonnes"/>
      <sheetName val="Gas Consumption – bcm"/>
      <sheetName val="Gas Consumption – bcf"/>
      <sheetName val="Gas Consumption – tonnes"/>
      <sheetName val="Gas – Trade movements "/>
      <sheetName val="Gas – Trade movements LNG"/>
      <sheetName val="Gas - Trade - pipeline"/>
      <sheetName val="Gas - Prices "/>
      <sheetName val="Coal - Reserves"/>
      <sheetName val="Coal - Prices"/>
      <sheetName val="Coal - Production tonnes"/>
      <sheetName val=" Coal - Production Mtoe"/>
      <sheetName val="Coal - Consumption Mtoe"/>
      <sheetName val="Nuclear Energy Consumption TWh"/>
      <sheetName val="Nuclear Energy Consumption Mtoe"/>
      <sheetName val="Hydro Consumption TWh"/>
      <sheetName val=" Hydro Consumption - tonnes "/>
      <sheetName val="Other renewables-Twh"/>
      <sheetName val="Other renewables-Mtoe"/>
      <sheetName val="Biofuels Production - barrels "/>
      <sheetName val="Biofuels Production - Ktoe"/>
      <sheetName val="Primary Energy - Consumption"/>
      <sheetName val="Primary Energy - Cons by fuel"/>
      <sheetName val="Electricity Generation "/>
      <sheetName val="Carbon Dioxide Emissions"/>
      <sheetName val="Geothermal capacity"/>
      <sheetName val="Solar capacity"/>
      <sheetName val="Wind capacity"/>
      <sheetName val="Approximate conversion factors"/>
      <sheetName val="Defini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5">
          <cell r="AU5">
            <v>849.44031578948193</v>
          </cell>
        </row>
      </sheetData>
      <sheetData sheetId="34"/>
      <sheetData sheetId="35">
        <row r="5">
          <cell r="AU5">
            <v>259.64815353535045</v>
          </cell>
        </row>
      </sheetData>
      <sheetData sheetId="36"/>
      <sheetData sheetId="37">
        <row r="5">
          <cell r="V5">
            <v>172.91287590643213</v>
          </cell>
        </row>
      </sheetData>
      <sheetData sheetId="38"/>
      <sheetData sheetId="39"/>
      <sheetData sheetId="40"/>
      <sheetData sheetId="41"/>
      <sheetData sheetId="42"/>
      <sheetData sheetId="43">
        <row r="5">
          <cell r="V5">
            <v>4325.9390000000003</v>
          </cell>
        </row>
      </sheetData>
      <sheetData sheetId="44"/>
      <sheetData sheetId="45"/>
      <sheetData sheetId="46"/>
      <sheetData sheetId="47"/>
      <sheetData sheetId="48"/>
      <sheetData sheetId="49"/>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SP "/>
      <sheetName val="NA OUT"/>
      <sheetName val="WE OUT"/>
      <sheetName val="APAC OUT "/>
      <sheetName val="CALA OUT "/>
      <sheetName val="CEE OUT "/>
      <sheetName val="ROW OUT "/>
      <sheetName val="Exchange rates"/>
      <sheetName val="Exchange rates_history"/>
      <sheetName val="Pricing"/>
      <sheetName val="Pricing(NewFX)"/>
      <sheetName val="TEMPLATE"/>
      <sheetName val="Key metrics"/>
      <sheetName val="Vendor Metrics"/>
      <sheetName val="Vendor Tech and Region"/>
      <sheetName val="Regionals"/>
      <sheetName val="Output - OEM Projections"/>
      <sheetName val="Output - OEM Proj(NewFX)"/>
      <sheetName val="Global Sh by Tech Wksht"/>
      <sheetName val="NA"/>
      <sheetName val="US Share by Carrier"/>
      <sheetName val="NA TABLE"/>
      <sheetName val="USTABLE"/>
      <sheetName val="CANTABLE"/>
      <sheetName val="UMTS"/>
      <sheetName val="GLOBAL BY REGION BY PROTOCOL"/>
      <sheetName val="COJK - FORECAST BY REGION"/>
      <sheetName val="Quarterly Ch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Nokia"/>
      <sheetName val="Motorola"/>
      <sheetName val="SEMC"/>
      <sheetName val="Samsung"/>
      <sheetName val="LG"/>
      <sheetName val="RIM"/>
      <sheetName val="Apple"/>
      <sheetName val="HTC"/>
      <sheetName val="Japanese"/>
      <sheetName val="Chinese"/>
      <sheetName val="Others"/>
      <sheetName val="Quarterly Charts"/>
      <sheetName val="Countries_Input"/>
      <sheetName val="WSS"/>
      <sheetName val="Value_step2-currentFX _OBSOLETE"/>
      <sheetName val="Value_share_ _OBSOLETE"/>
      <sheetName val="Countries"/>
      <sheetName val="Output"/>
      <sheetName val="Device Type Value FRCST"/>
      <sheetName val="Input- OEM FCST - Handsets"/>
      <sheetName val="Output - OEM FCST - Handsets"/>
      <sheetName val="Regionals"/>
      <sheetName val="Global Sh by Tech Wksht"/>
      <sheetName val="Value_step1"/>
      <sheetName val="Value_step2-historicalFX"/>
      <sheetName val="Output - OEM Proj(HistoricalFX)"/>
      <sheetName val="Exchange rates"/>
      <sheetName val="Exchange rates_history"/>
      <sheetName val="Flat File"/>
      <sheetName val="Flat File (2)"/>
      <sheetName val="Sheet1"/>
    </sheetNames>
    <sheetDataSet>
      <sheetData sheetId="0"/>
      <sheetData sheetId="1"/>
      <sheetData sheetId="2"/>
      <sheetData sheetId="3"/>
      <sheetData sheetId="4"/>
      <sheetData sheetId="5"/>
      <sheetData sheetId="6"/>
      <sheetData sheetId="7"/>
      <sheetData sheetId="8">
        <row r="237">
          <cell r="A237" t="str">
            <v>Kyocera</v>
          </cell>
        </row>
        <row r="238">
          <cell r="A238" t="str">
            <v>Shipments, millions</v>
          </cell>
        </row>
        <row r="239">
          <cell r="A239" t="str">
            <v>Net Sales (Billion Yen)</v>
          </cell>
        </row>
        <row r="240">
          <cell r="A240" t="str">
            <v>Operating Income(E)</v>
          </cell>
        </row>
        <row r="241">
          <cell r="A241" t="str">
            <v>Operating Margin (Loss)</v>
          </cell>
        </row>
        <row r="242">
          <cell r="A242" t="str">
            <v>Wholesale ASP</v>
          </cell>
        </row>
        <row r="243">
          <cell r="A243" t="str">
            <v>Wholesale ASP (USD)</v>
          </cell>
        </row>
        <row r="245">
          <cell r="A245" t="str">
            <v>Reported Revenue (Telecom Grp)</v>
          </cell>
        </row>
        <row r="248">
          <cell r="A248" t="str">
            <v>% Shipments by Technology</v>
          </cell>
        </row>
        <row r="249">
          <cell r="A249" t="str">
            <v>CDMA</v>
          </cell>
        </row>
        <row r="250">
          <cell r="A250" t="str">
            <v>GSM</v>
          </cell>
        </row>
        <row r="251">
          <cell r="A251" t="str">
            <v>WCDMA</v>
          </cell>
        </row>
        <row r="252">
          <cell r="A252" t="str">
            <v>PDC</v>
          </cell>
        </row>
        <row r="253">
          <cell r="A253" t="str">
            <v>Total</v>
          </cell>
        </row>
        <row r="255">
          <cell r="A255" t="str">
            <v>Unit Shipments by Technology</v>
          </cell>
        </row>
        <row r="256">
          <cell r="A256" t="str">
            <v>CDMA</v>
          </cell>
        </row>
        <row r="257">
          <cell r="A257" t="str">
            <v>GSM</v>
          </cell>
        </row>
        <row r="258">
          <cell r="A258" t="str">
            <v>WCDMA</v>
          </cell>
        </row>
        <row r="259">
          <cell r="A259" t="str">
            <v>Others</v>
          </cell>
        </row>
        <row r="260">
          <cell r="A260" t="str">
            <v>Total</v>
          </cell>
        </row>
        <row r="263">
          <cell r="A263" t="str">
            <v>% Shipments by Region</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Shipments by Region (mil)</v>
          </cell>
        </row>
        <row r="273">
          <cell r="A273" t="str">
            <v>N America</v>
          </cell>
        </row>
        <row r="274">
          <cell r="A274" t="str">
            <v>W Europe</v>
          </cell>
        </row>
        <row r="275">
          <cell r="A275" t="str">
            <v>APAC</v>
          </cell>
        </row>
        <row r="276">
          <cell r="A276" t="str">
            <v>CALA</v>
          </cell>
        </row>
        <row r="277">
          <cell r="A277" t="str">
            <v>C/E Europe</v>
          </cell>
        </row>
        <row r="278">
          <cell r="A278" t="str">
            <v>ROW</v>
          </cell>
        </row>
        <row r="281">
          <cell r="A281" t="str">
            <v>NA (mln)</v>
          </cell>
        </row>
        <row r="282">
          <cell r="A282" t="str">
            <v>GSM</v>
          </cell>
        </row>
        <row r="283">
          <cell r="A283" t="str">
            <v>UMTS</v>
          </cell>
        </row>
        <row r="284">
          <cell r="A284" t="str">
            <v>CDMA</v>
          </cell>
        </row>
        <row r="285">
          <cell r="A285" t="str">
            <v>Others</v>
          </cell>
        </row>
        <row r="286">
          <cell r="A286" t="str">
            <v>Total</v>
          </cell>
        </row>
        <row r="287">
          <cell r="A287" t="str">
            <v>NA  (%)</v>
          </cell>
        </row>
        <row r="288">
          <cell r="A288" t="str">
            <v>GSM</v>
          </cell>
        </row>
        <row r="289">
          <cell r="A289" t="str">
            <v>UMTS</v>
          </cell>
        </row>
        <row r="290">
          <cell r="A290" t="str">
            <v>CDMA</v>
          </cell>
        </row>
        <row r="291">
          <cell r="A291" t="str">
            <v>Others</v>
          </cell>
        </row>
        <row r="292">
          <cell r="A292" t="str">
            <v>Total</v>
          </cell>
        </row>
        <row r="293">
          <cell r="A293" t="str">
            <v>WE (mln)</v>
          </cell>
        </row>
        <row r="294">
          <cell r="A294" t="str">
            <v>GSM</v>
          </cell>
        </row>
        <row r="295">
          <cell r="A295" t="str">
            <v>UMTS</v>
          </cell>
        </row>
        <row r="296">
          <cell r="A296" t="str">
            <v>CDMA</v>
          </cell>
        </row>
        <row r="297">
          <cell r="A297" t="str">
            <v>Others</v>
          </cell>
        </row>
        <row r="299">
          <cell r="A299" t="str">
            <v>WE (%)</v>
          </cell>
        </row>
        <row r="300">
          <cell r="A300" t="str">
            <v>GSM</v>
          </cell>
        </row>
        <row r="301">
          <cell r="A301" t="str">
            <v>UMTS</v>
          </cell>
        </row>
        <row r="302">
          <cell r="A302" t="str">
            <v>CDMA</v>
          </cell>
        </row>
        <row r="303">
          <cell r="A303" t="str">
            <v>Others</v>
          </cell>
        </row>
        <row r="305">
          <cell r="A305" t="str">
            <v>APAC (mln)</v>
          </cell>
        </row>
        <row r="306">
          <cell r="A306" t="str">
            <v>GSM</v>
          </cell>
        </row>
        <row r="307">
          <cell r="A307" t="str">
            <v>UMTS</v>
          </cell>
        </row>
        <row r="308">
          <cell r="A308" t="str">
            <v>CDMA</v>
          </cell>
        </row>
        <row r="309">
          <cell r="A309" t="str">
            <v>Others</v>
          </cell>
        </row>
        <row r="310">
          <cell r="A310" t="str">
            <v>Total</v>
          </cell>
        </row>
        <row r="311">
          <cell r="A311" t="str">
            <v>APAC  (%)</v>
          </cell>
        </row>
        <row r="312">
          <cell r="A312" t="str">
            <v>GSM</v>
          </cell>
        </row>
        <row r="313">
          <cell r="A313" t="str">
            <v>UMTS</v>
          </cell>
        </row>
        <row r="314">
          <cell r="A314" t="str">
            <v>CDMA</v>
          </cell>
        </row>
        <row r="315">
          <cell r="A315" t="str">
            <v>Others</v>
          </cell>
        </row>
        <row r="316">
          <cell r="A316" t="str">
            <v>Total</v>
          </cell>
        </row>
        <row r="317">
          <cell r="A317" t="str">
            <v>CALA</v>
          </cell>
        </row>
        <row r="318">
          <cell r="A318" t="str">
            <v>GSM</v>
          </cell>
        </row>
        <row r="319">
          <cell r="A319" t="str">
            <v>UMTS</v>
          </cell>
        </row>
        <row r="320">
          <cell r="A320" t="str">
            <v>CDMA</v>
          </cell>
        </row>
        <row r="321">
          <cell r="A321" t="str">
            <v>Others</v>
          </cell>
        </row>
        <row r="322">
          <cell r="A322" t="str">
            <v>Total</v>
          </cell>
        </row>
        <row r="323">
          <cell r="A323" t="str">
            <v>CALA (%)</v>
          </cell>
        </row>
        <row r="324">
          <cell r="A324" t="str">
            <v>GSM</v>
          </cell>
        </row>
        <row r="325">
          <cell r="A325" t="str">
            <v>UMTS</v>
          </cell>
        </row>
        <row r="326">
          <cell r="A326" t="str">
            <v>CDMA</v>
          </cell>
        </row>
        <row r="327">
          <cell r="A327" t="str">
            <v>Others</v>
          </cell>
        </row>
        <row r="328">
          <cell r="A328" t="str">
            <v>Total</v>
          </cell>
        </row>
        <row r="329">
          <cell r="A329" t="str">
            <v>CEE (mln)</v>
          </cell>
        </row>
        <row r="330">
          <cell r="A330" t="str">
            <v>GSM</v>
          </cell>
        </row>
        <row r="331">
          <cell r="A331" t="str">
            <v>UMTS</v>
          </cell>
        </row>
        <row r="332">
          <cell r="A332" t="str">
            <v>CDMA</v>
          </cell>
        </row>
        <row r="333">
          <cell r="A333" t="str">
            <v>Others</v>
          </cell>
        </row>
        <row r="335">
          <cell r="A335" t="str">
            <v>CEE  (%)</v>
          </cell>
        </row>
        <row r="336">
          <cell r="A336" t="str">
            <v>GSM</v>
          </cell>
        </row>
        <row r="337">
          <cell r="A337" t="str">
            <v>UMTS</v>
          </cell>
        </row>
        <row r="338">
          <cell r="A338" t="str">
            <v>CDMA</v>
          </cell>
        </row>
        <row r="339">
          <cell r="A339" t="str">
            <v>Others</v>
          </cell>
        </row>
        <row r="341">
          <cell r="A341" t="str">
            <v>ROW</v>
          </cell>
        </row>
        <row r="342">
          <cell r="A342" t="str">
            <v>GSM</v>
          </cell>
        </row>
        <row r="343">
          <cell r="A343" t="str">
            <v>UMTS</v>
          </cell>
        </row>
        <row r="344">
          <cell r="A344" t="str">
            <v>CDMA</v>
          </cell>
        </row>
        <row r="345">
          <cell r="A345" t="str">
            <v>Others</v>
          </cell>
        </row>
        <row r="347">
          <cell r="A347" t="str">
            <v>ROW (%)</v>
          </cell>
        </row>
        <row r="348">
          <cell r="A348" t="str">
            <v>GSM</v>
          </cell>
        </row>
        <row r="349">
          <cell r="A349" t="str">
            <v>UMTS</v>
          </cell>
        </row>
        <row r="351">
          <cell r="A351" t="str">
            <v>Others</v>
          </cell>
        </row>
        <row r="353">
          <cell r="A353" t="str">
            <v>NEC</v>
          </cell>
        </row>
        <row r="354">
          <cell r="A354" t="str">
            <v>Shipments (Millions Of Units)</v>
          </cell>
        </row>
        <row r="355">
          <cell r="A355" t="str">
            <v>Net Sales (Billion Yen)</v>
          </cell>
        </row>
        <row r="356">
          <cell r="A356" t="str">
            <v>Operating Income(E)</v>
          </cell>
        </row>
        <row r="357">
          <cell r="A357" t="str">
            <v>Operating Margin (Loss)</v>
          </cell>
        </row>
        <row r="358">
          <cell r="A358" t="str">
            <v>Wholesale ASP</v>
          </cell>
        </row>
        <row r="359">
          <cell r="A359" t="str">
            <v>Wholesale ASP (USD)</v>
          </cell>
        </row>
        <row r="361">
          <cell r="A361" t="str">
            <v>NEC+Casio - Reported Revenue (Billions of Yen)</v>
          </cell>
        </row>
        <row r="362">
          <cell r="A362" t="str">
            <v>Calculated Wholesale ASP(Japanese Yen '000))</v>
          </cell>
        </row>
        <row r="365">
          <cell r="A365" t="str">
            <v>% Shipments by Technology</v>
          </cell>
        </row>
        <row r="366">
          <cell r="A366" t="str">
            <v>CDMA</v>
          </cell>
        </row>
        <row r="367">
          <cell r="A367" t="str">
            <v>GSM</v>
          </cell>
        </row>
        <row r="368">
          <cell r="A368" t="str">
            <v>WCDMA</v>
          </cell>
        </row>
        <row r="369">
          <cell r="A369" t="str">
            <v>PDC</v>
          </cell>
        </row>
        <row r="370">
          <cell r="A370" t="str">
            <v>LTE</v>
          </cell>
        </row>
        <row r="371">
          <cell r="A371" t="str">
            <v>Total</v>
          </cell>
        </row>
        <row r="373">
          <cell r="A373" t="str">
            <v>Unit Shipments by Technology</v>
          </cell>
        </row>
        <row r="374">
          <cell r="A374" t="str">
            <v>CDMA</v>
          </cell>
        </row>
        <row r="375">
          <cell r="A375" t="str">
            <v>GSM</v>
          </cell>
        </row>
        <row r="376">
          <cell r="A376" t="str">
            <v>WCDMA</v>
          </cell>
        </row>
        <row r="377">
          <cell r="A377" t="str">
            <v>Others</v>
          </cell>
        </row>
        <row r="378">
          <cell r="A378" t="str">
            <v>LTE</v>
          </cell>
        </row>
        <row r="379">
          <cell r="A379" t="str">
            <v>Total</v>
          </cell>
        </row>
        <row r="382">
          <cell r="A382" t="str">
            <v>% Shipments by Region</v>
          </cell>
        </row>
        <row r="383">
          <cell r="A383" t="str">
            <v>N America</v>
          </cell>
        </row>
        <row r="384">
          <cell r="A384" t="str">
            <v>W Europe</v>
          </cell>
        </row>
        <row r="385">
          <cell r="A385" t="str">
            <v>APAC</v>
          </cell>
        </row>
        <row r="386">
          <cell r="A386" t="str">
            <v>CALA</v>
          </cell>
        </row>
        <row r="387">
          <cell r="A387" t="str">
            <v>C/E Europe</v>
          </cell>
        </row>
        <row r="388">
          <cell r="A388" t="str">
            <v>ROW</v>
          </cell>
        </row>
        <row r="391">
          <cell r="A391" t="str">
            <v>Shipments by Region (mil)</v>
          </cell>
        </row>
        <row r="392">
          <cell r="A392" t="str">
            <v>N America</v>
          </cell>
        </row>
        <row r="393">
          <cell r="A393" t="str">
            <v>W Europe</v>
          </cell>
        </row>
        <row r="394">
          <cell r="A394" t="str">
            <v>APAC</v>
          </cell>
        </row>
        <row r="395">
          <cell r="A395" t="str">
            <v>CALA</v>
          </cell>
        </row>
        <row r="396">
          <cell r="A396" t="str">
            <v>C/E Europe</v>
          </cell>
        </row>
        <row r="397">
          <cell r="A397" t="str">
            <v>ROW</v>
          </cell>
        </row>
        <row r="400">
          <cell r="A400" t="str">
            <v>NA (mln)</v>
          </cell>
        </row>
        <row r="401">
          <cell r="A401" t="str">
            <v>GSM</v>
          </cell>
        </row>
        <row r="402">
          <cell r="A402" t="str">
            <v>UMTS</v>
          </cell>
        </row>
        <row r="403">
          <cell r="A403" t="str">
            <v>CDMA</v>
          </cell>
        </row>
        <row r="404">
          <cell r="A404" t="str">
            <v>Others</v>
          </cell>
        </row>
        <row r="406">
          <cell r="A406" t="str">
            <v>NA  (%)</v>
          </cell>
        </row>
        <row r="407">
          <cell r="A407" t="str">
            <v>GSM</v>
          </cell>
        </row>
        <row r="408">
          <cell r="A408" t="str">
            <v>UMTS</v>
          </cell>
        </row>
        <row r="409">
          <cell r="A409" t="str">
            <v>CDMA</v>
          </cell>
        </row>
        <row r="410">
          <cell r="A410" t="str">
            <v>Others</v>
          </cell>
        </row>
        <row r="412">
          <cell r="A412" t="str">
            <v>WE (mln)</v>
          </cell>
        </row>
        <row r="413">
          <cell r="A413" t="str">
            <v>GSM</v>
          </cell>
        </row>
        <row r="414">
          <cell r="A414" t="str">
            <v>UMTS</v>
          </cell>
        </row>
        <row r="415">
          <cell r="A415" t="str">
            <v>CDMA</v>
          </cell>
        </row>
        <row r="416">
          <cell r="A416" t="str">
            <v>Others</v>
          </cell>
        </row>
        <row r="418">
          <cell r="A418" t="str">
            <v>WE (%)</v>
          </cell>
        </row>
        <row r="419">
          <cell r="A419" t="str">
            <v>GSM</v>
          </cell>
        </row>
        <row r="420">
          <cell r="A420" t="str">
            <v>UMTS</v>
          </cell>
        </row>
        <row r="421">
          <cell r="A421" t="str">
            <v>CDMA</v>
          </cell>
        </row>
        <row r="422">
          <cell r="A422" t="str">
            <v>Others</v>
          </cell>
        </row>
        <row r="424">
          <cell r="A424" t="str">
            <v>APAC (mln)</v>
          </cell>
        </row>
        <row r="425">
          <cell r="A425" t="str">
            <v>GSM</v>
          </cell>
        </row>
        <row r="426">
          <cell r="A426" t="str">
            <v>UMTS</v>
          </cell>
        </row>
        <row r="427">
          <cell r="A427" t="str">
            <v>CDMA</v>
          </cell>
        </row>
        <row r="428">
          <cell r="A428" t="str">
            <v>LTE</v>
          </cell>
        </row>
        <row r="429">
          <cell r="A429" t="str">
            <v>Others</v>
          </cell>
        </row>
        <row r="430">
          <cell r="A430" t="str">
            <v>Total</v>
          </cell>
        </row>
        <row r="431">
          <cell r="A431" t="str">
            <v>APAC  (%)</v>
          </cell>
        </row>
        <row r="432">
          <cell r="A432" t="str">
            <v>GSM</v>
          </cell>
        </row>
        <row r="433">
          <cell r="A433" t="str">
            <v>UMTS</v>
          </cell>
        </row>
        <row r="434">
          <cell r="A434" t="str">
            <v>CDMA</v>
          </cell>
        </row>
        <row r="435">
          <cell r="A435" t="str">
            <v>LTE</v>
          </cell>
        </row>
        <row r="436">
          <cell r="A436" t="str">
            <v>Others</v>
          </cell>
        </row>
        <row r="437">
          <cell r="A437" t="str">
            <v>Total</v>
          </cell>
        </row>
        <row r="438">
          <cell r="A438" t="str">
            <v>CALA</v>
          </cell>
        </row>
        <row r="439">
          <cell r="A439" t="str">
            <v>GSM</v>
          </cell>
        </row>
        <row r="440">
          <cell r="A440" t="str">
            <v>UMTS</v>
          </cell>
        </row>
        <row r="441">
          <cell r="A441" t="str">
            <v>CDMA</v>
          </cell>
        </row>
        <row r="442">
          <cell r="A442" t="str">
            <v>Others</v>
          </cell>
        </row>
        <row r="444">
          <cell r="A444" t="str">
            <v>CALA (%)</v>
          </cell>
        </row>
        <row r="445">
          <cell r="A445" t="str">
            <v>GSM</v>
          </cell>
        </row>
        <row r="446">
          <cell r="A446" t="str">
            <v>UMTS</v>
          </cell>
        </row>
        <row r="447">
          <cell r="A447" t="str">
            <v>CDMA</v>
          </cell>
        </row>
        <row r="448">
          <cell r="A448" t="str">
            <v>Others</v>
          </cell>
        </row>
        <row r="450">
          <cell r="A450" t="str">
            <v>CEE (mln)</v>
          </cell>
        </row>
        <row r="451">
          <cell r="A451" t="str">
            <v>GSM</v>
          </cell>
        </row>
        <row r="452">
          <cell r="A452" t="str">
            <v>UMTS</v>
          </cell>
        </row>
        <row r="453">
          <cell r="A453" t="str">
            <v>CDMA</v>
          </cell>
        </row>
        <row r="454">
          <cell r="A454" t="str">
            <v>Others</v>
          </cell>
        </row>
        <row r="456">
          <cell r="A456" t="str">
            <v>CEE  (%)</v>
          </cell>
        </row>
        <row r="457">
          <cell r="A457" t="str">
            <v>GSM</v>
          </cell>
        </row>
        <row r="458">
          <cell r="A458" t="str">
            <v>UMTS</v>
          </cell>
        </row>
        <row r="459">
          <cell r="A459" t="str">
            <v>CDMA</v>
          </cell>
        </row>
        <row r="460">
          <cell r="A460" t="str">
            <v>Others</v>
          </cell>
        </row>
        <row r="462">
          <cell r="A462" t="str">
            <v>ROW</v>
          </cell>
        </row>
        <row r="463">
          <cell r="A463" t="str">
            <v>GSM</v>
          </cell>
        </row>
        <row r="464">
          <cell r="A464" t="str">
            <v>UMTS</v>
          </cell>
        </row>
        <row r="465">
          <cell r="A465" t="str">
            <v>CDMA</v>
          </cell>
        </row>
        <row r="466">
          <cell r="A466" t="str">
            <v>Others</v>
          </cell>
        </row>
        <row r="468">
          <cell r="A468" t="str">
            <v>ROW (%)</v>
          </cell>
        </row>
        <row r="469">
          <cell r="A469" t="str">
            <v>GSM</v>
          </cell>
        </row>
        <row r="470">
          <cell r="A470" t="str">
            <v>UMTS</v>
          </cell>
        </row>
        <row r="471">
          <cell r="A471" t="str">
            <v>CDMA</v>
          </cell>
        </row>
        <row r="472">
          <cell r="A472" t="str">
            <v>Others</v>
          </cell>
        </row>
        <row r="473">
          <cell r="A473" t="str">
            <v>Smartphone numbers</v>
          </cell>
        </row>
        <row r="474">
          <cell r="A474" t="str">
            <v>Linux (MOAP)</v>
          </cell>
        </row>
        <row r="475">
          <cell r="A475" t="str">
            <v>Japan Total</v>
          </cell>
        </row>
        <row r="476">
          <cell r="A476" t="str">
            <v>Japan - Docomo</v>
          </cell>
        </row>
        <row r="477">
          <cell r="A477" t="str">
            <v>Japan - Softbank</v>
          </cell>
        </row>
        <row r="478">
          <cell r="A478" t="str">
            <v>Japan - Au</v>
          </cell>
        </row>
        <row r="480">
          <cell r="A480" t="str">
            <v>Panasonic</v>
          </cell>
        </row>
        <row r="481">
          <cell r="A481" t="str">
            <v>Shipments, millions</v>
          </cell>
        </row>
        <row r="482">
          <cell r="A482" t="str">
            <v>Net Sales (Billion Yen)</v>
          </cell>
        </row>
        <row r="483">
          <cell r="A483" t="str">
            <v>Operating Income(E)</v>
          </cell>
        </row>
        <row r="484">
          <cell r="A484" t="str">
            <v>Operating Margin (Loss)</v>
          </cell>
        </row>
        <row r="485">
          <cell r="A485" t="str">
            <v>Wholesale ASP</v>
          </cell>
        </row>
        <row r="486">
          <cell r="A486" t="str">
            <v>Wholesale ASP (USD)</v>
          </cell>
        </row>
        <row r="488">
          <cell r="A488" t="str">
            <v>Panasonic Mobile Communications Reported Sales (Billions Yen)</v>
          </cell>
        </row>
        <row r="489">
          <cell r="A489" t="str">
            <v>Reported Operating Income (Billion Yen)</v>
          </cell>
        </row>
        <row r="490">
          <cell r="A490" t="str">
            <v>Operating Margin (Loss) %</v>
          </cell>
        </row>
        <row r="492">
          <cell r="A492" t="str">
            <v>% Shipments by Technology</v>
          </cell>
        </row>
        <row r="493">
          <cell r="A493" t="str">
            <v>CDMA</v>
          </cell>
        </row>
        <row r="494">
          <cell r="A494" t="str">
            <v>GSM</v>
          </cell>
        </row>
        <row r="495">
          <cell r="A495" t="str">
            <v>WCDMA</v>
          </cell>
        </row>
        <row r="496">
          <cell r="A496" t="str">
            <v>PDC</v>
          </cell>
        </row>
        <row r="497">
          <cell r="A497" t="str">
            <v>Total</v>
          </cell>
        </row>
        <row r="499">
          <cell r="A499" t="str">
            <v>Unit Shipments by Technology</v>
          </cell>
        </row>
        <row r="500">
          <cell r="A500" t="str">
            <v>CDMA</v>
          </cell>
        </row>
        <row r="501">
          <cell r="A501" t="str">
            <v>GSM</v>
          </cell>
        </row>
        <row r="502">
          <cell r="A502" t="str">
            <v>WCDMA</v>
          </cell>
        </row>
        <row r="503">
          <cell r="A503" t="str">
            <v>Others</v>
          </cell>
        </row>
        <row r="504">
          <cell r="A504" t="str">
            <v>Total</v>
          </cell>
        </row>
        <row r="507">
          <cell r="A507" t="str">
            <v>% Shipments by Region</v>
          </cell>
        </row>
        <row r="508">
          <cell r="A508" t="str">
            <v>N America</v>
          </cell>
        </row>
        <row r="509">
          <cell r="A509" t="str">
            <v>W Europe</v>
          </cell>
        </row>
        <row r="510">
          <cell r="A510" t="str">
            <v>APAC</v>
          </cell>
        </row>
        <row r="511">
          <cell r="A511" t="str">
            <v>CALA</v>
          </cell>
        </row>
        <row r="512">
          <cell r="A512" t="str">
            <v>C/E Europe</v>
          </cell>
        </row>
        <row r="513">
          <cell r="A513" t="str">
            <v>ROW</v>
          </cell>
          <cell r="AI513">
            <v>0</v>
          </cell>
        </row>
        <row r="516">
          <cell r="A516" t="str">
            <v>Shipments by Region (mil)</v>
          </cell>
        </row>
        <row r="517">
          <cell r="A517" t="str">
            <v>N America</v>
          </cell>
        </row>
        <row r="518">
          <cell r="A518" t="str">
            <v>W Europe</v>
          </cell>
        </row>
        <row r="519">
          <cell r="A519" t="str">
            <v>APAC</v>
          </cell>
        </row>
        <row r="520">
          <cell r="A520" t="str">
            <v>CALA</v>
          </cell>
        </row>
        <row r="521">
          <cell r="A521" t="str">
            <v>C/E Europe</v>
          </cell>
        </row>
        <row r="522">
          <cell r="A522" t="str">
            <v>ROW</v>
          </cell>
        </row>
        <row r="525">
          <cell r="A525" t="str">
            <v>NA (mln)</v>
          </cell>
        </row>
        <row r="526">
          <cell r="A526" t="str">
            <v>GSM</v>
          </cell>
        </row>
        <row r="527">
          <cell r="A527" t="str">
            <v>UMTS</v>
          </cell>
        </row>
        <row r="528">
          <cell r="A528" t="str">
            <v>CDMA</v>
          </cell>
        </row>
        <row r="529">
          <cell r="A529" t="str">
            <v>Others</v>
          </cell>
        </row>
        <row r="531">
          <cell r="A531" t="str">
            <v>NA  (%)</v>
          </cell>
        </row>
        <row r="532">
          <cell r="A532" t="str">
            <v>GSM</v>
          </cell>
        </row>
        <row r="533">
          <cell r="A533" t="str">
            <v>UMTS</v>
          </cell>
        </row>
        <row r="534">
          <cell r="A534" t="str">
            <v>CDMA</v>
          </cell>
        </row>
        <row r="535">
          <cell r="A535" t="str">
            <v>Others</v>
          </cell>
        </row>
        <row r="537">
          <cell r="A537" t="str">
            <v>WE (mln)</v>
          </cell>
        </row>
        <row r="538">
          <cell r="A538" t="str">
            <v>GSM</v>
          </cell>
        </row>
        <row r="539">
          <cell r="A539" t="str">
            <v>UMTS</v>
          </cell>
        </row>
        <row r="540">
          <cell r="A540" t="str">
            <v>CDMA</v>
          </cell>
        </row>
        <row r="541">
          <cell r="A541" t="str">
            <v>Others</v>
          </cell>
        </row>
        <row r="543">
          <cell r="A543" t="str">
            <v>WE (%)</v>
          </cell>
        </row>
        <row r="544">
          <cell r="A544" t="str">
            <v>GSM</v>
          </cell>
        </row>
        <row r="545">
          <cell r="A545" t="str">
            <v>UMTS</v>
          </cell>
        </row>
        <row r="546">
          <cell r="A546" t="str">
            <v>CDMA</v>
          </cell>
        </row>
        <row r="547">
          <cell r="A547" t="str">
            <v>Others</v>
          </cell>
        </row>
        <row r="549">
          <cell r="A549" t="str">
            <v>APAC (mln)</v>
          </cell>
        </row>
        <row r="550">
          <cell r="A550" t="str">
            <v>GSM</v>
          </cell>
        </row>
        <row r="551">
          <cell r="A551" t="str">
            <v>UMTS</v>
          </cell>
        </row>
        <row r="552">
          <cell r="A552" t="str">
            <v>CDMA</v>
          </cell>
        </row>
        <row r="553">
          <cell r="A553" t="str">
            <v>Others</v>
          </cell>
        </row>
        <row r="555">
          <cell r="A555" t="str">
            <v>APAC  (%)</v>
          </cell>
        </row>
        <row r="556">
          <cell r="A556" t="str">
            <v>GSM</v>
          </cell>
        </row>
        <row r="557">
          <cell r="A557" t="str">
            <v>UMTS</v>
          </cell>
        </row>
        <row r="558">
          <cell r="A558" t="str">
            <v>CDMA</v>
          </cell>
        </row>
        <row r="559">
          <cell r="A559" t="str">
            <v>Others</v>
          </cell>
        </row>
        <row r="561">
          <cell r="A561" t="str">
            <v>CALA</v>
          </cell>
        </row>
        <row r="562">
          <cell r="A562" t="str">
            <v>GSM</v>
          </cell>
        </row>
        <row r="563">
          <cell r="A563" t="str">
            <v>UMTS</v>
          </cell>
        </row>
        <row r="564">
          <cell r="A564" t="str">
            <v>CDMA</v>
          </cell>
        </row>
        <row r="565">
          <cell r="A565" t="str">
            <v>Others</v>
          </cell>
        </row>
        <row r="567">
          <cell r="A567" t="str">
            <v>CALA (%)</v>
          </cell>
        </row>
        <row r="568">
          <cell r="A568" t="str">
            <v>GSM</v>
          </cell>
        </row>
        <row r="569">
          <cell r="A569" t="str">
            <v>UMTS</v>
          </cell>
        </row>
        <row r="570">
          <cell r="A570" t="str">
            <v>CDMA</v>
          </cell>
        </row>
        <row r="571">
          <cell r="A571" t="str">
            <v>Others</v>
          </cell>
        </row>
        <row r="573">
          <cell r="A573" t="str">
            <v>CEE (mln)</v>
          </cell>
        </row>
        <row r="574">
          <cell r="A574" t="str">
            <v>GSM</v>
          </cell>
        </row>
        <row r="575">
          <cell r="A575" t="str">
            <v>UMTS</v>
          </cell>
        </row>
        <row r="576">
          <cell r="A576" t="str">
            <v>CDMA</v>
          </cell>
        </row>
        <row r="577">
          <cell r="A577" t="str">
            <v>Others</v>
          </cell>
        </row>
        <row r="579">
          <cell r="A579" t="str">
            <v>CEE  (%)</v>
          </cell>
        </row>
        <row r="580">
          <cell r="A580" t="str">
            <v>GSM</v>
          </cell>
        </row>
        <row r="581">
          <cell r="A581" t="str">
            <v>UMTS</v>
          </cell>
        </row>
        <row r="582">
          <cell r="A582" t="str">
            <v>CDMA</v>
          </cell>
        </row>
        <row r="583">
          <cell r="A583" t="str">
            <v>Others</v>
          </cell>
        </row>
        <row r="585">
          <cell r="A585" t="str">
            <v>ROW</v>
          </cell>
        </row>
        <row r="586">
          <cell r="A586" t="str">
            <v>GSM</v>
          </cell>
        </row>
        <row r="587">
          <cell r="A587" t="str">
            <v>UMTS</v>
          </cell>
        </row>
        <row r="588">
          <cell r="A588" t="str">
            <v>CDMA</v>
          </cell>
        </row>
        <row r="589">
          <cell r="A589" t="str">
            <v>Others</v>
          </cell>
        </row>
        <row r="591">
          <cell r="A591" t="str">
            <v>ROW (%)</v>
          </cell>
        </row>
        <row r="592">
          <cell r="A592" t="str">
            <v>GSM</v>
          </cell>
        </row>
        <row r="593">
          <cell r="A593" t="str">
            <v>UMTS</v>
          </cell>
        </row>
        <row r="594">
          <cell r="A594" t="str">
            <v>CDMA</v>
          </cell>
        </row>
        <row r="595">
          <cell r="A595" t="str">
            <v>Others</v>
          </cell>
        </row>
        <row r="596">
          <cell r="A596" t="str">
            <v>Smartphone numbers</v>
          </cell>
        </row>
        <row r="597">
          <cell r="A597" t="str">
            <v>Linux (MOAP)</v>
          </cell>
        </row>
        <row r="598">
          <cell r="A598" t="str">
            <v>Japan Total</v>
          </cell>
        </row>
        <row r="599">
          <cell r="A599" t="str">
            <v>Japan - Docomo</v>
          </cell>
        </row>
        <row r="600">
          <cell r="A600" t="str">
            <v>Japan - Softbank</v>
          </cell>
        </row>
        <row r="601">
          <cell r="A601" t="str">
            <v>Japan - Au</v>
          </cell>
        </row>
        <row r="603">
          <cell r="A603" t="str">
            <v>Mitsubishi</v>
          </cell>
        </row>
        <row r="604">
          <cell r="A604" t="str">
            <v>Shipments, millions</v>
          </cell>
        </row>
        <row r="605">
          <cell r="A605" t="str">
            <v>Net Sales (Billion Yen)</v>
          </cell>
        </row>
        <row r="606">
          <cell r="A606" t="str">
            <v>Operating Income(E)</v>
          </cell>
        </row>
        <row r="607">
          <cell r="A607" t="str">
            <v>Operating Margin (Loss)</v>
          </cell>
        </row>
        <row r="608">
          <cell r="A608" t="str">
            <v>Wholesale ASP</v>
          </cell>
        </row>
        <row r="609">
          <cell r="A609" t="str">
            <v>Wholesale ASP (USD)</v>
          </cell>
        </row>
        <row r="611">
          <cell r="A611" t="str">
            <v>% Shipments by Technology</v>
          </cell>
        </row>
        <row r="612">
          <cell r="A612" t="str">
            <v>CDMA</v>
          </cell>
        </row>
        <row r="613">
          <cell r="A613" t="str">
            <v>GSM</v>
          </cell>
        </row>
        <row r="614">
          <cell r="A614" t="str">
            <v>WCDMA</v>
          </cell>
        </row>
        <row r="615">
          <cell r="A615" t="str">
            <v>PDC</v>
          </cell>
        </row>
        <row r="616">
          <cell r="A616" t="str">
            <v>Total</v>
          </cell>
        </row>
        <row r="618">
          <cell r="A618" t="str">
            <v>Unit Shipments by Technology</v>
          </cell>
        </row>
        <row r="619">
          <cell r="A619" t="str">
            <v>CDMA</v>
          </cell>
        </row>
        <row r="620">
          <cell r="A620" t="str">
            <v>GSM</v>
          </cell>
        </row>
        <row r="621">
          <cell r="A621" t="str">
            <v>WCDMA</v>
          </cell>
        </row>
        <row r="622">
          <cell r="A622" t="str">
            <v>PDC</v>
          </cell>
        </row>
        <row r="623">
          <cell r="A623" t="str">
            <v>Total</v>
          </cell>
        </row>
        <row r="626">
          <cell r="A626" t="str">
            <v>% Shipments by Region</v>
          </cell>
        </row>
        <row r="627">
          <cell r="A627" t="str">
            <v>N America</v>
          </cell>
        </row>
        <row r="628">
          <cell r="A628" t="str">
            <v>W Europe</v>
          </cell>
        </row>
        <row r="629">
          <cell r="A629" t="str">
            <v>APAC</v>
          </cell>
        </row>
        <row r="630">
          <cell r="A630" t="str">
            <v>CALA</v>
          </cell>
        </row>
        <row r="631">
          <cell r="A631" t="str">
            <v>C/E Europe</v>
          </cell>
        </row>
        <row r="632">
          <cell r="A632" t="str">
            <v>ROW</v>
          </cell>
        </row>
        <row r="635">
          <cell r="A635" t="str">
            <v>Shipments by Region (mil)</v>
          </cell>
        </row>
        <row r="636">
          <cell r="A636" t="str">
            <v>N America</v>
          </cell>
        </row>
        <row r="637">
          <cell r="A637" t="str">
            <v>W Europe</v>
          </cell>
        </row>
        <row r="638">
          <cell r="A638" t="str">
            <v>APAC</v>
          </cell>
        </row>
        <row r="639">
          <cell r="A639" t="str">
            <v>CALA</v>
          </cell>
        </row>
        <row r="640">
          <cell r="A640" t="str">
            <v>C/E Europe</v>
          </cell>
        </row>
        <row r="641">
          <cell r="A641" t="str">
            <v>ROW</v>
          </cell>
        </row>
        <row r="642">
          <cell r="A642" t="str">
            <v>Total</v>
          </cell>
        </row>
        <row r="644">
          <cell r="A644" t="str">
            <v>NA (mln)</v>
          </cell>
        </row>
        <row r="645">
          <cell r="A645" t="str">
            <v>GSM</v>
          </cell>
        </row>
        <row r="646">
          <cell r="A646" t="str">
            <v>UMTS</v>
          </cell>
        </row>
        <row r="647">
          <cell r="A647" t="str">
            <v>CDMA</v>
          </cell>
        </row>
        <row r="648">
          <cell r="A648" t="str">
            <v>Others</v>
          </cell>
        </row>
        <row r="650">
          <cell r="A650" t="str">
            <v>NA  (%)</v>
          </cell>
        </row>
        <row r="651">
          <cell r="A651" t="str">
            <v>GSM</v>
          </cell>
        </row>
        <row r="652">
          <cell r="A652" t="str">
            <v>UMTS</v>
          </cell>
        </row>
        <row r="653">
          <cell r="A653" t="str">
            <v>CDMA</v>
          </cell>
        </row>
        <row r="654">
          <cell r="A654" t="str">
            <v>Others</v>
          </cell>
        </row>
        <row r="656">
          <cell r="A656" t="str">
            <v>WE (mln)</v>
          </cell>
        </row>
        <row r="657">
          <cell r="A657" t="str">
            <v>GSM</v>
          </cell>
        </row>
        <row r="658">
          <cell r="A658" t="str">
            <v>UMTS</v>
          </cell>
        </row>
        <row r="659">
          <cell r="A659" t="str">
            <v>CDMA</v>
          </cell>
        </row>
        <row r="660">
          <cell r="A660" t="str">
            <v>Others</v>
          </cell>
        </row>
        <row r="662">
          <cell r="A662" t="str">
            <v>WE (%)</v>
          </cell>
        </row>
        <row r="663">
          <cell r="A663" t="str">
            <v>GSM</v>
          </cell>
        </row>
        <row r="664">
          <cell r="A664" t="str">
            <v>UMTS</v>
          </cell>
        </row>
        <row r="665">
          <cell r="A665" t="str">
            <v>CDMA</v>
          </cell>
        </row>
        <row r="666">
          <cell r="A666" t="str">
            <v>Others</v>
          </cell>
        </row>
        <row r="668">
          <cell r="A668" t="str">
            <v>APAC (mln)</v>
          </cell>
        </row>
        <row r="669">
          <cell r="A669" t="str">
            <v>GSM</v>
          </cell>
        </row>
        <row r="670">
          <cell r="A670" t="str">
            <v>UMTS</v>
          </cell>
        </row>
        <row r="671">
          <cell r="A671" t="str">
            <v>CDMA</v>
          </cell>
        </row>
        <row r="672">
          <cell r="A672" t="str">
            <v>Others</v>
          </cell>
        </row>
        <row r="674">
          <cell r="A674" t="str">
            <v>APAC  (%)</v>
          </cell>
        </row>
        <row r="675">
          <cell r="A675" t="str">
            <v>GSM</v>
          </cell>
        </row>
        <row r="676">
          <cell r="A676" t="str">
            <v>UMTS</v>
          </cell>
        </row>
        <row r="677">
          <cell r="A677" t="str">
            <v>CDMA</v>
          </cell>
        </row>
        <row r="678">
          <cell r="A678" t="str">
            <v>Others</v>
          </cell>
        </row>
        <row r="680">
          <cell r="A680" t="str">
            <v>CALA</v>
          </cell>
        </row>
        <row r="681">
          <cell r="A681" t="str">
            <v>GSM</v>
          </cell>
        </row>
        <row r="682">
          <cell r="A682" t="str">
            <v>UMTS</v>
          </cell>
        </row>
        <row r="683">
          <cell r="A683" t="str">
            <v>CDMA</v>
          </cell>
        </row>
        <row r="684">
          <cell r="A684" t="str">
            <v>Others</v>
          </cell>
        </row>
        <row r="686">
          <cell r="A686" t="str">
            <v>CALA (%)</v>
          </cell>
        </row>
        <row r="687">
          <cell r="A687" t="str">
            <v>GSM</v>
          </cell>
        </row>
        <row r="688">
          <cell r="A688" t="str">
            <v>UMTS</v>
          </cell>
        </row>
        <row r="689">
          <cell r="A689" t="str">
            <v>CDMA</v>
          </cell>
        </row>
        <row r="690">
          <cell r="A690" t="str">
            <v>Others</v>
          </cell>
        </row>
        <row r="692">
          <cell r="A692" t="str">
            <v>CEE (mln)</v>
          </cell>
        </row>
        <row r="693">
          <cell r="A693" t="str">
            <v>GSM</v>
          </cell>
        </row>
        <row r="694">
          <cell r="A694" t="str">
            <v>UMTS</v>
          </cell>
        </row>
        <row r="695">
          <cell r="A695" t="str">
            <v>CDMA</v>
          </cell>
        </row>
        <row r="696">
          <cell r="A696" t="str">
            <v>Others</v>
          </cell>
        </row>
        <row r="698">
          <cell r="A698" t="str">
            <v>CEE  (%)</v>
          </cell>
        </row>
        <row r="699">
          <cell r="A699" t="str">
            <v>GSM</v>
          </cell>
        </row>
        <row r="700">
          <cell r="A700" t="str">
            <v>UMTS</v>
          </cell>
        </row>
        <row r="701">
          <cell r="A701" t="str">
            <v>CDMA</v>
          </cell>
        </row>
        <row r="702">
          <cell r="A702" t="str">
            <v>Others</v>
          </cell>
        </row>
        <row r="704">
          <cell r="A704" t="str">
            <v>ROW</v>
          </cell>
        </row>
        <row r="705">
          <cell r="A705" t="str">
            <v>GSM</v>
          </cell>
        </row>
        <row r="706">
          <cell r="A706" t="str">
            <v>UMTS</v>
          </cell>
        </row>
        <row r="707">
          <cell r="A707" t="str">
            <v>CDMA</v>
          </cell>
        </row>
      </sheetData>
      <sheetData sheetId="9">
        <row r="115">
          <cell r="A115" t="str">
            <v>Lenovo</v>
          </cell>
        </row>
        <row r="116">
          <cell r="A116" t="str">
            <v>Shipments, millions</v>
          </cell>
        </row>
        <row r="117">
          <cell r="A117" t="str">
            <v>Net Sales (USD)</v>
          </cell>
        </row>
        <row r="118">
          <cell r="A118" t="str">
            <v>Operating Income(E)</v>
          </cell>
        </row>
        <row r="119">
          <cell r="A119" t="str">
            <v>Operating Margin (Loss)</v>
          </cell>
        </row>
        <row r="120">
          <cell r="A120" t="str">
            <v>Wholesale ASP</v>
          </cell>
        </row>
        <row r="121">
          <cell r="A121" t="str">
            <v>Smartphones</v>
          </cell>
        </row>
        <row r="123">
          <cell r="A123" t="str">
            <v>% Shipments by Technology</v>
          </cell>
        </row>
        <row r="124">
          <cell r="A124" t="str">
            <v>CDMA</v>
          </cell>
        </row>
        <row r="125">
          <cell r="A125" t="str">
            <v>GSM</v>
          </cell>
        </row>
        <row r="126">
          <cell r="A126" t="str">
            <v>WCDMA</v>
          </cell>
        </row>
        <row r="127">
          <cell r="A127" t="str">
            <v>TD-SCDMA</v>
          </cell>
        </row>
        <row r="128">
          <cell r="A128" t="str">
            <v>PDC</v>
          </cell>
        </row>
        <row r="129">
          <cell r="A129" t="str">
            <v>Others</v>
          </cell>
        </row>
        <row r="130">
          <cell r="A130" t="str">
            <v>Total</v>
          </cell>
        </row>
        <row r="132">
          <cell r="A132" t="str">
            <v>Unit Shipments by Technology</v>
          </cell>
        </row>
        <row r="133">
          <cell r="A133" t="str">
            <v>CDMA</v>
          </cell>
        </row>
        <row r="134">
          <cell r="A134" t="str">
            <v>GSM</v>
          </cell>
        </row>
        <row r="135">
          <cell r="A135" t="str">
            <v>WCDMA</v>
          </cell>
        </row>
        <row r="136">
          <cell r="A136" t="str">
            <v>TD-SCDMA</v>
          </cell>
        </row>
        <row r="137">
          <cell r="A137" t="str">
            <v>PDC</v>
          </cell>
        </row>
        <row r="138">
          <cell r="A138" t="str">
            <v>Others</v>
          </cell>
        </row>
        <row r="139">
          <cell r="A139" t="str">
            <v>Total</v>
          </cell>
        </row>
        <row r="141">
          <cell r="A141" t="str">
            <v>% Shipments by Region</v>
          </cell>
        </row>
        <row r="142">
          <cell r="A142" t="str">
            <v>N America</v>
          </cell>
        </row>
        <row r="143">
          <cell r="A143" t="str">
            <v>W Europe</v>
          </cell>
        </row>
        <row r="144">
          <cell r="A144" t="str">
            <v>APAC</v>
          </cell>
        </row>
        <row r="145">
          <cell r="A145" t="str">
            <v>CALA</v>
          </cell>
        </row>
        <row r="146">
          <cell r="A146" t="str">
            <v>C/E Europe</v>
          </cell>
        </row>
        <row r="147">
          <cell r="A147" t="str">
            <v>ROW</v>
          </cell>
        </row>
        <row r="148">
          <cell r="A148" t="str">
            <v>Total</v>
          </cell>
        </row>
        <row r="150">
          <cell r="A150" t="str">
            <v>Shipments by Region (mil)</v>
          </cell>
        </row>
        <row r="151">
          <cell r="A151" t="str">
            <v>N America</v>
          </cell>
        </row>
        <row r="152">
          <cell r="A152" t="str">
            <v>W Europe</v>
          </cell>
        </row>
        <row r="153">
          <cell r="A153" t="str">
            <v>APAC</v>
          </cell>
        </row>
        <row r="154">
          <cell r="A154" t="str">
            <v>CALA</v>
          </cell>
        </row>
        <row r="155">
          <cell r="A155" t="str">
            <v>C/E Europe</v>
          </cell>
        </row>
        <row r="156">
          <cell r="A156" t="str">
            <v>ROW</v>
          </cell>
        </row>
        <row r="157">
          <cell r="A157" t="str">
            <v>Total</v>
          </cell>
        </row>
        <row r="159">
          <cell r="A159" t="str">
            <v>NA (mln)</v>
          </cell>
        </row>
        <row r="160">
          <cell r="A160" t="str">
            <v>GSM</v>
          </cell>
        </row>
        <row r="161">
          <cell r="A161" t="str">
            <v>UMTS</v>
          </cell>
        </row>
        <row r="162">
          <cell r="A162" t="str">
            <v>CDMA</v>
          </cell>
        </row>
        <row r="163">
          <cell r="A163" t="str">
            <v>Others</v>
          </cell>
        </row>
        <row r="165">
          <cell r="A165" t="str">
            <v>NA  (%)</v>
          </cell>
        </row>
        <row r="166">
          <cell r="A166" t="str">
            <v>GSM</v>
          </cell>
        </row>
        <row r="167">
          <cell r="A167" t="str">
            <v>UMTS</v>
          </cell>
        </row>
        <row r="168">
          <cell r="A168" t="str">
            <v>CDMA</v>
          </cell>
        </row>
        <row r="169">
          <cell r="A169" t="str">
            <v>Others</v>
          </cell>
        </row>
        <row r="171">
          <cell r="A171" t="str">
            <v>WE (mln)</v>
          </cell>
        </row>
        <row r="172">
          <cell r="A172" t="str">
            <v>GSM</v>
          </cell>
        </row>
        <row r="173">
          <cell r="A173" t="str">
            <v>UMTS</v>
          </cell>
        </row>
        <row r="174">
          <cell r="A174" t="str">
            <v>CDMA</v>
          </cell>
        </row>
        <row r="175">
          <cell r="A175" t="str">
            <v>Others</v>
          </cell>
        </row>
        <row r="177">
          <cell r="A177" t="str">
            <v>WE (%)</v>
          </cell>
        </row>
        <row r="178">
          <cell r="A178" t="str">
            <v>GSM</v>
          </cell>
        </row>
        <row r="179">
          <cell r="A179" t="str">
            <v>UMTS</v>
          </cell>
        </row>
        <row r="180">
          <cell r="A180" t="str">
            <v>CDMA</v>
          </cell>
        </row>
        <row r="181">
          <cell r="A181" t="str">
            <v>Others</v>
          </cell>
        </row>
        <row r="183">
          <cell r="A183" t="str">
            <v>APAC (mln)</v>
          </cell>
        </row>
        <row r="184">
          <cell r="A184" t="str">
            <v>GSM</v>
          </cell>
        </row>
        <row r="185">
          <cell r="A185" t="str">
            <v>UMTS</v>
          </cell>
        </row>
        <row r="186">
          <cell r="A186" t="str">
            <v>CDMA</v>
          </cell>
        </row>
        <row r="187">
          <cell r="A187" t="str">
            <v>Others</v>
          </cell>
        </row>
        <row r="189">
          <cell r="A189" t="str">
            <v>APAC  (%)</v>
          </cell>
        </row>
        <row r="190">
          <cell r="A190" t="str">
            <v>GSM</v>
          </cell>
        </row>
        <row r="191">
          <cell r="A191" t="str">
            <v>UMTS</v>
          </cell>
        </row>
        <row r="192">
          <cell r="A192" t="str">
            <v>CDMA</v>
          </cell>
        </row>
        <row r="193">
          <cell r="A193" t="str">
            <v>Others</v>
          </cell>
        </row>
        <row r="195">
          <cell r="A195" t="str">
            <v>CALA</v>
          </cell>
        </row>
        <row r="196">
          <cell r="A196" t="str">
            <v>GSM</v>
          </cell>
        </row>
        <row r="197">
          <cell r="A197" t="str">
            <v>UMTS</v>
          </cell>
        </row>
        <row r="198">
          <cell r="A198" t="str">
            <v>CDMA</v>
          </cell>
        </row>
        <row r="199">
          <cell r="A199" t="str">
            <v>Others</v>
          </cell>
        </row>
        <row r="201">
          <cell r="A201" t="str">
            <v>CALA (%)</v>
          </cell>
        </row>
        <row r="202">
          <cell r="A202" t="str">
            <v>GSM</v>
          </cell>
        </row>
        <row r="203">
          <cell r="A203" t="str">
            <v>UMTS</v>
          </cell>
        </row>
        <row r="204">
          <cell r="A204" t="str">
            <v>CDMA</v>
          </cell>
        </row>
        <row r="205">
          <cell r="A205" t="str">
            <v>Others</v>
          </cell>
        </row>
        <row r="207">
          <cell r="A207" t="str">
            <v>CEE (mln)</v>
          </cell>
        </row>
        <row r="208">
          <cell r="A208" t="str">
            <v>GSM</v>
          </cell>
        </row>
        <row r="209">
          <cell r="A209" t="str">
            <v>UMTS</v>
          </cell>
        </row>
        <row r="210">
          <cell r="A210" t="str">
            <v>CDMA</v>
          </cell>
        </row>
        <row r="211">
          <cell r="A211" t="str">
            <v>Others</v>
          </cell>
        </row>
        <row r="213">
          <cell r="A213" t="str">
            <v>CEE  (%)</v>
          </cell>
        </row>
        <row r="214">
          <cell r="A214" t="str">
            <v>GSM</v>
          </cell>
        </row>
        <row r="215">
          <cell r="A215" t="str">
            <v>UMTS</v>
          </cell>
        </row>
        <row r="216">
          <cell r="A216" t="str">
            <v>CDMA</v>
          </cell>
        </row>
        <row r="217">
          <cell r="A217" t="str">
            <v>Others</v>
          </cell>
        </row>
        <row r="219">
          <cell r="A219" t="str">
            <v>ROW</v>
          </cell>
        </row>
        <row r="220">
          <cell r="A220" t="str">
            <v>GSM</v>
          </cell>
        </row>
        <row r="221">
          <cell r="A221" t="str">
            <v>UMTS</v>
          </cell>
        </row>
        <row r="222">
          <cell r="A222" t="str">
            <v>CDMA</v>
          </cell>
        </row>
        <row r="223">
          <cell r="A223" t="str">
            <v>Others</v>
          </cell>
        </row>
        <row r="225">
          <cell r="A225" t="str">
            <v>ROW (%)</v>
          </cell>
        </row>
        <row r="226">
          <cell r="A226" t="str">
            <v>GSM</v>
          </cell>
        </row>
        <row r="227">
          <cell r="A227" t="str">
            <v>UMTS</v>
          </cell>
        </row>
        <row r="228">
          <cell r="A228" t="str">
            <v>CDMA</v>
          </cell>
        </row>
        <row r="229">
          <cell r="A229" t="str">
            <v>Others</v>
          </cell>
        </row>
        <row r="231">
          <cell r="A231" t="str">
            <v>UTStarcom/PCD</v>
          </cell>
        </row>
        <row r="232">
          <cell r="A232" t="str">
            <v>Shipments, millions</v>
          </cell>
        </row>
        <row r="233">
          <cell r="A233" t="str">
            <v>Net Sales (Billion Yen)</v>
          </cell>
        </row>
        <row r="234">
          <cell r="A234" t="str">
            <v>Operating Income(E)</v>
          </cell>
        </row>
        <row r="235">
          <cell r="A235" t="str">
            <v>Operating Margin (Loss)</v>
          </cell>
        </row>
        <row r="236">
          <cell r="A236" t="str">
            <v>Wholesale ASP</v>
          </cell>
        </row>
        <row r="237">
          <cell r="A237" t="str">
            <v>Seasonality</v>
          </cell>
        </row>
        <row r="239">
          <cell r="A239" t="str">
            <v>% Shipments by Technology</v>
          </cell>
        </row>
        <row r="240">
          <cell r="A240" t="str">
            <v>CDMA</v>
          </cell>
        </row>
        <row r="241">
          <cell r="A241" t="str">
            <v>GSM</v>
          </cell>
        </row>
        <row r="242">
          <cell r="A242" t="str">
            <v>WCDMA</v>
          </cell>
        </row>
        <row r="243">
          <cell r="A243" t="str">
            <v>PDC</v>
          </cell>
        </row>
        <row r="244">
          <cell r="A244" t="str">
            <v>Total</v>
          </cell>
        </row>
        <row r="246">
          <cell r="A246" t="str">
            <v>Unit Shipments by Technology</v>
          </cell>
        </row>
        <row r="247">
          <cell r="A247" t="str">
            <v>CDMA</v>
          </cell>
        </row>
        <row r="248">
          <cell r="A248" t="str">
            <v>GSM</v>
          </cell>
        </row>
        <row r="249">
          <cell r="A249" t="str">
            <v>WCDMA</v>
          </cell>
        </row>
        <row r="250">
          <cell r="A250" t="str">
            <v>Others</v>
          </cell>
        </row>
        <row r="251">
          <cell r="A251" t="str">
            <v>Total</v>
          </cell>
        </row>
        <row r="254">
          <cell r="A254" t="str">
            <v>% Shipments by Region</v>
          </cell>
        </row>
        <row r="255">
          <cell r="A255" t="str">
            <v>N America</v>
          </cell>
        </row>
        <row r="256">
          <cell r="A256" t="str">
            <v>W Europe</v>
          </cell>
        </row>
        <row r="257">
          <cell r="A257" t="str">
            <v>APAC</v>
          </cell>
        </row>
        <row r="258">
          <cell r="A258" t="str">
            <v>CALA</v>
          </cell>
        </row>
        <row r="259">
          <cell r="A259" t="str">
            <v>C/E Europe</v>
          </cell>
        </row>
        <row r="260">
          <cell r="A260" t="str">
            <v>ROW</v>
          </cell>
        </row>
        <row r="263">
          <cell r="A263" t="str">
            <v>Shipments by Region (mil)</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NA (mln)</v>
          </cell>
        </row>
        <row r="273">
          <cell r="A273" t="str">
            <v>GSM</v>
          </cell>
        </row>
        <row r="274">
          <cell r="A274" t="str">
            <v>UMTS</v>
          </cell>
        </row>
        <row r="275">
          <cell r="A275" t="str">
            <v>CDMA</v>
          </cell>
        </row>
        <row r="276">
          <cell r="A276" t="str">
            <v>Others</v>
          </cell>
        </row>
        <row r="278">
          <cell r="A278" t="str">
            <v>NA  (%)</v>
          </cell>
        </row>
        <row r="279">
          <cell r="A279" t="str">
            <v>GSM</v>
          </cell>
        </row>
        <row r="280">
          <cell r="A280" t="str">
            <v>UMTS</v>
          </cell>
        </row>
        <row r="281">
          <cell r="A281" t="str">
            <v>CDMA</v>
          </cell>
        </row>
        <row r="282">
          <cell r="A282" t="str">
            <v>Others</v>
          </cell>
        </row>
        <row r="284">
          <cell r="A284" t="str">
            <v>WE (mln)</v>
          </cell>
        </row>
        <row r="285">
          <cell r="A285" t="str">
            <v>GSM</v>
          </cell>
        </row>
        <row r="286">
          <cell r="A286" t="str">
            <v>UMTS</v>
          </cell>
        </row>
        <row r="287">
          <cell r="A287" t="str">
            <v>CDMA</v>
          </cell>
        </row>
        <row r="288">
          <cell r="A288" t="str">
            <v>Others</v>
          </cell>
        </row>
        <row r="290">
          <cell r="A290" t="str">
            <v>WE (%)</v>
          </cell>
        </row>
        <row r="291">
          <cell r="A291" t="str">
            <v>GSM</v>
          </cell>
        </row>
        <row r="292">
          <cell r="A292" t="str">
            <v>UMTS</v>
          </cell>
        </row>
        <row r="293">
          <cell r="A293" t="str">
            <v>CDMA</v>
          </cell>
        </row>
        <row r="294">
          <cell r="A294" t="str">
            <v>Others</v>
          </cell>
        </row>
        <row r="296">
          <cell r="A296" t="str">
            <v>APAC (mln)</v>
          </cell>
        </row>
        <row r="297">
          <cell r="A297" t="str">
            <v>GSM</v>
          </cell>
        </row>
        <row r="298">
          <cell r="A298" t="str">
            <v>UMTS</v>
          </cell>
        </row>
        <row r="299">
          <cell r="A299" t="str">
            <v>CDMA</v>
          </cell>
        </row>
        <row r="300">
          <cell r="A300" t="str">
            <v>Others</v>
          </cell>
        </row>
        <row r="302">
          <cell r="A302" t="str">
            <v>APAC  (%)</v>
          </cell>
        </row>
        <row r="303">
          <cell r="A303" t="str">
            <v>GSM</v>
          </cell>
        </row>
        <row r="304">
          <cell r="A304" t="str">
            <v>UMTS</v>
          </cell>
        </row>
        <row r="305">
          <cell r="A305" t="str">
            <v>CDMA</v>
          </cell>
        </row>
        <row r="306">
          <cell r="A306" t="str">
            <v>Others</v>
          </cell>
        </row>
        <row r="308">
          <cell r="A308" t="str">
            <v>CALA</v>
          </cell>
        </row>
        <row r="309">
          <cell r="A309" t="str">
            <v>GSM</v>
          </cell>
        </row>
        <row r="310">
          <cell r="A310" t="str">
            <v>UMTS</v>
          </cell>
        </row>
        <row r="311">
          <cell r="A311" t="str">
            <v>CDMA</v>
          </cell>
        </row>
        <row r="312">
          <cell r="A312" t="str">
            <v>Others</v>
          </cell>
        </row>
        <row r="314">
          <cell r="A314" t="str">
            <v>CALA (%)</v>
          </cell>
        </row>
        <row r="315">
          <cell r="A315" t="str">
            <v>GSM</v>
          </cell>
        </row>
        <row r="316">
          <cell r="A316" t="str">
            <v>UMTS</v>
          </cell>
        </row>
        <row r="317">
          <cell r="A317" t="str">
            <v>CDMA</v>
          </cell>
        </row>
        <row r="318">
          <cell r="A318" t="str">
            <v>Others</v>
          </cell>
        </row>
        <row r="320">
          <cell r="A320" t="str">
            <v>CEE (mln)</v>
          </cell>
        </row>
        <row r="321">
          <cell r="A321" t="str">
            <v>GSM</v>
          </cell>
        </row>
        <row r="322">
          <cell r="A322" t="str">
            <v>UMTS</v>
          </cell>
        </row>
        <row r="323">
          <cell r="A323" t="str">
            <v>CDMA</v>
          </cell>
        </row>
        <row r="324">
          <cell r="A324" t="str">
            <v>Others</v>
          </cell>
        </row>
        <row r="326">
          <cell r="A326" t="str">
            <v>CEE  (%)</v>
          </cell>
        </row>
        <row r="327">
          <cell r="A327" t="str">
            <v>GSM</v>
          </cell>
        </row>
        <row r="328">
          <cell r="A328" t="str">
            <v>UMTS</v>
          </cell>
        </row>
        <row r="329">
          <cell r="A329" t="str">
            <v>CDMA</v>
          </cell>
        </row>
        <row r="330">
          <cell r="A330" t="str">
            <v>Others</v>
          </cell>
        </row>
        <row r="332">
          <cell r="A332" t="str">
            <v>ROW</v>
          </cell>
        </row>
        <row r="333">
          <cell r="A333" t="str">
            <v>GSM</v>
          </cell>
        </row>
        <row r="334">
          <cell r="A334" t="str">
            <v>UMTS</v>
          </cell>
        </row>
        <row r="335">
          <cell r="A335" t="str">
            <v>CDMA</v>
          </cell>
        </row>
        <row r="336">
          <cell r="A336" t="str">
            <v>Others</v>
          </cell>
        </row>
        <row r="338">
          <cell r="A338" t="str">
            <v>ROW (%)</v>
          </cell>
        </row>
        <row r="339">
          <cell r="A339" t="str">
            <v>GSM</v>
          </cell>
        </row>
        <row r="340">
          <cell r="A340" t="str">
            <v>UMTS</v>
          </cell>
        </row>
        <row r="341">
          <cell r="A341" t="str">
            <v>CDMA</v>
          </cell>
        </row>
        <row r="342">
          <cell r="A342" t="str">
            <v>Others</v>
          </cell>
        </row>
        <row r="344">
          <cell r="A344" t="str">
            <v>Alcatel/TCL</v>
          </cell>
        </row>
        <row r="345">
          <cell r="A345" t="str">
            <v>Shipments, millions</v>
          </cell>
        </row>
        <row r="346">
          <cell r="A346" t="str">
            <v>Net Sales (HK US$, Millions)</v>
          </cell>
        </row>
        <row r="347">
          <cell r="A347" t="str">
            <v>Net Sales (US$, Millions)</v>
          </cell>
        </row>
        <row r="348">
          <cell r="A348" t="str">
            <v>Operating Income (%)</v>
          </cell>
        </row>
        <row r="349">
          <cell r="A349" t="str">
            <v>Operating Margin (Loss) (HK$, Millions</v>
          </cell>
        </row>
        <row r="350">
          <cell r="A350" t="str">
            <v>Operating Margin (Loss) (US$, Millions</v>
          </cell>
        </row>
        <row r="351">
          <cell r="A351" t="str">
            <v>Wholesale ASP (HK$)</v>
          </cell>
        </row>
        <row r="352">
          <cell r="A352" t="str">
            <v>Wholesale ASP (US$)</v>
          </cell>
        </row>
        <row r="353">
          <cell r="A353" t="str">
            <v>Seasonality</v>
          </cell>
        </row>
        <row r="355">
          <cell r="A355" t="str">
            <v>% Shipments by Technology</v>
          </cell>
        </row>
        <row r="356">
          <cell r="A356" t="str">
            <v>CDMA</v>
          </cell>
        </row>
        <row r="357">
          <cell r="A357" t="str">
            <v>GSM</v>
          </cell>
        </row>
        <row r="358">
          <cell r="A358" t="str">
            <v>WCDMA</v>
          </cell>
        </row>
        <row r="359">
          <cell r="A359" t="str">
            <v>PDC</v>
          </cell>
        </row>
        <row r="360">
          <cell r="A360" t="str">
            <v>Total</v>
          </cell>
        </row>
        <row r="362">
          <cell r="A362" t="str">
            <v>Unit Shipments by Technology</v>
          </cell>
        </row>
        <row r="363">
          <cell r="A363" t="str">
            <v>CDMA</v>
          </cell>
        </row>
        <row r="364">
          <cell r="A364" t="str">
            <v>GSM</v>
          </cell>
        </row>
        <row r="365">
          <cell r="A365" t="str">
            <v>WCDMA</v>
          </cell>
        </row>
        <row r="366">
          <cell r="A366" t="str">
            <v>TD-SCDMA</v>
          </cell>
        </row>
        <row r="367">
          <cell r="A367" t="str">
            <v>Total</v>
          </cell>
        </row>
        <row r="370">
          <cell r="A370" t="str">
            <v>% Shipments by Region</v>
          </cell>
        </row>
        <row r="371">
          <cell r="A371" t="str">
            <v>N America</v>
          </cell>
        </row>
        <row r="372">
          <cell r="A372" t="str">
            <v>W Europe</v>
          </cell>
        </row>
        <row r="373">
          <cell r="A373" t="str">
            <v>APAC</v>
          </cell>
        </row>
        <row r="374">
          <cell r="A374" t="str">
            <v>CALA</v>
          </cell>
        </row>
        <row r="375">
          <cell r="A375" t="str">
            <v>C/E Europe</v>
          </cell>
        </row>
        <row r="376">
          <cell r="A376" t="str">
            <v>ROW</v>
          </cell>
        </row>
        <row r="379">
          <cell r="A379" t="str">
            <v>Shipments by Region (mil)</v>
          </cell>
        </row>
        <row r="380">
          <cell r="A380" t="str">
            <v>N America</v>
          </cell>
        </row>
        <row r="381">
          <cell r="A381" t="str">
            <v>W Europe</v>
          </cell>
        </row>
        <row r="382">
          <cell r="A382" t="str">
            <v>APAC</v>
          </cell>
        </row>
        <row r="383">
          <cell r="A383" t="str">
            <v>CALA</v>
          </cell>
        </row>
        <row r="384">
          <cell r="A384" t="str">
            <v>C/E Europe</v>
          </cell>
        </row>
        <row r="385">
          <cell r="A385" t="str">
            <v>ROW</v>
          </cell>
        </row>
        <row r="386">
          <cell r="A386" t="str">
            <v>Total</v>
          </cell>
        </row>
        <row r="387">
          <cell r="A387" t="str">
            <v>China</v>
          </cell>
        </row>
        <row r="389">
          <cell r="A389" t="str">
            <v>NA (mln)</v>
          </cell>
        </row>
        <row r="390">
          <cell r="A390" t="str">
            <v>GSM</v>
          </cell>
        </row>
        <row r="391">
          <cell r="A391" t="str">
            <v>UMTS</v>
          </cell>
        </row>
        <row r="392">
          <cell r="A392" t="str">
            <v>CDMA</v>
          </cell>
        </row>
        <row r="393">
          <cell r="A393" t="str">
            <v>Others</v>
          </cell>
        </row>
        <row r="394">
          <cell r="A394" t="str">
            <v>Total</v>
          </cell>
        </row>
        <row r="395">
          <cell r="A395" t="str">
            <v>NA  (%)</v>
          </cell>
        </row>
        <row r="396">
          <cell r="A396" t="str">
            <v>GSM</v>
          </cell>
        </row>
        <row r="397">
          <cell r="A397" t="str">
            <v>UMTS</v>
          </cell>
        </row>
        <row r="398">
          <cell r="A398" t="str">
            <v>CDMA</v>
          </cell>
        </row>
        <row r="399">
          <cell r="A399" t="str">
            <v>Others</v>
          </cell>
        </row>
        <row r="400">
          <cell r="A400" t="str">
            <v>Total</v>
          </cell>
        </row>
        <row r="401">
          <cell r="A401" t="str">
            <v>WE (mln)</v>
          </cell>
        </row>
        <row r="402">
          <cell r="A402" t="str">
            <v>GSM</v>
          </cell>
        </row>
        <row r="403">
          <cell r="A403" t="str">
            <v>UMTS</v>
          </cell>
        </row>
        <row r="404">
          <cell r="A404" t="str">
            <v>CDMA</v>
          </cell>
        </row>
        <row r="405">
          <cell r="A405" t="str">
            <v>Others</v>
          </cell>
        </row>
        <row r="406">
          <cell r="A406" t="str">
            <v>Total</v>
          </cell>
        </row>
        <row r="407">
          <cell r="A407" t="str">
            <v>WE (%)</v>
          </cell>
        </row>
        <row r="408">
          <cell r="A408" t="str">
            <v>GSM</v>
          </cell>
        </row>
        <row r="409">
          <cell r="A409" t="str">
            <v>UMTS</v>
          </cell>
        </row>
        <row r="410">
          <cell r="A410" t="str">
            <v>CDMA</v>
          </cell>
        </row>
        <row r="411">
          <cell r="A411" t="str">
            <v>Others</v>
          </cell>
        </row>
        <row r="412">
          <cell r="A412" t="str">
            <v>Total</v>
          </cell>
        </row>
        <row r="413">
          <cell r="A413" t="str">
            <v>APAC (mln)</v>
          </cell>
        </row>
        <row r="414">
          <cell r="A414" t="str">
            <v>GSM</v>
          </cell>
        </row>
        <row r="415">
          <cell r="A415" t="str">
            <v>UMTS</v>
          </cell>
        </row>
        <row r="416">
          <cell r="A416" t="str">
            <v>CDMA</v>
          </cell>
        </row>
        <row r="417">
          <cell r="A417" t="str">
            <v>TD-SCDMA</v>
          </cell>
        </row>
        <row r="418">
          <cell r="A418" t="str">
            <v>Total</v>
          </cell>
        </row>
        <row r="419">
          <cell r="A419" t="str">
            <v>APAC  (%)</v>
          </cell>
        </row>
        <row r="420">
          <cell r="A420" t="str">
            <v>GSM</v>
          </cell>
        </row>
        <row r="421">
          <cell r="A421" t="str">
            <v>UMTS</v>
          </cell>
        </row>
        <row r="422">
          <cell r="A422" t="str">
            <v>CDMA</v>
          </cell>
        </row>
        <row r="423">
          <cell r="A423" t="str">
            <v>TD-SCDMA</v>
          </cell>
        </row>
        <row r="424">
          <cell r="A424" t="str">
            <v>Total</v>
          </cell>
        </row>
        <row r="425">
          <cell r="A425" t="str">
            <v>CALA</v>
          </cell>
        </row>
        <row r="426">
          <cell r="A426" t="str">
            <v>GSM</v>
          </cell>
        </row>
        <row r="427">
          <cell r="A427" t="str">
            <v>UMTS</v>
          </cell>
        </row>
        <row r="428">
          <cell r="A428" t="str">
            <v>CDMA</v>
          </cell>
        </row>
        <row r="429">
          <cell r="A429" t="str">
            <v>Others</v>
          </cell>
        </row>
        <row r="430">
          <cell r="A430" t="str">
            <v>Total</v>
          </cell>
        </row>
        <row r="431">
          <cell r="A431" t="str">
            <v>CALA (%)</v>
          </cell>
        </row>
        <row r="432">
          <cell r="A432" t="str">
            <v>GSM</v>
          </cell>
        </row>
        <row r="433">
          <cell r="A433" t="str">
            <v>UMTS</v>
          </cell>
        </row>
        <row r="434">
          <cell r="A434" t="str">
            <v>CDMA</v>
          </cell>
        </row>
        <row r="435">
          <cell r="A435" t="str">
            <v>Others</v>
          </cell>
        </row>
        <row r="436">
          <cell r="A436" t="str">
            <v>Total</v>
          </cell>
        </row>
        <row r="437">
          <cell r="A437" t="str">
            <v>CEE (mln)</v>
          </cell>
        </row>
        <row r="438">
          <cell r="A438" t="str">
            <v>GSM</v>
          </cell>
        </row>
        <row r="439">
          <cell r="A439" t="str">
            <v>UMTS</v>
          </cell>
        </row>
        <row r="440">
          <cell r="A440" t="str">
            <v>CDMA</v>
          </cell>
        </row>
        <row r="441">
          <cell r="A441" t="str">
            <v>Others</v>
          </cell>
        </row>
        <row r="442">
          <cell r="A442" t="str">
            <v>Total</v>
          </cell>
        </row>
        <row r="443">
          <cell r="A443" t="str">
            <v>CEE  (%)</v>
          </cell>
        </row>
        <row r="444">
          <cell r="A444" t="str">
            <v>GSM</v>
          </cell>
        </row>
        <row r="445">
          <cell r="A445" t="str">
            <v>UMTS</v>
          </cell>
        </row>
        <row r="446">
          <cell r="A446" t="str">
            <v>CDMA</v>
          </cell>
        </row>
        <row r="447">
          <cell r="A447" t="str">
            <v>Others</v>
          </cell>
        </row>
        <row r="448">
          <cell r="A448" t="str">
            <v>Total</v>
          </cell>
        </row>
        <row r="449">
          <cell r="A449" t="str">
            <v>ROW</v>
          </cell>
        </row>
        <row r="450">
          <cell r="A450" t="str">
            <v>GSM</v>
          </cell>
        </row>
        <row r="451">
          <cell r="A451" t="str">
            <v>UMTS</v>
          </cell>
        </row>
        <row r="452">
          <cell r="A452" t="str">
            <v>CDMA</v>
          </cell>
        </row>
        <row r="453">
          <cell r="A453" t="str">
            <v>Others</v>
          </cell>
        </row>
        <row r="454">
          <cell r="A454" t="str">
            <v>Total</v>
          </cell>
        </row>
        <row r="455">
          <cell r="A455" t="str">
            <v>ROW (%)</v>
          </cell>
        </row>
        <row r="456">
          <cell r="A456" t="str">
            <v>GSM</v>
          </cell>
        </row>
        <row r="457">
          <cell r="A457" t="str">
            <v>UMTS</v>
          </cell>
        </row>
        <row r="458">
          <cell r="A458" t="str">
            <v>CDMA</v>
          </cell>
        </row>
        <row r="459">
          <cell r="A459" t="str">
            <v>Others</v>
          </cell>
        </row>
        <row r="460">
          <cell r="A460" t="str">
            <v>Total</v>
          </cell>
        </row>
        <row r="463">
          <cell r="A463" t="str">
            <v>GSM</v>
          </cell>
        </row>
        <row r="464">
          <cell r="A464" t="str">
            <v>UMTS</v>
          </cell>
        </row>
        <row r="465">
          <cell r="A465" t="str">
            <v>CDMA</v>
          </cell>
        </row>
        <row r="466">
          <cell r="A466" t="str">
            <v>Others</v>
          </cell>
        </row>
        <row r="467">
          <cell r="A467" t="str">
            <v>Total</v>
          </cell>
        </row>
        <row r="468">
          <cell r="A468" t="str">
            <v>Smartphones AS (HK$)</v>
          </cell>
        </row>
        <row r="469">
          <cell r="A469" t="str">
            <v>Smartphones</v>
          </cell>
        </row>
        <row r="470">
          <cell r="A470" t="str">
            <v>Smartphones Revenue (Millions, HK$)</v>
          </cell>
        </row>
        <row r="472">
          <cell r="A472" t="str">
            <v>Shipments by Region (mil)</v>
          </cell>
        </row>
        <row r="473">
          <cell r="A473" t="str">
            <v>N America</v>
          </cell>
        </row>
        <row r="474">
          <cell r="A474" t="str">
            <v>W Europe</v>
          </cell>
        </row>
        <row r="475">
          <cell r="A475" t="str">
            <v>APAC</v>
          </cell>
        </row>
        <row r="476">
          <cell r="A476" t="str">
            <v>CALA</v>
          </cell>
        </row>
        <row r="477">
          <cell r="A477" t="str">
            <v>C/E Europe</v>
          </cell>
        </row>
        <row r="478">
          <cell r="A478" t="str">
            <v>ROW</v>
          </cell>
        </row>
        <row r="479">
          <cell r="A479" t="str">
            <v>Total</v>
          </cell>
        </row>
        <row r="480">
          <cell r="A480" t="str">
            <v>China</v>
          </cell>
        </row>
        <row r="483">
          <cell r="A483" t="str">
            <v>Shipments by Region (mil)</v>
          </cell>
        </row>
        <row r="484">
          <cell r="A484" t="str">
            <v>N America</v>
          </cell>
        </row>
        <row r="485">
          <cell r="A485" t="str">
            <v>W Europe</v>
          </cell>
        </row>
        <row r="486">
          <cell r="A486" t="str">
            <v>APAC</v>
          </cell>
        </row>
        <row r="487">
          <cell r="A487" t="str">
            <v>CALA</v>
          </cell>
        </row>
        <row r="488">
          <cell r="A488" t="str">
            <v>C/E Europe</v>
          </cell>
        </row>
        <row r="489">
          <cell r="A489" t="str">
            <v>ROW</v>
          </cell>
        </row>
        <row r="490">
          <cell r="A490" t="str">
            <v>Total</v>
          </cell>
        </row>
        <row r="491">
          <cell r="A491" t="str">
            <v>China</v>
          </cell>
        </row>
        <row r="496">
          <cell r="A496" t="str">
            <v>Philips</v>
          </cell>
        </row>
        <row r="497">
          <cell r="A497" t="str">
            <v>Shipments, millions</v>
          </cell>
        </row>
        <row r="498">
          <cell r="A498" t="str">
            <v>Net Sales (Billion Yen)</v>
          </cell>
        </row>
        <row r="499">
          <cell r="A499" t="str">
            <v>Operating Income(E)</v>
          </cell>
        </row>
        <row r="500">
          <cell r="A500" t="str">
            <v>Operating Margin (Loss)</v>
          </cell>
        </row>
        <row r="501">
          <cell r="A501" t="str">
            <v>Wholesale ASP</v>
          </cell>
        </row>
        <row r="502">
          <cell r="A502" t="str">
            <v>Seasonality</v>
          </cell>
        </row>
        <row r="504">
          <cell r="A504" t="str">
            <v>% Shipments by Technology</v>
          </cell>
        </row>
        <row r="505">
          <cell r="A505" t="str">
            <v>CDMA</v>
          </cell>
        </row>
        <row r="506">
          <cell r="A506" t="str">
            <v>GSM</v>
          </cell>
        </row>
        <row r="507">
          <cell r="A507" t="str">
            <v>WCDMA</v>
          </cell>
        </row>
        <row r="508">
          <cell r="A508" t="str">
            <v>PDC</v>
          </cell>
        </row>
        <row r="509">
          <cell r="A509" t="str">
            <v>Total</v>
          </cell>
        </row>
        <row r="511">
          <cell r="A511" t="str">
            <v>Unit Shipments by Technology</v>
          </cell>
        </row>
        <row r="512">
          <cell r="A512" t="str">
            <v>CDMA</v>
          </cell>
        </row>
        <row r="513">
          <cell r="A513" t="str">
            <v>GSM</v>
          </cell>
        </row>
        <row r="514">
          <cell r="A514" t="str">
            <v>WCDMA</v>
          </cell>
        </row>
        <row r="515">
          <cell r="A515" t="str">
            <v>TD-SCDMA</v>
          </cell>
        </row>
        <row r="516">
          <cell r="A516" t="str">
            <v>Total</v>
          </cell>
        </row>
        <row r="519">
          <cell r="A519" t="str">
            <v>% Shipments by Region</v>
          </cell>
        </row>
        <row r="520">
          <cell r="A520" t="str">
            <v>N America</v>
          </cell>
        </row>
        <row r="521">
          <cell r="A521" t="str">
            <v>W Europe</v>
          </cell>
        </row>
        <row r="522">
          <cell r="A522" t="str">
            <v>APAC</v>
          </cell>
        </row>
        <row r="523">
          <cell r="A523" t="str">
            <v>CALA</v>
          </cell>
        </row>
        <row r="524">
          <cell r="A524" t="str">
            <v>C/E Europe</v>
          </cell>
        </row>
        <row r="525">
          <cell r="A525" t="str">
            <v>ROW</v>
          </cell>
        </row>
        <row r="528">
          <cell r="A528" t="str">
            <v>Shipments by Region (mil)</v>
          </cell>
        </row>
        <row r="529">
          <cell r="A529" t="str">
            <v>N America</v>
          </cell>
        </row>
        <row r="530">
          <cell r="A530" t="str">
            <v>W Europe</v>
          </cell>
        </row>
        <row r="531">
          <cell r="A531" t="str">
            <v>APAC</v>
          </cell>
        </row>
        <row r="532">
          <cell r="A532" t="str">
            <v>CALA</v>
          </cell>
        </row>
        <row r="533">
          <cell r="A533" t="str">
            <v>C/E Europe</v>
          </cell>
        </row>
        <row r="534">
          <cell r="A534" t="str">
            <v>ROW</v>
          </cell>
        </row>
        <row r="535">
          <cell r="A535" t="str">
            <v>Total</v>
          </cell>
        </row>
        <row r="537">
          <cell r="A537" t="str">
            <v>NA (mln)</v>
          </cell>
        </row>
        <row r="538">
          <cell r="A538" t="str">
            <v>GSM</v>
          </cell>
        </row>
        <row r="539">
          <cell r="A539" t="str">
            <v>UMTS</v>
          </cell>
        </row>
        <row r="540">
          <cell r="A540" t="str">
            <v>CDMA</v>
          </cell>
        </row>
        <row r="541">
          <cell r="A541" t="str">
            <v>Others</v>
          </cell>
        </row>
        <row r="543">
          <cell r="A543" t="str">
            <v>NA  (%)</v>
          </cell>
        </row>
        <row r="544">
          <cell r="A544" t="str">
            <v>GSM</v>
          </cell>
        </row>
        <row r="545">
          <cell r="A545" t="str">
            <v>UMTS</v>
          </cell>
        </row>
        <row r="546">
          <cell r="A546" t="str">
            <v>CDMA</v>
          </cell>
        </row>
        <row r="547">
          <cell r="A547" t="str">
            <v>Others</v>
          </cell>
        </row>
        <row r="549">
          <cell r="A549" t="str">
            <v>WE (mln)</v>
          </cell>
        </row>
        <row r="550">
          <cell r="A550" t="str">
            <v>GSM</v>
          </cell>
        </row>
        <row r="551">
          <cell r="A551" t="str">
            <v>UMTS</v>
          </cell>
        </row>
        <row r="552">
          <cell r="A552" t="str">
            <v>CDMA</v>
          </cell>
        </row>
        <row r="553">
          <cell r="A553" t="str">
            <v>Others</v>
          </cell>
        </row>
        <row r="555">
          <cell r="A555" t="str">
            <v>WE (%)</v>
          </cell>
        </row>
        <row r="556">
          <cell r="A556" t="str">
            <v>GSM</v>
          </cell>
        </row>
        <row r="557">
          <cell r="A557" t="str">
            <v>UMTS</v>
          </cell>
        </row>
        <row r="558">
          <cell r="A558" t="str">
            <v>CDMA</v>
          </cell>
        </row>
        <row r="559">
          <cell r="A559" t="str">
            <v>Others</v>
          </cell>
        </row>
        <row r="561">
          <cell r="A561" t="str">
            <v>APAC (mln)</v>
          </cell>
        </row>
        <row r="562">
          <cell r="A562" t="str">
            <v>GSM</v>
          </cell>
        </row>
        <row r="563">
          <cell r="A563" t="str">
            <v>UMTS</v>
          </cell>
        </row>
        <row r="564">
          <cell r="A564" t="str">
            <v>CDMA</v>
          </cell>
        </row>
        <row r="565">
          <cell r="A565" t="str">
            <v>Others</v>
          </cell>
        </row>
        <row r="567">
          <cell r="A567" t="str">
            <v>APAC  (%)</v>
          </cell>
        </row>
        <row r="568">
          <cell r="A568" t="str">
            <v>GSM</v>
          </cell>
        </row>
        <row r="569">
          <cell r="A569" t="str">
            <v>UMTS</v>
          </cell>
        </row>
        <row r="570">
          <cell r="A570" t="str">
            <v>CDMA</v>
          </cell>
        </row>
        <row r="571">
          <cell r="A571" t="str">
            <v>Others</v>
          </cell>
        </row>
        <row r="573">
          <cell r="A573" t="str">
            <v>CALA</v>
          </cell>
        </row>
        <row r="574">
          <cell r="A574" t="str">
            <v>GSM</v>
          </cell>
        </row>
        <row r="575">
          <cell r="A575" t="str">
            <v>UMTS</v>
          </cell>
        </row>
        <row r="576">
          <cell r="A576" t="str">
            <v>CDMA</v>
          </cell>
        </row>
        <row r="577">
          <cell r="A577" t="str">
            <v>Others</v>
          </cell>
        </row>
        <row r="579">
          <cell r="A579" t="str">
            <v>CALA (%)</v>
          </cell>
        </row>
        <row r="580">
          <cell r="A580" t="str">
            <v>GSM</v>
          </cell>
        </row>
        <row r="581">
          <cell r="A581" t="str">
            <v>UMTS</v>
          </cell>
        </row>
        <row r="582">
          <cell r="A582" t="str">
            <v>CDMA</v>
          </cell>
        </row>
        <row r="583">
          <cell r="A583" t="str">
            <v>Others</v>
          </cell>
        </row>
        <row r="585">
          <cell r="A585" t="str">
            <v>CEE (mln)</v>
          </cell>
        </row>
        <row r="586">
          <cell r="A586" t="str">
            <v>GSM</v>
          </cell>
        </row>
        <row r="587">
          <cell r="A587" t="str">
            <v>UMTS</v>
          </cell>
        </row>
        <row r="588">
          <cell r="A588" t="str">
            <v>CDMA</v>
          </cell>
        </row>
        <row r="589">
          <cell r="A589" t="str">
            <v>Others</v>
          </cell>
        </row>
        <row r="591">
          <cell r="A591" t="str">
            <v>CEE  (%)</v>
          </cell>
        </row>
        <row r="592">
          <cell r="A592" t="str">
            <v>GSM</v>
          </cell>
        </row>
        <row r="593">
          <cell r="A593" t="str">
            <v>UMTS</v>
          </cell>
        </row>
        <row r="594">
          <cell r="A594" t="str">
            <v>CDMA</v>
          </cell>
        </row>
        <row r="595">
          <cell r="A595" t="str">
            <v>Others</v>
          </cell>
        </row>
        <row r="597">
          <cell r="A597" t="str">
            <v>ROW</v>
          </cell>
        </row>
        <row r="598">
          <cell r="A598" t="str">
            <v>GSM</v>
          </cell>
        </row>
        <row r="599">
          <cell r="A599" t="str">
            <v>UMTS</v>
          </cell>
        </row>
        <row r="600">
          <cell r="A600" t="str">
            <v>CDMA</v>
          </cell>
        </row>
        <row r="601">
          <cell r="A601" t="str">
            <v>Others</v>
          </cell>
        </row>
        <row r="603">
          <cell r="A603" t="str">
            <v>ROW (%)</v>
          </cell>
        </row>
        <row r="604">
          <cell r="A604" t="str">
            <v>GSM</v>
          </cell>
        </row>
        <row r="605">
          <cell r="A605" t="str">
            <v>UMTS</v>
          </cell>
        </row>
        <row r="606">
          <cell r="A606" t="str">
            <v>CDMA</v>
          </cell>
        </row>
        <row r="607">
          <cell r="A607" t="str">
            <v>Others</v>
          </cell>
        </row>
        <row r="609">
          <cell r="A609" t="str">
            <v>TCL</v>
          </cell>
        </row>
        <row r="610">
          <cell r="A610" t="str">
            <v>Shipments, millions</v>
          </cell>
        </row>
        <row r="611">
          <cell r="A611" t="str">
            <v>Net Sales (Billion Yen)</v>
          </cell>
        </row>
        <row r="612">
          <cell r="A612" t="str">
            <v>Operating Income(E)</v>
          </cell>
        </row>
        <row r="613">
          <cell r="A613" t="str">
            <v>Operating Margin (Loss)</v>
          </cell>
        </row>
        <row r="614">
          <cell r="A614" t="str">
            <v>Wholesale ASP</v>
          </cell>
        </row>
        <row r="615">
          <cell r="A615" t="str">
            <v>Seasonality</v>
          </cell>
        </row>
        <row r="617">
          <cell r="A617" t="str">
            <v>% Shipments by Technology</v>
          </cell>
        </row>
        <row r="618">
          <cell r="A618" t="str">
            <v>CDMA</v>
          </cell>
        </row>
        <row r="619">
          <cell r="A619" t="str">
            <v>GSM</v>
          </cell>
        </row>
        <row r="620">
          <cell r="A620" t="str">
            <v>WCDMA</v>
          </cell>
        </row>
        <row r="621">
          <cell r="A621" t="str">
            <v>PDC</v>
          </cell>
        </row>
        <row r="622">
          <cell r="A622" t="str">
            <v>Total</v>
          </cell>
        </row>
        <row r="624">
          <cell r="A624" t="str">
            <v>Unit Shipments by Technology</v>
          </cell>
        </row>
        <row r="625">
          <cell r="A625" t="str">
            <v>CDMA</v>
          </cell>
        </row>
        <row r="626">
          <cell r="A626" t="str">
            <v>GSM</v>
          </cell>
        </row>
        <row r="627">
          <cell r="A627" t="str">
            <v>WCDMA</v>
          </cell>
        </row>
        <row r="628">
          <cell r="A628" t="str">
            <v>PDC</v>
          </cell>
        </row>
        <row r="629">
          <cell r="A629" t="str">
            <v>Total</v>
          </cell>
        </row>
        <row r="632">
          <cell r="A632" t="str">
            <v>% Shipments by Region</v>
          </cell>
        </row>
        <row r="633">
          <cell r="A633" t="str">
            <v>N America</v>
          </cell>
        </row>
        <row r="634">
          <cell r="A634" t="str">
            <v>W Europe</v>
          </cell>
        </row>
        <row r="635">
          <cell r="A635" t="str">
            <v>APAC</v>
          </cell>
        </row>
        <row r="636">
          <cell r="A636" t="str">
            <v>CALA</v>
          </cell>
        </row>
        <row r="637">
          <cell r="A637" t="str">
            <v>C/E Europe</v>
          </cell>
        </row>
        <row r="638">
          <cell r="A638" t="str">
            <v>ROW</v>
          </cell>
        </row>
        <row r="641">
          <cell r="A641" t="str">
            <v>Shipments by Region (mil)</v>
          </cell>
        </row>
        <row r="642">
          <cell r="A642" t="str">
            <v>N America</v>
          </cell>
        </row>
        <row r="643">
          <cell r="A643" t="str">
            <v>W Europe</v>
          </cell>
        </row>
        <row r="644">
          <cell r="A644" t="str">
            <v>APAC</v>
          </cell>
        </row>
        <row r="645">
          <cell r="A645" t="str">
            <v>CALA</v>
          </cell>
        </row>
        <row r="646">
          <cell r="A646" t="str">
            <v>C/E Europe</v>
          </cell>
        </row>
        <row r="647">
          <cell r="A647" t="str">
            <v>ROW</v>
          </cell>
        </row>
        <row r="648">
          <cell r="A648" t="str">
            <v>Total</v>
          </cell>
        </row>
        <row r="650">
          <cell r="A650" t="str">
            <v>NA (mln)</v>
          </cell>
        </row>
        <row r="651">
          <cell r="A651" t="str">
            <v>GSM</v>
          </cell>
        </row>
        <row r="652">
          <cell r="A652" t="str">
            <v>UMTS</v>
          </cell>
        </row>
        <row r="653">
          <cell r="A653" t="str">
            <v>CDMA</v>
          </cell>
        </row>
        <row r="654">
          <cell r="A654" t="str">
            <v>Others</v>
          </cell>
        </row>
        <row r="655">
          <cell r="A655" t="str">
            <v>Total</v>
          </cell>
        </row>
        <row r="656">
          <cell r="A656" t="str">
            <v>NA  (%)</v>
          </cell>
        </row>
        <row r="657">
          <cell r="A657" t="str">
            <v>GSM</v>
          </cell>
        </row>
        <row r="658">
          <cell r="A658" t="str">
            <v>UMTS</v>
          </cell>
        </row>
        <row r="659">
          <cell r="A659" t="str">
            <v>CDMA</v>
          </cell>
        </row>
        <row r="660">
          <cell r="A660" t="str">
            <v>Others</v>
          </cell>
        </row>
        <row r="661">
          <cell r="A661" t="str">
            <v>Total</v>
          </cell>
        </row>
        <row r="662">
          <cell r="A662" t="str">
            <v>WE (mln)</v>
          </cell>
        </row>
        <row r="663">
          <cell r="A663" t="str">
            <v>GSM</v>
          </cell>
        </row>
        <row r="664">
          <cell r="A664" t="str">
            <v>UMTS</v>
          </cell>
        </row>
        <row r="665">
          <cell r="A665" t="str">
            <v>CDMA</v>
          </cell>
        </row>
        <row r="666">
          <cell r="A666" t="str">
            <v>Others</v>
          </cell>
        </row>
        <row r="667">
          <cell r="A667" t="str">
            <v>Total</v>
          </cell>
        </row>
        <row r="668">
          <cell r="A668" t="str">
            <v>WE (%)</v>
          </cell>
        </row>
        <row r="669">
          <cell r="A669" t="str">
            <v>GSM</v>
          </cell>
        </row>
        <row r="670">
          <cell r="A670" t="str">
            <v>UMTS</v>
          </cell>
        </row>
        <row r="671">
          <cell r="A671" t="str">
            <v>CDMA</v>
          </cell>
        </row>
        <row r="672">
          <cell r="A672" t="str">
            <v>Others</v>
          </cell>
        </row>
        <row r="673">
          <cell r="A673" t="str">
            <v>Total</v>
          </cell>
        </row>
        <row r="674">
          <cell r="A674" t="str">
            <v>APAC (mln)</v>
          </cell>
        </row>
        <row r="675">
          <cell r="A675" t="str">
            <v>GSM</v>
          </cell>
        </row>
        <row r="676">
          <cell r="A676" t="str">
            <v>UMTS</v>
          </cell>
        </row>
        <row r="677">
          <cell r="A677" t="str">
            <v>CDMA</v>
          </cell>
        </row>
        <row r="678">
          <cell r="A678" t="str">
            <v>Others</v>
          </cell>
        </row>
        <row r="679">
          <cell r="A679" t="str">
            <v>Total</v>
          </cell>
        </row>
        <row r="680">
          <cell r="A680" t="str">
            <v>APAC  (%)</v>
          </cell>
        </row>
      </sheetData>
      <sheetData sheetId="10">
        <row r="2">
          <cell r="A2" t="str">
            <v xml:space="preserve">Mobiwire (Sagem) </v>
          </cell>
        </row>
        <row r="3">
          <cell r="A3" t="str">
            <v>Shipments, millions</v>
          </cell>
          <cell r="Y3">
            <v>3.2</v>
          </cell>
          <cell r="Z3">
            <v>3.1</v>
          </cell>
          <cell r="AA3">
            <v>4.0999999999999996</v>
          </cell>
          <cell r="AB3">
            <v>4.5</v>
          </cell>
          <cell r="AC3">
            <v>14.9</v>
          </cell>
          <cell r="AD3">
            <v>3.3</v>
          </cell>
          <cell r="AE3">
            <v>4.2</v>
          </cell>
          <cell r="AF3">
            <v>4.3</v>
          </cell>
          <cell r="AG3">
            <v>5</v>
          </cell>
          <cell r="AH3">
            <v>16.8</v>
          </cell>
          <cell r="AI3">
            <v>4.0999999999999996</v>
          </cell>
          <cell r="AJ3">
            <v>4.7</v>
          </cell>
          <cell r="AK3">
            <v>4.5</v>
          </cell>
          <cell r="AL3">
            <v>5.0999999999999996</v>
          </cell>
          <cell r="AM3">
            <v>18.399999999999999</v>
          </cell>
          <cell r="AN3">
            <v>2.8</v>
          </cell>
          <cell r="AO3">
            <v>1.6</v>
          </cell>
          <cell r="AP3">
            <v>2.7</v>
          </cell>
          <cell r="AQ3">
            <v>3.5</v>
          </cell>
          <cell r="AR3">
            <v>10.600000000000001</v>
          </cell>
          <cell r="AS3">
            <v>2.1</v>
          </cell>
          <cell r="AT3">
            <v>1.8</v>
          </cell>
          <cell r="AU3">
            <v>1.4</v>
          </cell>
          <cell r="AV3">
            <v>1</v>
          </cell>
          <cell r="AW3">
            <v>6.3000000000000007</v>
          </cell>
          <cell r="AX3">
            <v>1</v>
          </cell>
          <cell r="AY3">
            <v>0.62</v>
          </cell>
          <cell r="AZ3">
            <v>0.7</v>
          </cell>
          <cell r="BA3">
            <v>0.35</v>
          </cell>
          <cell r="BB3">
            <v>2.6700000000000004</v>
          </cell>
          <cell r="BC3">
            <v>0.2</v>
          </cell>
          <cell r="BD3">
            <v>0.55000000000000004</v>
          </cell>
          <cell r="BE3">
            <v>0.4</v>
          </cell>
          <cell r="BF3">
            <v>0.2</v>
          </cell>
          <cell r="BG3">
            <v>1.3499999999999999</v>
          </cell>
          <cell r="BH3">
            <v>0.2</v>
          </cell>
          <cell r="BI3">
            <v>0.05</v>
          </cell>
          <cell r="BJ3">
            <v>0</v>
          </cell>
          <cell r="BK3">
            <v>0</v>
          </cell>
          <cell r="BL3">
            <v>0.25</v>
          </cell>
        </row>
        <row r="4">
          <cell r="A4" t="str">
            <v>Net Sales (Billion Yen)</v>
          </cell>
        </row>
        <row r="5">
          <cell r="A5" t="str">
            <v>Operating Income(E)</v>
          </cell>
        </row>
        <row r="6">
          <cell r="A6" t="str">
            <v>Operating Margin (Loss)</v>
          </cell>
        </row>
        <row r="7">
          <cell r="A7" t="str">
            <v>Wholesale ASP</v>
          </cell>
          <cell r="AC7">
            <v>92.274542389210012</v>
          </cell>
          <cell r="AH7">
            <v>97.980769346923353</v>
          </cell>
          <cell r="AM7">
            <v>91.122115492638713</v>
          </cell>
          <cell r="AR7">
            <v>82.009903943374852</v>
          </cell>
          <cell r="BB7">
            <v>72.431147162788676</v>
          </cell>
          <cell r="BC7">
            <v>71.706835691160776</v>
          </cell>
        </row>
        <row r="8">
          <cell r="A8" t="str">
            <v>Seasonality</v>
          </cell>
          <cell r="AC8">
            <v>115.52225211510918</v>
          </cell>
          <cell r="AH8">
            <v>122.66610969670013</v>
          </cell>
          <cell r="AM8">
            <v>114.07948201793111</v>
          </cell>
          <cell r="AR8">
            <v>102.67153381613802</v>
          </cell>
          <cell r="BB8">
            <v>90.67949866641311</v>
          </cell>
          <cell r="BC8">
            <v>89.772703679748957</v>
          </cell>
        </row>
        <row r="10">
          <cell r="A10" t="str">
            <v>% Shipments by Technology</v>
          </cell>
        </row>
        <row r="11">
          <cell r="A11" t="str">
            <v>CDMA</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t="e">
            <v>#DIV/0!</v>
          </cell>
          <cell r="BK11" t="e">
            <v>#DIV/0!</v>
          </cell>
          <cell r="BL11">
            <v>0</v>
          </cell>
        </row>
        <row r="12">
          <cell r="A12" t="str">
            <v>GSM</v>
          </cell>
          <cell r="Y12">
            <v>1</v>
          </cell>
          <cell r="Z12">
            <v>1</v>
          </cell>
          <cell r="AA12">
            <v>1</v>
          </cell>
          <cell r="AB12">
            <v>1</v>
          </cell>
          <cell r="AC12">
            <v>1</v>
          </cell>
          <cell r="AD12">
            <v>1</v>
          </cell>
          <cell r="AE12">
            <v>1</v>
          </cell>
          <cell r="AF12">
            <v>1</v>
          </cell>
          <cell r="AG12">
            <v>1</v>
          </cell>
          <cell r="AH12">
            <v>1</v>
          </cell>
          <cell r="AI12">
            <v>1</v>
          </cell>
          <cell r="AJ12">
            <v>1</v>
          </cell>
          <cell r="AK12">
            <v>1</v>
          </cell>
          <cell r="AL12">
            <v>1</v>
          </cell>
          <cell r="AM12">
            <v>1</v>
          </cell>
          <cell r="AN12">
            <v>1</v>
          </cell>
          <cell r="AO12">
            <v>1</v>
          </cell>
          <cell r="AP12">
            <v>1</v>
          </cell>
          <cell r="AQ12">
            <v>1</v>
          </cell>
          <cell r="AR12">
            <v>1</v>
          </cell>
          <cell r="AS12">
            <v>1</v>
          </cell>
          <cell r="AT12">
            <v>1</v>
          </cell>
          <cell r="AU12">
            <v>1</v>
          </cell>
          <cell r="AV12">
            <v>0.9</v>
          </cell>
          <cell r="AW12">
            <v>0.82539682539682546</v>
          </cell>
          <cell r="AX12">
            <v>0.9</v>
          </cell>
          <cell r="AY12">
            <v>0.9838709677419355</v>
          </cell>
          <cell r="AZ12">
            <v>0.97183098591549288</v>
          </cell>
          <cell r="BA12">
            <v>0.94444444444444442</v>
          </cell>
          <cell r="BB12">
            <v>0.94423791821561354</v>
          </cell>
          <cell r="BC12">
            <v>1</v>
          </cell>
          <cell r="BD12">
            <v>0.63636363636363635</v>
          </cell>
          <cell r="BE12">
            <v>0.5</v>
          </cell>
          <cell r="BF12">
            <v>0.5</v>
          </cell>
          <cell r="BG12">
            <v>0.62962962962962954</v>
          </cell>
          <cell r="BH12">
            <v>0.5</v>
          </cell>
          <cell r="BI12">
            <v>0</v>
          </cell>
          <cell r="BJ12" t="e">
            <v>#DIV/0!</v>
          </cell>
          <cell r="BK12" t="e">
            <v>#DIV/0!</v>
          </cell>
          <cell r="BL12">
            <v>0.39999999999999991</v>
          </cell>
        </row>
        <row r="13">
          <cell r="A13" t="str">
            <v>WCDMA</v>
          </cell>
          <cell r="Y13">
            <v>0</v>
          </cell>
          <cell r="Z13">
            <v>0</v>
          </cell>
          <cell r="AA13">
            <v>0</v>
          </cell>
          <cell r="AB13">
            <v>0</v>
          </cell>
          <cell r="AC13">
            <v>0</v>
          </cell>
          <cell r="AD13">
            <v>0</v>
          </cell>
          <cell r="AE13">
            <v>0</v>
          </cell>
          <cell r="AF13">
            <v>0</v>
          </cell>
          <cell r="AG13">
            <v>0</v>
          </cell>
          <cell r="AH13">
            <v>0</v>
          </cell>
          <cell r="AI13">
            <v>0</v>
          </cell>
          <cell r="AJ13">
            <v>0</v>
          </cell>
          <cell r="AK13">
            <v>1.1111111111111112E-2</v>
          </cell>
          <cell r="AL13">
            <v>9.8039215686274526E-3</v>
          </cell>
          <cell r="AM13">
            <v>5.4347826086956529E-3</v>
          </cell>
          <cell r="AN13">
            <v>7.1428571428571438E-2</v>
          </cell>
          <cell r="AO13">
            <v>0.125</v>
          </cell>
          <cell r="AP13">
            <v>7.407407407407407E-2</v>
          </cell>
          <cell r="AQ13">
            <v>0.1142857142857143</v>
          </cell>
          <cell r="AR13">
            <v>9.4339622641509427E-2</v>
          </cell>
          <cell r="AS13">
            <v>0.14285714285714285</v>
          </cell>
          <cell r="AT13">
            <v>0.22222222222222224</v>
          </cell>
          <cell r="AU13">
            <v>0.2142857142857143</v>
          </cell>
          <cell r="AV13">
            <v>0.1</v>
          </cell>
          <cell r="AW13">
            <v>0.17460317460317459</v>
          </cell>
          <cell r="AX13">
            <v>0.1</v>
          </cell>
          <cell r="AY13">
            <v>1.6129032258064516E-2</v>
          </cell>
          <cell r="AZ13">
            <v>1.4285714285714287E-2</v>
          </cell>
          <cell r="BA13">
            <v>2.8571428571428574E-2</v>
          </cell>
          <cell r="BB13">
            <v>4.868913857677902E-2</v>
          </cell>
          <cell r="BC13">
            <v>0</v>
          </cell>
          <cell r="BD13">
            <v>0.36363636363636365</v>
          </cell>
          <cell r="BE13">
            <v>0.5</v>
          </cell>
          <cell r="BF13">
            <v>0.5</v>
          </cell>
          <cell r="BG13">
            <v>0.37037037037037041</v>
          </cell>
          <cell r="BH13">
            <v>0.5</v>
          </cell>
          <cell r="BI13">
            <v>1</v>
          </cell>
          <cell r="BJ13" t="e">
            <v>#DIV/0!</v>
          </cell>
          <cell r="BK13" t="e">
            <v>#DIV/0!</v>
          </cell>
          <cell r="BL13">
            <v>0.60000000000000009</v>
          </cell>
        </row>
        <row r="14">
          <cell r="A14" t="str">
            <v>Others</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t="e">
            <v>#DIV/0!</v>
          </cell>
          <cell r="BK14" t="e">
            <v>#DIV/0!</v>
          </cell>
          <cell r="BL14">
            <v>0</v>
          </cell>
        </row>
        <row r="15">
          <cell r="A15" t="str">
            <v>Total</v>
          </cell>
          <cell r="Y15">
            <v>1</v>
          </cell>
          <cell r="Z15">
            <v>1</v>
          </cell>
          <cell r="AA15">
            <v>1</v>
          </cell>
          <cell r="AB15">
            <v>1</v>
          </cell>
          <cell r="AC15">
            <v>1</v>
          </cell>
          <cell r="AD15">
            <v>1</v>
          </cell>
          <cell r="AE15">
            <v>1</v>
          </cell>
          <cell r="AF15">
            <v>1</v>
          </cell>
          <cell r="AG15">
            <v>1</v>
          </cell>
          <cell r="AH15">
            <v>1</v>
          </cell>
          <cell r="AI15">
            <v>1</v>
          </cell>
          <cell r="AJ15">
            <v>1</v>
          </cell>
          <cell r="AK15">
            <v>1</v>
          </cell>
          <cell r="AL15">
            <v>1</v>
          </cell>
          <cell r="AM15">
            <v>1</v>
          </cell>
          <cell r="AN15">
            <v>1</v>
          </cell>
          <cell r="AO15">
            <v>1</v>
          </cell>
          <cell r="AP15">
            <v>1</v>
          </cell>
          <cell r="AQ15">
            <v>1</v>
          </cell>
          <cell r="AR15">
            <v>1</v>
          </cell>
          <cell r="AS15">
            <v>1</v>
          </cell>
          <cell r="AT15">
            <v>1</v>
          </cell>
          <cell r="AU15">
            <v>1</v>
          </cell>
          <cell r="AV15">
            <v>1</v>
          </cell>
          <cell r="AW15">
            <v>1</v>
          </cell>
          <cell r="AX15">
            <v>1</v>
          </cell>
          <cell r="AY15">
            <v>1</v>
          </cell>
          <cell r="AZ15">
            <v>0.98611670020120712</v>
          </cell>
          <cell r="BA15">
            <v>0.973015873015873</v>
          </cell>
          <cell r="BB15">
            <v>0.99292705679239257</v>
          </cell>
          <cell r="BC15">
            <v>1</v>
          </cell>
          <cell r="BD15">
            <v>1</v>
          </cell>
          <cell r="BE15">
            <v>1</v>
          </cell>
          <cell r="BF15">
            <v>1</v>
          </cell>
          <cell r="BG15">
            <v>1</v>
          </cell>
          <cell r="BH15">
            <v>1</v>
          </cell>
          <cell r="BI15">
            <v>1</v>
          </cell>
          <cell r="BJ15" t="e">
            <v>#DIV/0!</v>
          </cell>
          <cell r="BK15" t="e">
            <v>#DIV/0!</v>
          </cell>
          <cell r="BL15">
            <v>1</v>
          </cell>
        </row>
        <row r="17">
          <cell r="A17" t="str">
            <v>Unit Shipments by Technology</v>
          </cell>
        </row>
        <row r="18">
          <cell r="A18" t="str">
            <v>CDMA</v>
          </cell>
        </row>
        <row r="19">
          <cell r="A19" t="str">
            <v>GSM (includes WCDMA)</v>
          </cell>
          <cell r="Y19">
            <v>3.2</v>
          </cell>
          <cell r="Z19">
            <v>3.1</v>
          </cell>
          <cell r="AA19">
            <v>4.0999999999999996</v>
          </cell>
          <cell r="AB19">
            <v>4.5</v>
          </cell>
          <cell r="AC19">
            <v>14.9</v>
          </cell>
          <cell r="AD19">
            <v>3.3</v>
          </cell>
          <cell r="AE19">
            <v>4.2</v>
          </cell>
          <cell r="AF19">
            <v>4.3</v>
          </cell>
          <cell r="AG19">
            <v>5</v>
          </cell>
          <cell r="AH19">
            <v>16.8</v>
          </cell>
          <cell r="AI19">
            <v>4.0999999999999996</v>
          </cell>
          <cell r="AJ19">
            <v>4.7</v>
          </cell>
          <cell r="AK19">
            <v>4.5</v>
          </cell>
          <cell r="AL19">
            <v>5.0999999999999996</v>
          </cell>
          <cell r="AM19">
            <v>18.399999999999999</v>
          </cell>
          <cell r="AN19">
            <v>2.8</v>
          </cell>
          <cell r="AO19">
            <v>1.6</v>
          </cell>
          <cell r="AP19">
            <v>2.7</v>
          </cell>
          <cell r="AQ19">
            <v>3.5</v>
          </cell>
          <cell r="AR19">
            <v>10.600000000000001</v>
          </cell>
          <cell r="AS19">
            <v>2.1</v>
          </cell>
          <cell r="AT19">
            <v>1.8</v>
          </cell>
          <cell r="AU19">
            <v>1.4</v>
          </cell>
          <cell r="AV19">
            <v>1</v>
          </cell>
          <cell r="AW19">
            <v>6.3000000000000007</v>
          </cell>
          <cell r="AX19">
            <v>1</v>
          </cell>
          <cell r="AY19">
            <v>0.62</v>
          </cell>
          <cell r="AZ19">
            <v>0.7</v>
          </cell>
          <cell r="BA19">
            <v>0.35</v>
          </cell>
          <cell r="BB19">
            <v>2.6700000000000004</v>
          </cell>
          <cell r="BC19">
            <v>0.2</v>
          </cell>
          <cell r="BD19">
            <v>0.55000000000000004</v>
          </cell>
          <cell r="BE19">
            <v>0.4</v>
          </cell>
          <cell r="BF19">
            <v>0.2</v>
          </cell>
          <cell r="BG19">
            <v>1.3499999999999999</v>
          </cell>
          <cell r="BH19">
            <v>0.2</v>
          </cell>
          <cell r="BI19">
            <v>0.05</v>
          </cell>
          <cell r="BJ19">
            <v>0</v>
          </cell>
          <cell r="BK19">
            <v>0</v>
          </cell>
          <cell r="BL19">
            <v>0.25</v>
          </cell>
        </row>
        <row r="20">
          <cell r="A20" t="str">
            <v>WCDMA</v>
          </cell>
          <cell r="Y20">
            <v>0</v>
          </cell>
          <cell r="Z20">
            <v>0</v>
          </cell>
          <cell r="AA20">
            <v>0</v>
          </cell>
          <cell r="AB20">
            <v>0</v>
          </cell>
          <cell r="AC20">
            <v>0</v>
          </cell>
          <cell r="AD20">
            <v>0</v>
          </cell>
          <cell r="AE20">
            <v>0</v>
          </cell>
          <cell r="AF20">
            <v>0</v>
          </cell>
          <cell r="AG20">
            <v>0</v>
          </cell>
          <cell r="AH20">
            <v>0</v>
          </cell>
          <cell r="AI20">
            <v>0</v>
          </cell>
          <cell r="AJ20">
            <v>0</v>
          </cell>
          <cell r="AK20">
            <v>0.05</v>
          </cell>
          <cell r="AL20">
            <v>0.05</v>
          </cell>
          <cell r="AM20">
            <v>0.1</v>
          </cell>
          <cell r="AN20">
            <v>0.2</v>
          </cell>
          <cell r="AO20">
            <v>0.2</v>
          </cell>
          <cell r="AP20">
            <v>0.2</v>
          </cell>
          <cell r="AQ20">
            <v>0.4</v>
          </cell>
          <cell r="AR20">
            <v>1</v>
          </cell>
          <cell r="AS20">
            <v>0.3</v>
          </cell>
          <cell r="AT20">
            <v>0.4</v>
          </cell>
          <cell r="AU20">
            <v>0.3</v>
          </cell>
          <cell r="AV20">
            <v>0.1</v>
          </cell>
          <cell r="AW20">
            <v>1.1000000000000001</v>
          </cell>
          <cell r="AX20">
            <v>0.1</v>
          </cell>
          <cell r="AY20">
            <v>0.01</v>
          </cell>
          <cell r="AZ20">
            <v>0.01</v>
          </cell>
          <cell r="BA20">
            <v>0.01</v>
          </cell>
          <cell r="BB20">
            <v>0.13</v>
          </cell>
          <cell r="BC20">
            <v>0</v>
          </cell>
          <cell r="BD20">
            <v>0.2</v>
          </cell>
          <cell r="BE20">
            <v>0.2</v>
          </cell>
          <cell r="BF20">
            <v>0.1</v>
          </cell>
          <cell r="BG20">
            <v>0.5</v>
          </cell>
          <cell r="BH20">
            <v>0.1</v>
          </cell>
          <cell r="BI20">
            <v>0.05</v>
          </cell>
          <cell r="BJ20">
            <v>0</v>
          </cell>
          <cell r="BK20">
            <v>0</v>
          </cell>
          <cell r="BL20">
            <v>0.15000000000000002</v>
          </cell>
        </row>
        <row r="21">
          <cell r="A21" t="str">
            <v>Others</v>
          </cell>
          <cell r="BG21">
            <v>0</v>
          </cell>
          <cell r="BL21">
            <v>0</v>
          </cell>
        </row>
        <row r="22">
          <cell r="A22" t="str">
            <v>Total</v>
          </cell>
          <cell r="Y22">
            <v>3.2</v>
          </cell>
          <cell r="Z22">
            <v>3.1</v>
          </cell>
          <cell r="AA22">
            <v>4.0999999999999996</v>
          </cell>
          <cell r="AB22">
            <v>4.5</v>
          </cell>
          <cell r="AC22">
            <v>14.9</v>
          </cell>
          <cell r="AD22">
            <v>3.3</v>
          </cell>
          <cell r="AE22">
            <v>4.2</v>
          </cell>
          <cell r="AF22">
            <v>4.3</v>
          </cell>
          <cell r="AG22">
            <v>5</v>
          </cell>
          <cell r="AH22">
            <v>16.8</v>
          </cell>
          <cell r="AI22">
            <v>4.0999999999999996</v>
          </cell>
          <cell r="AJ22">
            <v>4.7</v>
          </cell>
          <cell r="AK22">
            <v>4.5</v>
          </cell>
          <cell r="AL22">
            <v>5.0999999999999996</v>
          </cell>
          <cell r="AM22">
            <v>18.399999999999999</v>
          </cell>
          <cell r="AN22">
            <v>2.8</v>
          </cell>
          <cell r="AO22">
            <v>1.6</v>
          </cell>
          <cell r="AP22">
            <v>2.7</v>
          </cell>
          <cell r="AQ22">
            <v>3.5</v>
          </cell>
          <cell r="AR22">
            <v>10.600000000000001</v>
          </cell>
          <cell r="AS22">
            <v>2.1</v>
          </cell>
          <cell r="AT22">
            <v>1.8</v>
          </cell>
          <cell r="AU22">
            <v>1.4</v>
          </cell>
          <cell r="AV22">
            <v>1</v>
          </cell>
          <cell r="AW22">
            <v>6.3000000000000007</v>
          </cell>
          <cell r="AX22">
            <v>1</v>
          </cell>
          <cell r="AY22">
            <v>0.62</v>
          </cell>
          <cell r="AZ22">
            <v>0.71</v>
          </cell>
          <cell r="BA22">
            <v>0.36</v>
          </cell>
          <cell r="BB22">
            <v>2.69</v>
          </cell>
          <cell r="BC22">
            <v>0.2</v>
          </cell>
          <cell r="BD22">
            <v>0.55000000000000004</v>
          </cell>
          <cell r="BE22">
            <v>0.4</v>
          </cell>
          <cell r="BF22">
            <v>0.2</v>
          </cell>
          <cell r="BG22">
            <v>1.3499999999999999</v>
          </cell>
          <cell r="BH22">
            <v>0.2</v>
          </cell>
          <cell r="BI22">
            <v>0.05</v>
          </cell>
          <cell r="BJ22">
            <v>0</v>
          </cell>
          <cell r="BK22">
            <v>0</v>
          </cell>
          <cell r="BL22">
            <v>0.25</v>
          </cell>
        </row>
        <row r="23">
          <cell r="BC23" t="b">
            <v>1</v>
          </cell>
          <cell r="BD23" t="b">
            <v>1</v>
          </cell>
          <cell r="BE23" t="b">
            <v>1</v>
          </cell>
          <cell r="BF23" t="b">
            <v>1</v>
          </cell>
          <cell r="BG23" t="b">
            <v>1</v>
          </cell>
          <cell r="BH23" t="b">
            <v>1</v>
          </cell>
          <cell r="BI23" t="b">
            <v>1</v>
          </cell>
          <cell r="BJ23" t="b">
            <v>1</v>
          </cell>
          <cell r="BK23" t="b">
            <v>1</v>
          </cell>
          <cell r="BL23" t="b">
            <v>1</v>
          </cell>
        </row>
        <row r="25">
          <cell r="A25" t="str">
            <v>% Shipments by Region</v>
          </cell>
        </row>
        <row r="26">
          <cell r="A26" t="str">
            <v>N America</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t="e">
            <v>#DIV/0!</v>
          </cell>
          <cell r="BK26" t="e">
            <v>#DIV/0!</v>
          </cell>
          <cell r="BL26">
            <v>0</v>
          </cell>
        </row>
        <row r="27">
          <cell r="A27" t="str">
            <v>W Europe</v>
          </cell>
          <cell r="Y27">
            <v>0.59374999999999989</v>
          </cell>
          <cell r="Z27">
            <v>0.67741935483870974</v>
          </cell>
          <cell r="AA27">
            <v>0.60975609756097571</v>
          </cell>
          <cell r="AB27">
            <v>0.62222222222222223</v>
          </cell>
          <cell r="AC27">
            <v>0.62416107382550334</v>
          </cell>
          <cell r="AD27">
            <v>0.60606060606060608</v>
          </cell>
          <cell r="AE27">
            <v>0.5714285714285714</v>
          </cell>
          <cell r="AF27">
            <v>0.60465116279069775</v>
          </cell>
          <cell r="AG27">
            <v>0.62465116279069799</v>
          </cell>
          <cell r="AH27">
            <v>0.60257475083056489</v>
          </cell>
          <cell r="AI27">
            <v>0.60975609756097571</v>
          </cell>
          <cell r="AJ27">
            <v>0.57446808510638303</v>
          </cell>
          <cell r="AK27">
            <v>0.57777777777777783</v>
          </cell>
          <cell r="AL27">
            <v>0.58823529411764708</v>
          </cell>
          <cell r="AM27">
            <v>0.58695652173913049</v>
          </cell>
          <cell r="AN27">
            <v>0.57142857142857151</v>
          </cell>
          <cell r="AO27">
            <v>0.625</v>
          </cell>
          <cell r="AP27">
            <v>0.48148148148148145</v>
          </cell>
          <cell r="AQ27">
            <v>0.48571428571428571</v>
          </cell>
          <cell r="AR27">
            <v>0.52830188679245282</v>
          </cell>
          <cell r="AS27">
            <v>0.52380952380952384</v>
          </cell>
          <cell r="AT27">
            <v>0.5</v>
          </cell>
          <cell r="AU27">
            <v>0.4285714285714286</v>
          </cell>
          <cell r="AV27">
            <v>0.5</v>
          </cell>
          <cell r="AW27">
            <v>0.49206349206349204</v>
          </cell>
          <cell r="AX27">
            <v>0.5</v>
          </cell>
          <cell r="AY27">
            <v>0.80645161290322587</v>
          </cell>
          <cell r="AZ27">
            <v>0.85714285714285721</v>
          </cell>
          <cell r="BA27">
            <v>0.82857142857142851</v>
          </cell>
          <cell r="BB27">
            <v>0.7078651685393258</v>
          </cell>
          <cell r="BC27">
            <v>1</v>
          </cell>
          <cell r="BD27">
            <v>0.63636363636363624</v>
          </cell>
          <cell r="BE27">
            <v>0.5</v>
          </cell>
          <cell r="BF27">
            <v>0.5</v>
          </cell>
          <cell r="BG27">
            <v>0.62962962962962965</v>
          </cell>
          <cell r="BH27">
            <v>0.5</v>
          </cell>
          <cell r="BI27">
            <v>1</v>
          </cell>
          <cell r="BJ27" t="e">
            <v>#DIV/0!</v>
          </cell>
          <cell r="BK27" t="e">
            <v>#DIV/0!</v>
          </cell>
          <cell r="BL27">
            <v>0.60000000000000009</v>
          </cell>
        </row>
        <row r="28">
          <cell r="A28" t="str">
            <v>APAC</v>
          </cell>
          <cell r="Y28">
            <v>0.12499999999999997</v>
          </cell>
          <cell r="Z28">
            <v>9.6774193548387094E-2</v>
          </cell>
          <cell r="AA28">
            <v>9.7560975609756115E-2</v>
          </cell>
          <cell r="AB28">
            <v>8.8888888888888892E-2</v>
          </cell>
          <cell r="AC28">
            <v>0.10067114093959731</v>
          </cell>
          <cell r="AD28">
            <v>9.0909090909090912E-2</v>
          </cell>
          <cell r="AE28">
            <v>9.5238095238095233E-2</v>
          </cell>
          <cell r="AF28">
            <v>9.3023255813953501E-2</v>
          </cell>
          <cell r="AG28">
            <v>8.3023255813953395E-2</v>
          </cell>
          <cell r="AH28">
            <v>9.0185492801771849E-2</v>
          </cell>
          <cell r="AI28">
            <v>7.3170731707317083E-2</v>
          </cell>
          <cell r="AJ28">
            <v>6.3829787234042548E-2</v>
          </cell>
          <cell r="AK28">
            <v>8.8888888888888892E-2</v>
          </cell>
          <cell r="AL28">
            <v>9.8039215686274522E-2</v>
          </cell>
          <cell r="AM28">
            <v>8.1521739130434784E-2</v>
          </cell>
          <cell r="AN28">
            <v>0.10714285714285715</v>
          </cell>
          <cell r="AO28">
            <v>6.25E-2</v>
          </cell>
          <cell r="AP28">
            <v>0.14814814814814814</v>
          </cell>
          <cell r="AQ28">
            <v>0.14285714285714285</v>
          </cell>
          <cell r="AR28">
            <v>0.12264150943396225</v>
          </cell>
          <cell r="AS28">
            <v>0.19047619047619047</v>
          </cell>
          <cell r="AT28">
            <v>0.27777777777777779</v>
          </cell>
          <cell r="AU28">
            <v>0.28571428571428575</v>
          </cell>
          <cell r="AV28">
            <v>0.25</v>
          </cell>
          <cell r="AW28">
            <v>0.24603174603174602</v>
          </cell>
          <cell r="AX28">
            <v>0.25</v>
          </cell>
          <cell r="AY28">
            <v>6.4516129032258063E-2</v>
          </cell>
          <cell r="AZ28">
            <v>7.1428571428571438E-2</v>
          </cell>
          <cell r="BA28">
            <v>2.8571428571428574E-2</v>
          </cell>
          <cell r="BB28">
            <v>0.13108614232209737</v>
          </cell>
          <cell r="BC28">
            <v>0</v>
          </cell>
          <cell r="BD28">
            <v>0</v>
          </cell>
          <cell r="BE28">
            <v>0</v>
          </cell>
          <cell r="BF28">
            <v>0</v>
          </cell>
          <cell r="BG28">
            <v>0</v>
          </cell>
          <cell r="BH28">
            <v>0</v>
          </cell>
          <cell r="BI28">
            <v>0</v>
          </cell>
          <cell r="BJ28" t="e">
            <v>#DIV/0!</v>
          </cell>
          <cell r="BK28" t="e">
            <v>#DIV/0!</v>
          </cell>
          <cell r="BL28">
            <v>0</v>
          </cell>
        </row>
        <row r="29">
          <cell r="A29" t="str">
            <v>CALA</v>
          </cell>
          <cell r="Y29">
            <v>9.3749999999999972E-2</v>
          </cell>
          <cell r="Z29">
            <v>9.6774193548387094E-2</v>
          </cell>
          <cell r="AA29">
            <v>9.7560975609756115E-2</v>
          </cell>
          <cell r="AB29">
            <v>0.1111111111111111</v>
          </cell>
          <cell r="AC29">
            <v>0.10067114093959731</v>
          </cell>
          <cell r="AD29">
            <v>0.12121212121212123</v>
          </cell>
          <cell r="AE29">
            <v>0.14285714285714285</v>
          </cell>
          <cell r="AF29">
            <v>9.3023255813953501E-2</v>
          </cell>
          <cell r="AG29">
            <v>9.3023255813953501E-2</v>
          </cell>
          <cell r="AH29">
            <v>0.11101882613510519</v>
          </cell>
          <cell r="AI29">
            <v>0.17073170731707318</v>
          </cell>
          <cell r="AJ29">
            <v>0.19148936170212766</v>
          </cell>
          <cell r="AK29">
            <v>0.17777777777777778</v>
          </cell>
          <cell r="AL29">
            <v>0.17647058823529413</v>
          </cell>
          <cell r="AM29">
            <v>0.17934782608695651</v>
          </cell>
          <cell r="AN29">
            <v>0.17857142857142858</v>
          </cell>
          <cell r="AO29">
            <v>0.125</v>
          </cell>
          <cell r="AP29">
            <v>0.14814814814814814</v>
          </cell>
          <cell r="AQ29">
            <v>0.14285714285714285</v>
          </cell>
          <cell r="AR29">
            <v>0.15094339622641509</v>
          </cell>
          <cell r="AS29">
            <v>9.5238095238095233E-2</v>
          </cell>
          <cell r="AT29">
            <v>0.11111111111111112</v>
          </cell>
          <cell r="AU29">
            <v>0.14285714285714288</v>
          </cell>
          <cell r="AV29">
            <v>0.05</v>
          </cell>
          <cell r="AW29">
            <v>0.10317460317460318</v>
          </cell>
          <cell r="AX29">
            <v>0.05</v>
          </cell>
          <cell r="AY29">
            <v>3.2258064516129031E-2</v>
          </cell>
          <cell r="AZ29">
            <v>1.4285714285714287E-2</v>
          </cell>
          <cell r="BA29">
            <v>0</v>
          </cell>
          <cell r="BB29">
            <v>2.9962546816479398E-2</v>
          </cell>
          <cell r="BC29">
            <v>0</v>
          </cell>
          <cell r="BD29">
            <v>0</v>
          </cell>
          <cell r="BE29">
            <v>0</v>
          </cell>
          <cell r="BF29">
            <v>0</v>
          </cell>
          <cell r="BG29">
            <v>0</v>
          </cell>
          <cell r="BH29">
            <v>0</v>
          </cell>
          <cell r="BI29">
            <v>0</v>
          </cell>
          <cell r="BJ29" t="e">
            <v>#DIV/0!</v>
          </cell>
          <cell r="BK29" t="e">
            <v>#DIV/0!</v>
          </cell>
          <cell r="BL29">
            <v>0</v>
          </cell>
        </row>
        <row r="30">
          <cell r="A30" t="str">
            <v>C/E Europe</v>
          </cell>
          <cell r="Y30">
            <v>0.18750000000000003</v>
          </cell>
          <cell r="Z30">
            <v>6.4516129032258063E-2</v>
          </cell>
          <cell r="AA30">
            <v>0.12195121951219513</v>
          </cell>
          <cell r="AB30">
            <v>0.1111111111111111</v>
          </cell>
          <cell r="AC30">
            <v>0.12080536912751678</v>
          </cell>
          <cell r="AD30">
            <v>0.12121212121212123</v>
          </cell>
          <cell r="AE30">
            <v>0.14285714285714285</v>
          </cell>
          <cell r="AF30">
            <v>0.13953488372093023</v>
          </cell>
          <cell r="AG30">
            <v>0.13953488372093023</v>
          </cell>
          <cell r="AH30">
            <v>0.13676633444075303</v>
          </cell>
          <cell r="AI30">
            <v>9.7560975609756115E-2</v>
          </cell>
          <cell r="AJ30">
            <v>0.10638297872340426</v>
          </cell>
          <cell r="AK30">
            <v>0.1111111111111111</v>
          </cell>
          <cell r="AL30">
            <v>9.8039215686274522E-2</v>
          </cell>
          <cell r="AM30">
            <v>0.10326086956521739</v>
          </cell>
          <cell r="AN30">
            <v>0.10714285714285715</v>
          </cell>
          <cell r="AO30">
            <v>6.25E-2</v>
          </cell>
          <cell r="AP30">
            <v>0.1111111111111111</v>
          </cell>
          <cell r="AQ30">
            <v>0.1142857142857143</v>
          </cell>
          <cell r="AR30">
            <v>0.10377358490566037</v>
          </cell>
          <cell r="AS30">
            <v>9.5238095238095233E-2</v>
          </cell>
          <cell r="AT30">
            <v>5.5555555555555559E-2</v>
          </cell>
          <cell r="AU30">
            <v>7.1428571428571438E-2</v>
          </cell>
          <cell r="AV30">
            <v>0.1</v>
          </cell>
          <cell r="AW30">
            <v>7.9365079365079361E-2</v>
          </cell>
          <cell r="AX30">
            <v>0.1</v>
          </cell>
          <cell r="AY30">
            <v>9.6774193548387094E-2</v>
          </cell>
          <cell r="AZ30">
            <v>5.7142857142857148E-2</v>
          </cell>
          <cell r="BA30">
            <v>0.14285714285714288</v>
          </cell>
          <cell r="BB30">
            <v>9.363295880149812E-2</v>
          </cell>
          <cell r="BC30">
            <v>0</v>
          </cell>
          <cell r="BD30">
            <v>0.18181818181818182</v>
          </cell>
          <cell r="BE30">
            <v>0.25</v>
          </cell>
          <cell r="BF30">
            <v>0.25</v>
          </cell>
          <cell r="BG30">
            <v>0.1851851851851852</v>
          </cell>
          <cell r="BH30">
            <v>0.25</v>
          </cell>
          <cell r="BI30">
            <v>0</v>
          </cell>
          <cell r="BJ30" t="e">
            <v>#DIV/0!</v>
          </cell>
          <cell r="BK30" t="e">
            <v>#DIV/0!</v>
          </cell>
          <cell r="BL30">
            <v>0.2</v>
          </cell>
        </row>
        <row r="31">
          <cell r="A31" t="str">
            <v>ROW</v>
          </cell>
          <cell r="Y31">
            <v>0</v>
          </cell>
          <cell r="Z31">
            <v>6.4516129032258063E-2</v>
          </cell>
          <cell r="AA31">
            <v>7.3170731707317083E-2</v>
          </cell>
          <cell r="AB31">
            <v>6.6666666666666666E-2</v>
          </cell>
          <cell r="AC31">
            <v>5.3691275167785234E-2</v>
          </cell>
          <cell r="AD31">
            <v>6.0606060606060615E-2</v>
          </cell>
          <cell r="AE31">
            <v>4.7619047619047616E-2</v>
          </cell>
          <cell r="AF31">
            <v>6.9767441860465115E-2</v>
          </cell>
          <cell r="AG31">
            <v>5.9767441860465197E-2</v>
          </cell>
          <cell r="AH31">
            <v>5.9454595791805107E-2</v>
          </cell>
          <cell r="AI31">
            <v>4.8780487804878057E-2</v>
          </cell>
          <cell r="AJ31">
            <v>6.3829787234042548E-2</v>
          </cell>
          <cell r="AK31">
            <v>4.4444444444444446E-2</v>
          </cell>
          <cell r="AL31">
            <v>3.921568627450981E-2</v>
          </cell>
          <cell r="AM31">
            <v>4.8913043478260872E-2</v>
          </cell>
          <cell r="AN31">
            <v>3.5714285714285719E-2</v>
          </cell>
          <cell r="AO31">
            <v>0.125</v>
          </cell>
          <cell r="AP31">
            <v>0.11111111111111129</v>
          </cell>
          <cell r="AQ31">
            <v>0.1142857142857143</v>
          </cell>
          <cell r="AR31">
            <v>9.4339622641509469E-2</v>
          </cell>
          <cell r="AS31">
            <v>9.5238095238095233E-2</v>
          </cell>
          <cell r="AT31">
            <v>5.5555555555555559E-2</v>
          </cell>
          <cell r="AU31">
            <v>7.1428571428571438E-2</v>
          </cell>
          <cell r="AV31">
            <v>0.1</v>
          </cell>
          <cell r="AW31">
            <v>7.9365079365079361E-2</v>
          </cell>
          <cell r="AX31">
            <v>0.1</v>
          </cell>
          <cell r="AY31">
            <v>0</v>
          </cell>
          <cell r="AZ31">
            <v>0</v>
          </cell>
          <cell r="BA31">
            <v>0</v>
          </cell>
          <cell r="BB31">
            <v>3.7453183520599245E-2</v>
          </cell>
          <cell r="BC31">
            <v>0</v>
          </cell>
          <cell r="BD31">
            <v>0.18181818181818182</v>
          </cell>
          <cell r="BE31">
            <v>0.25</v>
          </cell>
          <cell r="BF31">
            <v>0.25</v>
          </cell>
          <cell r="BG31">
            <v>0.1851851851851852</v>
          </cell>
          <cell r="BH31">
            <v>0.25</v>
          </cell>
          <cell r="BI31">
            <v>0</v>
          </cell>
          <cell r="BJ31" t="e">
            <v>#DIV/0!</v>
          </cell>
          <cell r="BK31" t="e">
            <v>#DIV/0!</v>
          </cell>
          <cell r="BL31">
            <v>0.2</v>
          </cell>
        </row>
        <row r="32">
          <cell r="A32" t="str">
            <v>Total</v>
          </cell>
          <cell r="Y32">
            <v>0.99999999999999989</v>
          </cell>
          <cell r="Z32">
            <v>1</v>
          </cell>
          <cell r="AA32">
            <v>1</v>
          </cell>
          <cell r="AB32">
            <v>1</v>
          </cell>
          <cell r="AC32">
            <v>1</v>
          </cell>
          <cell r="AD32">
            <v>1</v>
          </cell>
          <cell r="AE32">
            <v>1</v>
          </cell>
          <cell r="AF32">
            <v>1.0000000000000002</v>
          </cell>
          <cell r="AG32">
            <v>1.0000000000000004</v>
          </cell>
          <cell r="AH32">
            <v>1</v>
          </cell>
          <cell r="AI32">
            <v>1.0000000000000002</v>
          </cell>
          <cell r="AJ32">
            <v>1</v>
          </cell>
          <cell r="AK32">
            <v>1.0000000000000002</v>
          </cell>
          <cell r="AL32">
            <v>1</v>
          </cell>
          <cell r="AM32">
            <v>1.0000000000000002</v>
          </cell>
          <cell r="AN32">
            <v>1.0000000000000002</v>
          </cell>
          <cell r="AO32">
            <v>1</v>
          </cell>
          <cell r="AP32">
            <v>1.0000000000000002</v>
          </cell>
          <cell r="AQ32">
            <v>1</v>
          </cell>
          <cell r="AR32">
            <v>1</v>
          </cell>
          <cell r="AS32">
            <v>1</v>
          </cell>
          <cell r="AT32">
            <v>1</v>
          </cell>
          <cell r="AU32">
            <v>1.0000000000000002</v>
          </cell>
          <cell r="AV32">
            <v>1</v>
          </cell>
          <cell r="AW32">
            <v>0.99999999999999978</v>
          </cell>
          <cell r="AX32">
            <v>1</v>
          </cell>
          <cell r="AY32">
            <v>1</v>
          </cell>
          <cell r="AZ32">
            <v>1</v>
          </cell>
          <cell r="BA32">
            <v>1</v>
          </cell>
          <cell r="BB32">
            <v>0.99999999999999989</v>
          </cell>
          <cell r="BC32">
            <v>1</v>
          </cell>
          <cell r="BD32">
            <v>1</v>
          </cell>
          <cell r="BE32">
            <v>1</v>
          </cell>
          <cell r="BF32">
            <v>1</v>
          </cell>
          <cell r="BG32">
            <v>1</v>
          </cell>
          <cell r="BH32">
            <v>1</v>
          </cell>
          <cell r="BI32">
            <v>1</v>
          </cell>
          <cell r="BJ32" t="e">
            <v>#DIV/0!</v>
          </cell>
          <cell r="BK32" t="e">
            <v>#DIV/0!</v>
          </cell>
          <cell r="BL32">
            <v>1</v>
          </cell>
        </row>
        <row r="34">
          <cell r="A34" t="str">
            <v>Shipments by Region (mil)</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row>
        <row r="35">
          <cell r="A35" t="str">
            <v>N America</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row>
        <row r="36">
          <cell r="A36" t="str">
            <v>W Europe</v>
          </cell>
          <cell r="Y36">
            <v>1.9</v>
          </cell>
          <cell r="Z36">
            <v>2.1</v>
          </cell>
          <cell r="AA36">
            <v>2.5</v>
          </cell>
          <cell r="AB36">
            <v>2.8</v>
          </cell>
          <cell r="AC36">
            <v>9.3000000000000007</v>
          </cell>
          <cell r="AD36">
            <v>2</v>
          </cell>
          <cell r="AE36">
            <v>2.4</v>
          </cell>
          <cell r="AF36">
            <v>2.6</v>
          </cell>
          <cell r="AG36">
            <v>3.1232558139534898</v>
          </cell>
          <cell r="AH36">
            <v>10.12325581395349</v>
          </cell>
          <cell r="AI36">
            <v>2.5</v>
          </cell>
          <cell r="AJ36">
            <v>2.7</v>
          </cell>
          <cell r="AK36">
            <v>2.6</v>
          </cell>
          <cell r="AL36">
            <v>3</v>
          </cell>
          <cell r="AM36">
            <v>10.8</v>
          </cell>
          <cell r="AN36">
            <v>1.6</v>
          </cell>
          <cell r="AO36">
            <v>1</v>
          </cell>
          <cell r="AP36">
            <v>1.3</v>
          </cell>
          <cell r="AQ36">
            <v>1.7</v>
          </cell>
          <cell r="AR36">
            <v>5.6000000000000005</v>
          </cell>
          <cell r="AS36">
            <v>1.1000000000000001</v>
          </cell>
          <cell r="AT36">
            <v>0.9</v>
          </cell>
          <cell r="AU36">
            <v>0.6</v>
          </cell>
          <cell r="AV36">
            <v>0.5</v>
          </cell>
          <cell r="AW36">
            <v>3.1</v>
          </cell>
          <cell r="AX36">
            <v>0.5</v>
          </cell>
          <cell r="AY36">
            <v>0.5</v>
          </cell>
          <cell r="AZ36">
            <v>0.6</v>
          </cell>
          <cell r="BA36">
            <v>0.28999999999999998</v>
          </cell>
          <cell r="BB36">
            <v>1.8900000000000001</v>
          </cell>
          <cell r="BC36">
            <v>0.2</v>
          </cell>
          <cell r="BD36">
            <v>0.35</v>
          </cell>
          <cell r="BE36">
            <v>0.2</v>
          </cell>
          <cell r="BF36">
            <v>0.1</v>
          </cell>
          <cell r="BG36">
            <v>0.85</v>
          </cell>
          <cell r="BH36">
            <v>0.1</v>
          </cell>
          <cell r="BI36">
            <v>0.05</v>
          </cell>
          <cell r="BJ36">
            <v>0</v>
          </cell>
          <cell r="BK36">
            <v>0</v>
          </cell>
          <cell r="BL36">
            <v>0.15000000000000002</v>
          </cell>
        </row>
        <row r="37">
          <cell r="A37" t="str">
            <v>APAC</v>
          </cell>
          <cell r="Y37">
            <v>0.39999999999999991</v>
          </cell>
          <cell r="Z37">
            <v>0.3</v>
          </cell>
          <cell r="AA37">
            <v>0.4</v>
          </cell>
          <cell r="AB37">
            <v>0.4</v>
          </cell>
          <cell r="AC37">
            <v>1.5</v>
          </cell>
          <cell r="AD37">
            <v>0.3</v>
          </cell>
          <cell r="AE37">
            <v>0.4</v>
          </cell>
          <cell r="AF37">
            <v>0.4</v>
          </cell>
          <cell r="AG37">
            <v>0.415116279069767</v>
          </cell>
          <cell r="AH37">
            <v>1.5151162790697672</v>
          </cell>
          <cell r="AI37">
            <v>0.3</v>
          </cell>
          <cell r="AJ37">
            <v>0.3</v>
          </cell>
          <cell r="AK37">
            <v>0.4</v>
          </cell>
          <cell r="AL37">
            <v>0.5</v>
          </cell>
          <cell r="AM37">
            <v>1.5</v>
          </cell>
          <cell r="AN37">
            <v>0.3</v>
          </cell>
          <cell r="AO37">
            <v>0.1</v>
          </cell>
          <cell r="AP37">
            <v>0.4</v>
          </cell>
          <cell r="AQ37">
            <v>0.5</v>
          </cell>
          <cell r="AR37">
            <v>1.3</v>
          </cell>
          <cell r="AS37">
            <v>0.4</v>
          </cell>
          <cell r="AT37">
            <v>0.5</v>
          </cell>
          <cell r="AU37">
            <v>0.4</v>
          </cell>
          <cell r="AV37">
            <v>0.25</v>
          </cell>
          <cell r="AW37">
            <v>1.55</v>
          </cell>
          <cell r="AX37">
            <v>0.25</v>
          </cell>
          <cell r="AY37">
            <v>0.04</v>
          </cell>
          <cell r="AZ37">
            <v>0.05</v>
          </cell>
          <cell r="BA37">
            <v>0.01</v>
          </cell>
          <cell r="BB37">
            <v>0.35</v>
          </cell>
          <cell r="BC37">
            <v>0</v>
          </cell>
          <cell r="BD37">
            <v>0</v>
          </cell>
          <cell r="BE37">
            <v>0</v>
          </cell>
          <cell r="BF37">
            <v>0</v>
          </cell>
          <cell r="BG37">
            <v>0</v>
          </cell>
          <cell r="BH37">
            <v>0</v>
          </cell>
          <cell r="BI37">
            <v>0</v>
          </cell>
          <cell r="BJ37">
            <v>0</v>
          </cell>
          <cell r="BK37">
            <v>0</v>
          </cell>
          <cell r="BL37">
            <v>0</v>
          </cell>
        </row>
        <row r="38">
          <cell r="A38" t="str">
            <v>CALA</v>
          </cell>
          <cell r="Y38">
            <v>0.29999999999999993</v>
          </cell>
          <cell r="Z38">
            <v>0.3</v>
          </cell>
          <cell r="AA38">
            <v>0.4</v>
          </cell>
          <cell r="AB38">
            <v>0.5</v>
          </cell>
          <cell r="AC38">
            <v>1.5</v>
          </cell>
          <cell r="AD38">
            <v>0.4</v>
          </cell>
          <cell r="AE38">
            <v>0.6</v>
          </cell>
          <cell r="AF38">
            <v>0.4</v>
          </cell>
          <cell r="AG38">
            <v>0.46511627906976749</v>
          </cell>
          <cell r="AH38">
            <v>1.8651162790697673</v>
          </cell>
          <cell r="AI38">
            <v>0.7</v>
          </cell>
          <cell r="AJ38">
            <v>0.9</v>
          </cell>
          <cell r="AK38">
            <v>0.8</v>
          </cell>
          <cell r="AL38">
            <v>0.9</v>
          </cell>
          <cell r="AM38">
            <v>3.3</v>
          </cell>
          <cell r="AN38">
            <v>0.5</v>
          </cell>
          <cell r="AO38">
            <v>0.2</v>
          </cell>
          <cell r="AP38">
            <v>0.4</v>
          </cell>
          <cell r="AQ38">
            <v>0.5</v>
          </cell>
          <cell r="AR38">
            <v>1.6</v>
          </cell>
          <cell r="AS38">
            <v>0.2</v>
          </cell>
          <cell r="AT38">
            <v>0.2</v>
          </cell>
          <cell r="AU38">
            <v>0.2</v>
          </cell>
          <cell r="AV38">
            <v>0.05</v>
          </cell>
          <cell r="AW38">
            <v>0.65000000000000013</v>
          </cell>
          <cell r="AX38">
            <v>0.05</v>
          </cell>
          <cell r="AY38">
            <v>0.02</v>
          </cell>
          <cell r="AZ38">
            <v>0.01</v>
          </cell>
          <cell r="BA38">
            <v>0</v>
          </cell>
          <cell r="BB38">
            <v>0.08</v>
          </cell>
          <cell r="BC38">
            <v>0</v>
          </cell>
          <cell r="BD38">
            <v>0</v>
          </cell>
          <cell r="BE38">
            <v>0</v>
          </cell>
          <cell r="BF38">
            <v>0</v>
          </cell>
          <cell r="BG38">
            <v>0</v>
          </cell>
          <cell r="BH38">
            <v>0</v>
          </cell>
          <cell r="BI38">
            <v>0</v>
          </cell>
          <cell r="BJ38">
            <v>0</v>
          </cell>
          <cell r="BK38">
            <v>0</v>
          </cell>
          <cell r="BL38">
            <v>0</v>
          </cell>
        </row>
        <row r="39">
          <cell r="A39" t="str">
            <v>C/E Europe</v>
          </cell>
          <cell r="Y39">
            <v>0.60000000000000009</v>
          </cell>
          <cell r="Z39">
            <v>0.2</v>
          </cell>
          <cell r="AA39">
            <v>0.5</v>
          </cell>
          <cell r="AB39">
            <v>0.5</v>
          </cell>
          <cell r="AC39">
            <v>1.8</v>
          </cell>
          <cell r="AD39">
            <v>0.4</v>
          </cell>
          <cell r="AE39">
            <v>0.6</v>
          </cell>
          <cell r="AF39">
            <v>0.6</v>
          </cell>
          <cell r="AG39">
            <v>0.69767441860465118</v>
          </cell>
          <cell r="AH39">
            <v>2.2976744186046512</v>
          </cell>
          <cell r="AI39">
            <v>0.4</v>
          </cell>
          <cell r="AJ39">
            <v>0.5</v>
          </cell>
          <cell r="AK39">
            <v>0.5</v>
          </cell>
          <cell r="AL39">
            <v>0.5</v>
          </cell>
          <cell r="AM39">
            <v>1.9</v>
          </cell>
          <cell r="AN39">
            <v>0.3</v>
          </cell>
          <cell r="AO39">
            <v>0.1</v>
          </cell>
          <cell r="AP39">
            <v>0.3</v>
          </cell>
          <cell r="AQ39">
            <v>0.4</v>
          </cell>
          <cell r="AR39">
            <v>1.1000000000000001</v>
          </cell>
          <cell r="AS39">
            <v>0.2</v>
          </cell>
          <cell r="AT39">
            <v>0.1</v>
          </cell>
          <cell r="AU39">
            <v>0.1</v>
          </cell>
          <cell r="AV39">
            <v>0.1</v>
          </cell>
          <cell r="AW39">
            <v>0.5</v>
          </cell>
          <cell r="AX39">
            <v>0.1</v>
          </cell>
          <cell r="AY39">
            <v>0.06</v>
          </cell>
          <cell r="AZ39">
            <v>0.04</v>
          </cell>
          <cell r="BA39">
            <v>0.05</v>
          </cell>
          <cell r="BB39">
            <v>0.25</v>
          </cell>
          <cell r="BC39">
            <v>0</v>
          </cell>
          <cell r="BD39">
            <v>0.1</v>
          </cell>
          <cell r="BE39">
            <v>0.1</v>
          </cell>
          <cell r="BF39">
            <v>0.05</v>
          </cell>
          <cell r="BG39">
            <v>0.25</v>
          </cell>
          <cell r="BH39">
            <v>0.05</v>
          </cell>
          <cell r="BI39">
            <v>0</v>
          </cell>
          <cell r="BJ39">
            <v>0</v>
          </cell>
          <cell r="BK39">
            <v>0</v>
          </cell>
          <cell r="BL39">
            <v>0.05</v>
          </cell>
        </row>
        <row r="40">
          <cell r="A40" t="str">
            <v>ROW</v>
          </cell>
          <cell r="Y40">
            <v>0</v>
          </cell>
          <cell r="Z40">
            <v>0.2</v>
          </cell>
          <cell r="AA40">
            <v>0.3</v>
          </cell>
          <cell r="AB40">
            <v>0.3</v>
          </cell>
          <cell r="AC40">
            <v>0.8</v>
          </cell>
          <cell r="AD40">
            <v>0.2</v>
          </cell>
          <cell r="AE40">
            <v>0.2</v>
          </cell>
          <cell r="AF40">
            <v>0.3</v>
          </cell>
          <cell r="AG40">
            <v>0.29883720930232599</v>
          </cell>
          <cell r="AH40">
            <v>0.99883720930232589</v>
          </cell>
          <cell r="AI40">
            <v>0.2</v>
          </cell>
          <cell r="AJ40">
            <v>0.3</v>
          </cell>
          <cell r="AK40">
            <v>0.2</v>
          </cell>
          <cell r="AL40">
            <v>0.2</v>
          </cell>
          <cell r="AM40">
            <v>0.9</v>
          </cell>
          <cell r="AN40">
            <v>0.1</v>
          </cell>
          <cell r="AO40">
            <v>0.2</v>
          </cell>
          <cell r="AP40">
            <v>0.30000000000000049</v>
          </cell>
          <cell r="AQ40">
            <v>0.4</v>
          </cell>
          <cell r="AR40">
            <v>1.0000000000000004</v>
          </cell>
          <cell r="AS40">
            <v>0.2</v>
          </cell>
          <cell r="AT40">
            <v>0.1</v>
          </cell>
          <cell r="AU40">
            <v>0.1</v>
          </cell>
          <cell r="AV40">
            <v>0.1</v>
          </cell>
          <cell r="AW40">
            <v>0.5</v>
          </cell>
          <cell r="AX40">
            <v>0.1</v>
          </cell>
          <cell r="AY40">
            <v>0</v>
          </cell>
          <cell r="AZ40">
            <v>0</v>
          </cell>
          <cell r="BA40">
            <v>0</v>
          </cell>
          <cell r="BB40">
            <v>0.1</v>
          </cell>
          <cell r="BC40">
            <v>0</v>
          </cell>
          <cell r="BD40">
            <v>0.1</v>
          </cell>
          <cell r="BE40">
            <v>0.1</v>
          </cell>
          <cell r="BF40">
            <v>0.05</v>
          </cell>
          <cell r="BG40">
            <v>0.25</v>
          </cell>
          <cell r="BH40">
            <v>0.05</v>
          </cell>
          <cell r="BI40">
            <v>0</v>
          </cell>
          <cell r="BJ40">
            <v>0</v>
          </cell>
          <cell r="BK40">
            <v>0</v>
          </cell>
          <cell r="BL40">
            <v>0.05</v>
          </cell>
        </row>
        <row r="41">
          <cell r="Y41">
            <v>3.2</v>
          </cell>
          <cell r="Z41">
            <v>3.1</v>
          </cell>
          <cell r="AA41">
            <v>4.0999999999999996</v>
          </cell>
          <cell r="AB41">
            <v>4.5</v>
          </cell>
          <cell r="AC41">
            <v>14.9</v>
          </cell>
          <cell r="AD41">
            <v>3.3</v>
          </cell>
          <cell r="AE41">
            <v>4.2</v>
          </cell>
          <cell r="AF41">
            <v>4.3</v>
          </cell>
          <cell r="AG41">
            <v>5</v>
          </cell>
          <cell r="AH41">
            <v>16.8</v>
          </cell>
          <cell r="AI41">
            <v>4.0999999999999996</v>
          </cell>
          <cell r="AJ41">
            <v>4.7</v>
          </cell>
          <cell r="AK41">
            <v>4.5</v>
          </cell>
          <cell r="AL41">
            <v>5.0999999999999996</v>
          </cell>
          <cell r="AM41">
            <v>18.399999999999999</v>
          </cell>
          <cell r="AN41">
            <v>2.8</v>
          </cell>
          <cell r="AO41">
            <v>1.6</v>
          </cell>
          <cell r="AP41">
            <v>2.7</v>
          </cell>
          <cell r="AQ41">
            <v>3.5</v>
          </cell>
          <cell r="AR41">
            <v>10.600000000000001</v>
          </cell>
          <cell r="AS41">
            <v>2.1</v>
          </cell>
          <cell r="AT41">
            <v>1.8</v>
          </cell>
          <cell r="AU41">
            <v>1.4</v>
          </cell>
          <cell r="AV41">
            <v>1</v>
          </cell>
          <cell r="AW41">
            <v>6.3000000000000007</v>
          </cell>
          <cell r="AX41">
            <v>1</v>
          </cell>
          <cell r="AY41">
            <v>0.62000000000000011</v>
          </cell>
          <cell r="AZ41">
            <v>0.70000000000000007</v>
          </cell>
          <cell r="BA41">
            <v>0.35</v>
          </cell>
          <cell r="BB41">
            <v>2.6700000000000004</v>
          </cell>
          <cell r="BC41">
            <v>0.2</v>
          </cell>
          <cell r="BD41">
            <v>0.54999999999999993</v>
          </cell>
          <cell r="BE41">
            <v>0.4</v>
          </cell>
          <cell r="BF41">
            <v>0.2</v>
          </cell>
          <cell r="BG41">
            <v>1.3499999999999999</v>
          </cell>
          <cell r="BH41">
            <v>0.2</v>
          </cell>
          <cell r="BI41">
            <v>0.05</v>
          </cell>
          <cell r="BJ41">
            <v>0</v>
          </cell>
          <cell r="BK41">
            <v>0</v>
          </cell>
          <cell r="BL41">
            <v>0.25</v>
          </cell>
        </row>
        <row r="42">
          <cell r="BC42" t="b">
            <v>1</v>
          </cell>
          <cell r="BD42" t="b">
            <v>1</v>
          </cell>
          <cell r="BE42" t="b">
            <v>1</v>
          </cell>
          <cell r="BF42" t="b">
            <v>1</v>
          </cell>
          <cell r="BG42" t="b">
            <v>1</v>
          </cell>
          <cell r="BH42" t="b">
            <v>1</v>
          </cell>
          <cell r="BI42" t="b">
            <v>1</v>
          </cell>
          <cell r="BJ42" t="b">
            <v>1</v>
          </cell>
          <cell r="BK42" t="b">
            <v>1</v>
          </cell>
          <cell r="BL42" t="b">
            <v>1</v>
          </cell>
        </row>
        <row r="43">
          <cell r="A43" t="str">
            <v>NA (mln)</v>
          </cell>
        </row>
        <row r="44">
          <cell r="A44" t="str">
            <v>GSM</v>
          </cell>
        </row>
        <row r="45">
          <cell r="A45" t="str">
            <v>UMTS</v>
          </cell>
        </row>
        <row r="46">
          <cell r="A46" t="str">
            <v>CDMA</v>
          </cell>
        </row>
        <row r="47">
          <cell r="A47" t="str">
            <v>Others</v>
          </cell>
        </row>
        <row r="49">
          <cell r="A49" t="str">
            <v>NA  (%)</v>
          </cell>
        </row>
        <row r="50">
          <cell r="A50" t="str">
            <v>GSM</v>
          </cell>
        </row>
        <row r="51">
          <cell r="A51" t="str">
            <v>UMTS</v>
          </cell>
        </row>
        <row r="52">
          <cell r="A52" t="str">
            <v>CDMA</v>
          </cell>
        </row>
        <row r="53">
          <cell r="A53" t="str">
            <v>Others</v>
          </cell>
        </row>
        <row r="55">
          <cell r="A55" t="str">
            <v>WE (mln)</v>
          </cell>
        </row>
        <row r="56">
          <cell r="A56" t="str">
            <v>GSM</v>
          </cell>
          <cell r="AC56">
            <v>9.3000000000000007</v>
          </cell>
          <cell r="AH56">
            <v>10.12325581395349</v>
          </cell>
          <cell r="AM56">
            <v>10.700000000000001</v>
          </cell>
          <cell r="AR56">
            <v>4.6000000000000014</v>
          </cell>
          <cell r="AW56">
            <v>2.0000000000000009</v>
          </cell>
          <cell r="BB56">
            <v>1.8225000000000002</v>
          </cell>
          <cell r="BC56">
            <v>0.2</v>
          </cell>
          <cell r="BD56">
            <v>0.15</v>
          </cell>
          <cell r="BE56">
            <v>0.1</v>
          </cell>
          <cell r="BF56">
            <v>0.05</v>
          </cell>
          <cell r="BG56">
            <v>2.3225000000000002</v>
          </cell>
          <cell r="BH56">
            <v>0.05</v>
          </cell>
          <cell r="BI56">
            <v>0</v>
          </cell>
          <cell r="BJ56">
            <v>0</v>
          </cell>
        </row>
        <row r="57">
          <cell r="A57" t="str">
            <v>UMTS</v>
          </cell>
          <cell r="AM57">
            <v>0.1</v>
          </cell>
          <cell r="AR57">
            <v>1</v>
          </cell>
          <cell r="AW57">
            <v>1.1000000000000001</v>
          </cell>
          <cell r="BB57">
            <v>6.7500000000000004E-2</v>
          </cell>
          <cell r="BC57">
            <v>0</v>
          </cell>
          <cell r="BD57">
            <v>0.2</v>
          </cell>
          <cell r="BE57">
            <v>0.1</v>
          </cell>
          <cell r="BF57">
            <v>0.05</v>
          </cell>
          <cell r="BG57">
            <v>0.41750000000000004</v>
          </cell>
          <cell r="BH57">
            <v>0.05</v>
          </cell>
          <cell r="BI57">
            <v>0.05</v>
          </cell>
          <cell r="BJ57">
            <v>0</v>
          </cell>
        </row>
        <row r="58">
          <cell r="A58" t="str">
            <v>CDMA</v>
          </cell>
          <cell r="BD58">
            <v>0</v>
          </cell>
          <cell r="BE58">
            <v>0</v>
          </cell>
          <cell r="BG58">
            <v>0</v>
          </cell>
        </row>
        <row r="59">
          <cell r="A59" t="str">
            <v>Others</v>
          </cell>
          <cell r="BG59">
            <v>0</v>
          </cell>
        </row>
        <row r="60">
          <cell r="AC60">
            <v>9.3000000000000007</v>
          </cell>
          <cell r="AH60">
            <v>10.12325581395349</v>
          </cell>
          <cell r="AM60">
            <v>10.8</v>
          </cell>
          <cell r="AR60">
            <v>5.6000000000000005</v>
          </cell>
          <cell r="AW60">
            <v>3.1</v>
          </cell>
          <cell r="BB60">
            <v>1.8900000000000001</v>
          </cell>
          <cell r="BC60">
            <v>0.2</v>
          </cell>
          <cell r="BD60">
            <v>0.35</v>
          </cell>
          <cell r="BE60">
            <v>0.2</v>
          </cell>
          <cell r="BF60">
            <v>0.1</v>
          </cell>
          <cell r="BG60">
            <v>2.7400000000000007</v>
          </cell>
          <cell r="BH60">
            <v>0.1</v>
          </cell>
          <cell r="BI60">
            <v>0.05</v>
          </cell>
          <cell r="BJ60">
            <v>0</v>
          </cell>
        </row>
        <row r="61">
          <cell r="A61" t="str">
            <v>WE (%)</v>
          </cell>
        </row>
        <row r="62">
          <cell r="A62" t="str">
            <v>GSM</v>
          </cell>
          <cell r="AC62">
            <v>1</v>
          </cell>
          <cell r="AH62">
            <v>1</v>
          </cell>
          <cell r="AM62">
            <v>0.99074074074074081</v>
          </cell>
          <cell r="AR62">
            <v>0.82142857142857162</v>
          </cell>
          <cell r="AW62">
            <v>0.64516129032258096</v>
          </cell>
          <cell r="BB62">
            <v>0.9642857142857143</v>
          </cell>
          <cell r="BC62">
            <v>1</v>
          </cell>
          <cell r="BD62">
            <v>0.4285714285714286</v>
          </cell>
          <cell r="BE62">
            <v>0.5</v>
          </cell>
          <cell r="BF62">
            <v>0.5</v>
          </cell>
          <cell r="BG62">
            <v>0.84762773722627727</v>
          </cell>
          <cell r="BH62">
            <v>0.5</v>
          </cell>
          <cell r="BI62">
            <v>0</v>
          </cell>
          <cell r="BJ62" t="e">
            <v>#DIV/0!</v>
          </cell>
        </row>
        <row r="63">
          <cell r="A63" t="str">
            <v>UMTS</v>
          </cell>
          <cell r="AC63">
            <v>0</v>
          </cell>
          <cell r="AH63">
            <v>0</v>
          </cell>
          <cell r="AM63">
            <v>9.2592592592592587E-3</v>
          </cell>
          <cell r="AR63">
            <v>0.17857142857142855</v>
          </cell>
          <cell r="AW63">
            <v>0.35483870967741937</v>
          </cell>
          <cell r="BB63">
            <v>3.5714285714285712E-2</v>
          </cell>
          <cell r="BC63">
            <v>0</v>
          </cell>
          <cell r="BD63">
            <v>0.57142857142857151</v>
          </cell>
          <cell r="BE63">
            <v>0.5</v>
          </cell>
          <cell r="BF63">
            <v>0.5</v>
          </cell>
          <cell r="BG63">
            <v>0.15237226277372259</v>
          </cell>
          <cell r="BH63">
            <v>0.5</v>
          </cell>
          <cell r="BI63">
            <v>1</v>
          </cell>
          <cell r="BJ63" t="e">
            <v>#DIV/0!</v>
          </cell>
        </row>
        <row r="64">
          <cell r="A64" t="str">
            <v>CDMA</v>
          </cell>
          <cell r="AC64">
            <v>0</v>
          </cell>
          <cell r="AH64">
            <v>0</v>
          </cell>
          <cell r="AM64">
            <v>0</v>
          </cell>
        </row>
        <row r="65">
          <cell r="A65" t="str">
            <v>Others</v>
          </cell>
          <cell r="AC65">
            <v>0</v>
          </cell>
          <cell r="AH65">
            <v>0</v>
          </cell>
          <cell r="AM65">
            <v>0</v>
          </cell>
        </row>
        <row r="66">
          <cell r="AC66">
            <v>1</v>
          </cell>
          <cell r="AH66">
            <v>1</v>
          </cell>
          <cell r="AM66">
            <v>1</v>
          </cell>
          <cell r="AR66">
            <v>1.0000000000000002</v>
          </cell>
          <cell r="AW66">
            <v>1</v>
          </cell>
          <cell r="BB66">
            <v>1</v>
          </cell>
          <cell r="BC66">
            <v>1</v>
          </cell>
          <cell r="BD66">
            <v>1</v>
          </cell>
          <cell r="BE66">
            <v>1</v>
          </cell>
          <cell r="BF66">
            <v>1</v>
          </cell>
          <cell r="BG66">
            <v>0.99999999999999989</v>
          </cell>
          <cell r="BH66">
            <v>1</v>
          </cell>
          <cell r="BI66">
            <v>1</v>
          </cell>
          <cell r="BJ66" t="e">
            <v>#DIV/0!</v>
          </cell>
        </row>
        <row r="67">
          <cell r="A67" t="str">
            <v>APAC (mln)</v>
          </cell>
        </row>
        <row r="68">
          <cell r="A68" t="str">
            <v>GSM</v>
          </cell>
          <cell r="AC68">
            <v>1.5</v>
          </cell>
          <cell r="AH68">
            <v>1.5151162790697672</v>
          </cell>
          <cell r="AM68">
            <v>1.5</v>
          </cell>
          <cell r="AR68">
            <v>1.3</v>
          </cell>
          <cell r="AW68">
            <v>1.55</v>
          </cell>
          <cell r="BB68">
            <v>0.35</v>
          </cell>
          <cell r="BC68">
            <v>0</v>
          </cell>
        </row>
        <row r="69">
          <cell r="A69" t="str">
            <v>UMTS</v>
          </cell>
          <cell r="AR69">
            <v>0</v>
          </cell>
          <cell r="AW69">
            <v>0</v>
          </cell>
          <cell r="BB69">
            <v>0</v>
          </cell>
          <cell r="BC69">
            <v>0</v>
          </cell>
        </row>
        <row r="70">
          <cell r="A70" t="str">
            <v>CDMA</v>
          </cell>
        </row>
        <row r="71">
          <cell r="A71" t="str">
            <v>Others</v>
          </cell>
        </row>
        <row r="72">
          <cell r="AC72">
            <v>1.5</v>
          </cell>
          <cell r="AH72">
            <v>1.5151162790697672</v>
          </cell>
          <cell r="AM72">
            <v>1.5</v>
          </cell>
          <cell r="AR72">
            <v>1.3</v>
          </cell>
          <cell r="AW72">
            <v>1.55</v>
          </cell>
          <cell r="BB72">
            <v>0.35</v>
          </cell>
          <cell r="BC72">
            <v>0</v>
          </cell>
        </row>
        <row r="73">
          <cell r="A73" t="str">
            <v>APAC  (%)</v>
          </cell>
        </row>
        <row r="74">
          <cell r="A74" t="str">
            <v>GSM</v>
          </cell>
          <cell r="AC74">
            <v>1</v>
          </cell>
          <cell r="AH74">
            <v>1</v>
          </cell>
          <cell r="AM74">
            <v>1</v>
          </cell>
          <cell r="AR74">
            <v>1</v>
          </cell>
          <cell r="AW74">
            <v>1</v>
          </cell>
          <cell r="BB74">
            <v>1</v>
          </cell>
          <cell r="BC74">
            <v>0.25</v>
          </cell>
        </row>
        <row r="75">
          <cell r="A75" t="str">
            <v>UMTS</v>
          </cell>
          <cell r="AC75">
            <v>0</v>
          </cell>
          <cell r="AH75">
            <v>0</v>
          </cell>
          <cell r="AM75">
            <v>0</v>
          </cell>
          <cell r="AR75">
            <v>0</v>
          </cell>
          <cell r="AW75">
            <v>0</v>
          </cell>
          <cell r="BB75">
            <v>0</v>
          </cell>
          <cell r="BC75">
            <v>0.75</v>
          </cell>
        </row>
        <row r="76">
          <cell r="A76" t="str">
            <v>CDMA</v>
          </cell>
          <cell r="AC76">
            <v>0</v>
          </cell>
          <cell r="AH76">
            <v>0</v>
          </cell>
          <cell r="AM76">
            <v>0</v>
          </cell>
        </row>
        <row r="77">
          <cell r="A77" t="str">
            <v>Others</v>
          </cell>
          <cell r="AC77">
            <v>0</v>
          </cell>
          <cell r="AH77">
            <v>0</v>
          </cell>
          <cell r="AM77">
            <v>0</v>
          </cell>
        </row>
        <row r="78">
          <cell r="AC78">
            <v>1</v>
          </cell>
          <cell r="AH78">
            <v>1</v>
          </cell>
          <cell r="AM78">
            <v>1</v>
          </cell>
          <cell r="AR78">
            <v>1</v>
          </cell>
          <cell r="AW78">
            <v>1</v>
          </cell>
          <cell r="BB78">
            <v>1</v>
          </cell>
          <cell r="BC78">
            <v>1</v>
          </cell>
        </row>
        <row r="79">
          <cell r="A79" t="str">
            <v>CALA</v>
          </cell>
        </row>
        <row r="80">
          <cell r="A80" t="str">
            <v>GSM</v>
          </cell>
          <cell r="AC80">
            <v>1.5</v>
          </cell>
          <cell r="AH80">
            <v>1.8651162790697673</v>
          </cell>
          <cell r="AM80">
            <v>3.3</v>
          </cell>
          <cell r="AR80">
            <v>1.6</v>
          </cell>
          <cell r="AW80">
            <v>0.65000000000000013</v>
          </cell>
          <cell r="BB80">
            <v>0.08</v>
          </cell>
          <cell r="BC80">
            <v>0</v>
          </cell>
        </row>
        <row r="81">
          <cell r="A81" t="str">
            <v>UMTS</v>
          </cell>
          <cell r="AR81">
            <v>0</v>
          </cell>
          <cell r="AW81">
            <v>0</v>
          </cell>
          <cell r="BB81">
            <v>0</v>
          </cell>
          <cell r="BC81">
            <v>0</v>
          </cell>
        </row>
        <row r="82">
          <cell r="A82" t="str">
            <v>CDMA</v>
          </cell>
        </row>
        <row r="83">
          <cell r="A83" t="str">
            <v>Others</v>
          </cell>
        </row>
        <row r="84">
          <cell r="AC84">
            <v>1.5</v>
          </cell>
          <cell r="AH84">
            <v>1.8651162790697673</v>
          </cell>
          <cell r="AM84">
            <v>3.3</v>
          </cell>
          <cell r="AR84">
            <v>1.6</v>
          </cell>
          <cell r="AW84">
            <v>0.65000000000000013</v>
          </cell>
          <cell r="BB84">
            <v>0.08</v>
          </cell>
          <cell r="BC84">
            <v>0</v>
          </cell>
        </row>
        <row r="85">
          <cell r="A85" t="str">
            <v>CALA (%)</v>
          </cell>
        </row>
        <row r="86">
          <cell r="A86" t="str">
            <v>GSM</v>
          </cell>
          <cell r="AC86">
            <v>1</v>
          </cell>
          <cell r="AH86">
            <v>1</v>
          </cell>
          <cell r="AM86">
            <v>1</v>
          </cell>
          <cell r="AR86">
            <v>1</v>
          </cell>
          <cell r="AW86">
            <v>1</v>
          </cell>
          <cell r="BB86">
            <v>1</v>
          </cell>
          <cell r="BC86">
            <v>1</v>
          </cell>
        </row>
        <row r="87">
          <cell r="A87" t="str">
            <v>UMTS</v>
          </cell>
          <cell r="AC87">
            <v>0</v>
          </cell>
          <cell r="AH87">
            <v>0</v>
          </cell>
          <cell r="AM87">
            <v>0</v>
          </cell>
          <cell r="AR87">
            <v>0</v>
          </cell>
          <cell r="AW87">
            <v>0</v>
          </cell>
          <cell r="BB87">
            <v>0</v>
          </cell>
          <cell r="BC87">
            <v>0</v>
          </cell>
        </row>
        <row r="88">
          <cell r="A88" t="str">
            <v>CDMA</v>
          </cell>
          <cell r="AC88">
            <v>0</v>
          </cell>
          <cell r="AH88">
            <v>0</v>
          </cell>
          <cell r="AM88">
            <v>0</v>
          </cell>
        </row>
        <row r="89">
          <cell r="A89" t="str">
            <v>Others</v>
          </cell>
          <cell r="AC89">
            <v>0</v>
          </cell>
          <cell r="AH89">
            <v>0</v>
          </cell>
          <cell r="AM89">
            <v>0</v>
          </cell>
        </row>
        <row r="90">
          <cell r="AC90">
            <v>1</v>
          </cell>
          <cell r="AH90">
            <v>1</v>
          </cell>
          <cell r="AM90">
            <v>1</v>
          </cell>
          <cell r="AR90">
            <v>1</v>
          </cell>
          <cell r="AW90">
            <v>1</v>
          </cell>
          <cell r="BB90">
            <v>1</v>
          </cell>
          <cell r="BC90">
            <v>1</v>
          </cell>
        </row>
        <row r="91">
          <cell r="A91" t="str">
            <v>CEE (mln)</v>
          </cell>
        </row>
        <row r="92">
          <cell r="A92" t="str">
            <v>GSM</v>
          </cell>
          <cell r="AC92">
            <v>1.8</v>
          </cell>
          <cell r="AH92">
            <v>2.2976744186046512</v>
          </cell>
          <cell r="AM92">
            <v>1.9</v>
          </cell>
          <cell r="AR92">
            <v>1.1000000000000001</v>
          </cell>
          <cell r="AW92">
            <v>0.5</v>
          </cell>
          <cell r="BB92">
            <v>0.1875</v>
          </cell>
          <cell r="BC92">
            <v>0</v>
          </cell>
          <cell r="BD92">
            <v>0.05</v>
          </cell>
          <cell r="BE92">
            <v>0.05</v>
          </cell>
          <cell r="BF92">
            <v>0.02</v>
          </cell>
          <cell r="BG92">
            <v>0.3075</v>
          </cell>
          <cell r="BH92">
            <v>0.02</v>
          </cell>
          <cell r="BI92">
            <v>0</v>
          </cell>
          <cell r="BJ92">
            <v>0</v>
          </cell>
        </row>
        <row r="93">
          <cell r="A93" t="str">
            <v>UMTS</v>
          </cell>
          <cell r="AR93">
            <v>0</v>
          </cell>
          <cell r="AW93">
            <v>0</v>
          </cell>
          <cell r="BB93">
            <v>6.25E-2</v>
          </cell>
          <cell r="BC93">
            <v>0</v>
          </cell>
          <cell r="BD93">
            <v>0.05</v>
          </cell>
          <cell r="BE93">
            <v>0.05</v>
          </cell>
          <cell r="BF93">
            <v>0.03</v>
          </cell>
          <cell r="BG93">
            <v>0.1925</v>
          </cell>
          <cell r="BH93">
            <v>0.03</v>
          </cell>
          <cell r="BI93">
            <v>0</v>
          </cell>
          <cell r="BJ93">
            <v>0</v>
          </cell>
        </row>
        <row r="94">
          <cell r="A94" t="str">
            <v>CDMA</v>
          </cell>
          <cell r="BF94">
            <v>0</v>
          </cell>
          <cell r="BG94">
            <v>0</v>
          </cell>
          <cell r="BH94">
            <v>0</v>
          </cell>
          <cell r="BI94">
            <v>0</v>
          </cell>
          <cell r="BJ94">
            <v>0</v>
          </cell>
        </row>
        <row r="95">
          <cell r="A95" t="str">
            <v>Others</v>
          </cell>
          <cell r="BF95">
            <v>0</v>
          </cell>
          <cell r="BG95">
            <v>0</v>
          </cell>
          <cell r="BH95">
            <v>0</v>
          </cell>
          <cell r="BI95">
            <v>0</v>
          </cell>
          <cell r="BJ95">
            <v>0</v>
          </cell>
        </row>
        <row r="96">
          <cell r="AC96">
            <v>1.8</v>
          </cell>
          <cell r="AH96">
            <v>2.2976744186046512</v>
          </cell>
          <cell r="AM96">
            <v>1.9</v>
          </cell>
          <cell r="AR96">
            <v>1.1000000000000001</v>
          </cell>
          <cell r="AW96">
            <v>0.5</v>
          </cell>
          <cell r="BB96">
            <v>0.25</v>
          </cell>
          <cell r="BC96">
            <v>0</v>
          </cell>
          <cell r="BD96">
            <v>0.1</v>
          </cell>
          <cell r="BE96">
            <v>0.1</v>
          </cell>
          <cell r="BF96">
            <v>0.05</v>
          </cell>
          <cell r="BG96">
            <v>0.49999999999999994</v>
          </cell>
          <cell r="BH96">
            <v>0.05</v>
          </cell>
          <cell r="BI96">
            <v>0</v>
          </cell>
          <cell r="BJ96">
            <v>0</v>
          </cell>
        </row>
        <row r="97">
          <cell r="A97" t="str">
            <v>CEE  (%)</v>
          </cell>
        </row>
        <row r="98">
          <cell r="A98" t="str">
            <v>GSM</v>
          </cell>
          <cell r="AC98">
            <v>1</v>
          </cell>
          <cell r="AH98">
            <v>1</v>
          </cell>
          <cell r="AM98">
            <v>1</v>
          </cell>
          <cell r="AR98">
            <v>1</v>
          </cell>
          <cell r="AW98">
            <v>1</v>
          </cell>
          <cell r="BB98">
            <v>0.75</v>
          </cell>
          <cell r="BC98">
            <v>0.5625</v>
          </cell>
          <cell r="BD98">
            <v>0.5</v>
          </cell>
          <cell r="BE98">
            <v>0.5</v>
          </cell>
          <cell r="BF98">
            <v>0.39999999999999997</v>
          </cell>
          <cell r="BG98">
            <v>0.6150000000000001</v>
          </cell>
          <cell r="BH98">
            <v>0.39999999999999997</v>
          </cell>
          <cell r="BI98" t="e">
            <v>#DIV/0!</v>
          </cell>
          <cell r="BJ98" t="e">
            <v>#DIV/0!</v>
          </cell>
        </row>
        <row r="99">
          <cell r="A99" t="str">
            <v>UMTS</v>
          </cell>
          <cell r="AC99">
            <v>0</v>
          </cell>
          <cell r="AH99">
            <v>0</v>
          </cell>
          <cell r="AM99">
            <v>0</v>
          </cell>
          <cell r="AR99">
            <v>0</v>
          </cell>
          <cell r="AW99">
            <v>0</v>
          </cell>
          <cell r="BB99">
            <v>0.25</v>
          </cell>
          <cell r="BC99">
            <v>0.4375</v>
          </cell>
          <cell r="BD99">
            <v>0.5</v>
          </cell>
          <cell r="BE99">
            <v>0.5</v>
          </cell>
          <cell r="BF99">
            <v>0.6</v>
          </cell>
          <cell r="BG99">
            <v>0.38500000000000006</v>
          </cell>
          <cell r="BH99">
            <v>0.6</v>
          </cell>
          <cell r="BI99" t="e">
            <v>#DIV/0!</v>
          </cell>
          <cell r="BJ99" t="e">
            <v>#DIV/0!</v>
          </cell>
        </row>
        <row r="100">
          <cell r="A100" t="str">
            <v>CDMA</v>
          </cell>
          <cell r="AC100">
            <v>0</v>
          </cell>
          <cell r="AH100">
            <v>0</v>
          </cell>
          <cell r="AM100">
            <v>0</v>
          </cell>
        </row>
        <row r="101">
          <cell r="A101" t="str">
            <v>Others</v>
          </cell>
          <cell r="AC101">
            <v>0</v>
          </cell>
          <cell r="AH101">
            <v>0</v>
          </cell>
          <cell r="AM101">
            <v>0</v>
          </cell>
        </row>
        <row r="102">
          <cell r="AC102">
            <v>1</v>
          </cell>
          <cell r="AH102">
            <v>1</v>
          </cell>
          <cell r="AM102">
            <v>1</v>
          </cell>
          <cell r="AR102">
            <v>1</v>
          </cell>
          <cell r="AW102">
            <v>1</v>
          </cell>
          <cell r="BB102">
            <v>1</v>
          </cell>
          <cell r="BC102">
            <v>1</v>
          </cell>
          <cell r="BD102">
            <v>1</v>
          </cell>
          <cell r="BE102">
            <v>1</v>
          </cell>
          <cell r="BF102">
            <v>1</v>
          </cell>
          <cell r="BG102">
            <v>1.0000000000000002</v>
          </cell>
          <cell r="BH102">
            <v>1</v>
          </cell>
          <cell r="BI102" t="e">
            <v>#DIV/0!</v>
          </cell>
          <cell r="BJ102" t="e">
            <v>#DIV/0!</v>
          </cell>
        </row>
        <row r="103">
          <cell r="A103" t="str">
            <v>ROW</v>
          </cell>
        </row>
        <row r="104">
          <cell r="A104" t="str">
            <v>GSM</v>
          </cell>
          <cell r="AC104">
            <v>0.8</v>
          </cell>
          <cell r="AH104">
            <v>0.99883720930232589</v>
          </cell>
          <cell r="AM104">
            <v>0.9</v>
          </cell>
          <cell r="AR104">
            <v>1.0000000000000004</v>
          </cell>
          <cell r="AW104">
            <v>0.5</v>
          </cell>
          <cell r="BB104">
            <v>0.1</v>
          </cell>
          <cell r="BC104">
            <v>0</v>
          </cell>
          <cell r="BD104">
            <v>0</v>
          </cell>
          <cell r="BE104">
            <v>0</v>
          </cell>
          <cell r="BF104">
            <v>0.03</v>
          </cell>
          <cell r="BG104">
            <v>0.13</v>
          </cell>
          <cell r="BH104">
            <v>0.03</v>
          </cell>
          <cell r="BI104">
            <v>0</v>
          </cell>
          <cell r="BJ104">
            <v>0</v>
          </cell>
        </row>
        <row r="105">
          <cell r="A105" t="str">
            <v>UMTS</v>
          </cell>
          <cell r="AR105">
            <v>0</v>
          </cell>
          <cell r="AW105">
            <v>0</v>
          </cell>
          <cell r="BB105">
            <v>0</v>
          </cell>
          <cell r="BC105">
            <v>0</v>
          </cell>
          <cell r="BD105">
            <v>0.1</v>
          </cell>
          <cell r="BE105">
            <v>0.1</v>
          </cell>
          <cell r="BF105">
            <v>0.02</v>
          </cell>
          <cell r="BG105">
            <v>0.22</v>
          </cell>
          <cell r="BH105">
            <v>0.02</v>
          </cell>
          <cell r="BI105">
            <v>0</v>
          </cell>
          <cell r="BJ105">
            <v>0</v>
          </cell>
        </row>
        <row r="106">
          <cell r="A106" t="str">
            <v>CDMA</v>
          </cell>
          <cell r="BF106">
            <v>0</v>
          </cell>
          <cell r="BG106">
            <v>0</v>
          </cell>
          <cell r="BH106">
            <v>0</v>
          </cell>
          <cell r="BI106">
            <v>0</v>
          </cell>
          <cell r="BJ106">
            <v>0</v>
          </cell>
        </row>
        <row r="107">
          <cell r="A107" t="str">
            <v>Others</v>
          </cell>
          <cell r="BF107">
            <v>0</v>
          </cell>
          <cell r="BG107">
            <v>0</v>
          </cell>
          <cell r="BH107">
            <v>0</v>
          </cell>
          <cell r="BI107">
            <v>0</v>
          </cell>
          <cell r="BJ107">
            <v>0</v>
          </cell>
        </row>
        <row r="108">
          <cell r="AC108">
            <v>0.8</v>
          </cell>
          <cell r="AH108">
            <v>0.99883720930232589</v>
          </cell>
          <cell r="AM108">
            <v>0.9</v>
          </cell>
          <cell r="AR108">
            <v>1.0000000000000004</v>
          </cell>
          <cell r="AW108">
            <v>0.5</v>
          </cell>
          <cell r="BB108">
            <v>0.1</v>
          </cell>
          <cell r="BC108">
            <v>0</v>
          </cell>
          <cell r="BD108">
            <v>0.1</v>
          </cell>
          <cell r="BE108">
            <v>0.1</v>
          </cell>
          <cell r="BF108">
            <v>0.05</v>
          </cell>
          <cell r="BG108">
            <v>0.35000000000000003</v>
          </cell>
          <cell r="BH108">
            <v>0.05</v>
          </cell>
          <cell r="BI108">
            <v>0</v>
          </cell>
          <cell r="BJ108">
            <v>0</v>
          </cell>
        </row>
        <row r="109">
          <cell r="A109" t="str">
            <v>ROW (%)</v>
          </cell>
        </row>
        <row r="110">
          <cell r="A110" t="str">
            <v>GSM</v>
          </cell>
          <cell r="AC110">
            <v>1</v>
          </cell>
          <cell r="AH110">
            <v>1</v>
          </cell>
          <cell r="AM110">
            <v>1</v>
          </cell>
          <cell r="AR110">
            <v>1</v>
          </cell>
          <cell r="AW110">
            <v>1</v>
          </cell>
          <cell r="BB110">
            <v>1</v>
          </cell>
          <cell r="BC110">
            <v>1</v>
          </cell>
          <cell r="BD110">
            <v>0</v>
          </cell>
          <cell r="BE110">
            <v>0</v>
          </cell>
          <cell r="BF110">
            <v>0.6</v>
          </cell>
          <cell r="BG110">
            <v>0.37142857142857139</v>
          </cell>
          <cell r="BH110">
            <v>0.6</v>
          </cell>
          <cell r="BI110" t="e">
            <v>#DIV/0!</v>
          </cell>
          <cell r="BJ110" t="e">
            <v>#DIV/0!</v>
          </cell>
        </row>
        <row r="111">
          <cell r="A111" t="str">
            <v>UMTS</v>
          </cell>
          <cell r="AC111">
            <v>0</v>
          </cell>
          <cell r="AH111">
            <v>0</v>
          </cell>
          <cell r="AM111">
            <v>0</v>
          </cell>
          <cell r="AR111">
            <v>0</v>
          </cell>
          <cell r="AW111">
            <v>0</v>
          </cell>
          <cell r="BB111">
            <v>0</v>
          </cell>
          <cell r="BC111">
            <v>0</v>
          </cell>
          <cell r="BD111">
            <v>1</v>
          </cell>
          <cell r="BE111">
            <v>1</v>
          </cell>
          <cell r="BF111">
            <v>0.39999999999999997</v>
          </cell>
          <cell r="BG111">
            <v>0.62857142857142856</v>
          </cell>
          <cell r="BH111">
            <v>0.39999999999999997</v>
          </cell>
          <cell r="BI111" t="e">
            <v>#DIV/0!</v>
          </cell>
          <cell r="BJ111" t="e">
            <v>#DIV/0!</v>
          </cell>
        </row>
        <row r="112">
          <cell r="A112" t="str">
            <v>CDMA</v>
          </cell>
          <cell r="AC112">
            <v>0</v>
          </cell>
          <cell r="AH112">
            <v>0</v>
          </cell>
          <cell r="AM112">
            <v>0</v>
          </cell>
        </row>
        <row r="113">
          <cell r="A113" t="str">
            <v>Others</v>
          </cell>
          <cell r="AC113">
            <v>0</v>
          </cell>
          <cell r="AH113">
            <v>0</v>
          </cell>
          <cell r="AM113">
            <v>0</v>
          </cell>
        </row>
        <row r="114">
          <cell r="AC114">
            <v>1</v>
          </cell>
          <cell r="AH114">
            <v>1</v>
          </cell>
          <cell r="AM114">
            <v>1</v>
          </cell>
          <cell r="AR114">
            <v>1</v>
          </cell>
          <cell r="AW114">
            <v>1</v>
          </cell>
          <cell r="BB114">
            <v>1</v>
          </cell>
          <cell r="BC114">
            <v>1</v>
          </cell>
          <cell r="BD114">
            <v>1</v>
          </cell>
          <cell r="BE114">
            <v>1</v>
          </cell>
          <cell r="BF114">
            <v>1</v>
          </cell>
          <cell r="BG114">
            <v>1</v>
          </cell>
          <cell r="BH114">
            <v>1</v>
          </cell>
          <cell r="BI114" t="e">
            <v>#DIV/0!</v>
          </cell>
          <cell r="BJ114" t="e">
            <v>#DIV/0!</v>
          </cell>
        </row>
        <row r="118">
          <cell r="A118" t="str">
            <v>Shipments, millions</v>
          </cell>
        </row>
        <row r="119">
          <cell r="A119" t="str">
            <v>Net Sales (Billion Yen)</v>
          </cell>
        </row>
        <row r="120">
          <cell r="A120" t="str">
            <v>Operating Income(E)</v>
          </cell>
        </row>
        <row r="121">
          <cell r="A121" t="str">
            <v>Operating Margin (Loss)</v>
          </cell>
        </row>
        <row r="122">
          <cell r="A122" t="str">
            <v>Wholesale ASP</v>
          </cell>
        </row>
        <row r="123">
          <cell r="A123" t="str">
            <v>Seasonality</v>
          </cell>
        </row>
        <row r="125">
          <cell r="A125" t="str">
            <v>% Shipments by Technology</v>
          </cell>
        </row>
        <row r="126">
          <cell r="A126" t="str">
            <v>CDMA</v>
          </cell>
        </row>
        <row r="127">
          <cell r="A127" t="str">
            <v>GSM</v>
          </cell>
        </row>
        <row r="128">
          <cell r="A128" t="str">
            <v>WCDMA</v>
          </cell>
        </row>
        <row r="129">
          <cell r="A129" t="str">
            <v>PDC</v>
          </cell>
        </row>
        <row r="130">
          <cell r="A130" t="str">
            <v>Total</v>
          </cell>
        </row>
        <row r="132">
          <cell r="A132" t="str">
            <v>Unit Shipments by Technology</v>
          </cell>
        </row>
        <row r="133">
          <cell r="A133" t="str">
            <v>CDMA</v>
          </cell>
        </row>
        <row r="134">
          <cell r="A134" t="str">
            <v>GSM</v>
          </cell>
        </row>
        <row r="135">
          <cell r="A135" t="str">
            <v>WCDMA</v>
          </cell>
        </row>
        <row r="136">
          <cell r="A136" t="str">
            <v>Others</v>
          </cell>
        </row>
        <row r="137">
          <cell r="A137" t="str">
            <v>Total</v>
          </cell>
        </row>
        <row r="140">
          <cell r="A140" t="str">
            <v>% Shipments by Region</v>
          </cell>
        </row>
        <row r="141">
          <cell r="A141" t="str">
            <v>N America</v>
          </cell>
        </row>
        <row r="142">
          <cell r="A142" t="str">
            <v>W Europe</v>
          </cell>
        </row>
        <row r="143">
          <cell r="A143" t="str">
            <v>APAC</v>
          </cell>
        </row>
        <row r="144">
          <cell r="A144" t="str">
            <v>CALA</v>
          </cell>
        </row>
        <row r="145">
          <cell r="A145" t="str">
            <v>C/E Europe</v>
          </cell>
        </row>
        <row r="146">
          <cell r="A146" t="str">
            <v>ROW</v>
          </cell>
        </row>
        <row r="147">
          <cell r="A147" t="str">
            <v>Total</v>
          </cell>
        </row>
        <row r="149">
          <cell r="A149" t="str">
            <v>Shipments by Region (mil)</v>
          </cell>
        </row>
        <row r="150">
          <cell r="A150" t="str">
            <v>N America</v>
          </cell>
        </row>
        <row r="151">
          <cell r="A151" t="str">
            <v>W Europe</v>
          </cell>
        </row>
        <row r="152">
          <cell r="A152" t="str">
            <v>APAC</v>
          </cell>
        </row>
        <row r="153">
          <cell r="A153" t="str">
            <v>CALA</v>
          </cell>
        </row>
        <row r="154">
          <cell r="A154" t="str">
            <v>C/E Europe</v>
          </cell>
        </row>
        <row r="155">
          <cell r="A155" t="str">
            <v>ROW</v>
          </cell>
        </row>
        <row r="156">
          <cell r="A156" t="str">
            <v>Total</v>
          </cell>
        </row>
        <row r="158">
          <cell r="A158" t="str">
            <v>NA (mln)</v>
          </cell>
        </row>
        <row r="159">
          <cell r="A159" t="str">
            <v>GSM</v>
          </cell>
        </row>
        <row r="160">
          <cell r="A160" t="str">
            <v>UMTS</v>
          </cell>
        </row>
        <row r="161">
          <cell r="A161" t="str">
            <v>CDMA</v>
          </cell>
        </row>
        <row r="162">
          <cell r="A162" t="str">
            <v>Others</v>
          </cell>
        </row>
        <row r="164">
          <cell r="A164" t="str">
            <v>NA  (%)</v>
          </cell>
        </row>
        <row r="165">
          <cell r="A165" t="str">
            <v>GSM</v>
          </cell>
        </row>
        <row r="166">
          <cell r="A166" t="str">
            <v>UMTS</v>
          </cell>
        </row>
        <row r="167">
          <cell r="A167" t="str">
            <v>CDMA</v>
          </cell>
        </row>
        <row r="168">
          <cell r="A168" t="str">
            <v>Others</v>
          </cell>
        </row>
        <row r="170">
          <cell r="A170" t="str">
            <v>WE (mln)</v>
          </cell>
        </row>
        <row r="171">
          <cell r="A171" t="str">
            <v>GSM</v>
          </cell>
        </row>
        <row r="172">
          <cell r="A172" t="str">
            <v>UMTS</v>
          </cell>
        </row>
        <row r="173">
          <cell r="A173" t="str">
            <v>CDMA</v>
          </cell>
        </row>
        <row r="174">
          <cell r="A174" t="str">
            <v>Others</v>
          </cell>
        </row>
        <row r="176">
          <cell r="A176" t="str">
            <v>WE (%)</v>
          </cell>
        </row>
        <row r="177">
          <cell r="A177" t="str">
            <v>GSM</v>
          </cell>
        </row>
        <row r="178">
          <cell r="A178" t="str">
            <v>UMTS</v>
          </cell>
        </row>
        <row r="179">
          <cell r="A179" t="str">
            <v>CDMA</v>
          </cell>
        </row>
        <row r="180">
          <cell r="A180" t="str">
            <v>Others</v>
          </cell>
        </row>
        <row r="182">
          <cell r="A182" t="str">
            <v>APAC (mln)</v>
          </cell>
        </row>
        <row r="183">
          <cell r="A183" t="str">
            <v>GSM</v>
          </cell>
        </row>
        <row r="184">
          <cell r="A184" t="str">
            <v>UMTS</v>
          </cell>
        </row>
        <row r="185">
          <cell r="A185" t="str">
            <v>CDMA</v>
          </cell>
        </row>
        <row r="186">
          <cell r="A186" t="str">
            <v>Others</v>
          </cell>
        </row>
        <row r="188">
          <cell r="A188" t="str">
            <v>APAC  (%)</v>
          </cell>
        </row>
        <row r="189">
          <cell r="A189" t="str">
            <v>GSM</v>
          </cell>
        </row>
        <row r="190">
          <cell r="A190" t="str">
            <v>UMTS</v>
          </cell>
        </row>
        <row r="191">
          <cell r="A191" t="str">
            <v>CDMA</v>
          </cell>
        </row>
        <row r="192">
          <cell r="A192" t="str">
            <v>Others</v>
          </cell>
        </row>
        <row r="194">
          <cell r="A194" t="str">
            <v>CALA</v>
          </cell>
        </row>
        <row r="195">
          <cell r="A195" t="str">
            <v>GSM</v>
          </cell>
        </row>
        <row r="196">
          <cell r="A196" t="str">
            <v>UMTS</v>
          </cell>
        </row>
        <row r="197">
          <cell r="A197" t="str">
            <v>CDMA</v>
          </cell>
        </row>
        <row r="198">
          <cell r="A198" t="str">
            <v>Others</v>
          </cell>
        </row>
        <row r="200">
          <cell r="A200" t="str">
            <v>CALA (%)</v>
          </cell>
        </row>
        <row r="201">
          <cell r="A201" t="str">
            <v>GSM</v>
          </cell>
        </row>
        <row r="202">
          <cell r="A202" t="str">
            <v>UMTS</v>
          </cell>
        </row>
        <row r="203">
          <cell r="A203" t="str">
            <v>CDMA</v>
          </cell>
        </row>
        <row r="204">
          <cell r="A204" t="str">
            <v>Others</v>
          </cell>
        </row>
        <row r="206">
          <cell r="A206" t="str">
            <v>CEE (mln)</v>
          </cell>
        </row>
        <row r="207">
          <cell r="A207" t="str">
            <v>GSM</v>
          </cell>
        </row>
        <row r="208">
          <cell r="A208" t="str">
            <v>UMTS</v>
          </cell>
        </row>
        <row r="209">
          <cell r="A209" t="str">
            <v>CDMA</v>
          </cell>
        </row>
        <row r="210">
          <cell r="A210" t="str">
            <v>Others</v>
          </cell>
        </row>
        <row r="212">
          <cell r="A212" t="str">
            <v>CEE  (%)</v>
          </cell>
        </row>
        <row r="213">
          <cell r="A213" t="str">
            <v>GSM</v>
          </cell>
        </row>
        <row r="214">
          <cell r="A214" t="str">
            <v>UMTS</v>
          </cell>
        </row>
        <row r="215">
          <cell r="A215" t="str">
            <v>CDMA</v>
          </cell>
        </row>
        <row r="216">
          <cell r="A216" t="str">
            <v>Others</v>
          </cell>
        </row>
        <row r="218">
          <cell r="A218" t="str">
            <v>ROW</v>
          </cell>
        </row>
        <row r="219">
          <cell r="A219" t="str">
            <v>GSM</v>
          </cell>
        </row>
        <row r="220">
          <cell r="A220" t="str">
            <v>UMTS</v>
          </cell>
        </row>
        <row r="221">
          <cell r="A221" t="str">
            <v>CDMA</v>
          </cell>
        </row>
        <row r="222">
          <cell r="A222" t="str">
            <v>Others</v>
          </cell>
        </row>
        <row r="224">
          <cell r="A224" t="str">
            <v>ROW (%)</v>
          </cell>
        </row>
        <row r="225">
          <cell r="A225" t="str">
            <v>GSM</v>
          </cell>
        </row>
        <row r="226">
          <cell r="A226" t="str">
            <v>UMTS</v>
          </cell>
        </row>
        <row r="227">
          <cell r="A227" t="str">
            <v>CDMA</v>
          </cell>
        </row>
        <row r="228">
          <cell r="A228" t="str">
            <v>Others</v>
          </cell>
        </row>
        <row r="230">
          <cell r="A230" t="str">
            <v>Vodafone</v>
          </cell>
        </row>
        <row r="231">
          <cell r="A231" t="str">
            <v>Shipments, millions</v>
          </cell>
          <cell r="AS231">
            <v>3</v>
          </cell>
          <cell r="AT231">
            <v>3.1</v>
          </cell>
          <cell r="AU231">
            <v>3</v>
          </cell>
        </row>
        <row r="232">
          <cell r="A232" t="str">
            <v>Net Sales (Billion Yen)</v>
          </cell>
        </row>
        <row r="233">
          <cell r="A233" t="str">
            <v>Operating Income(E)</v>
          </cell>
        </row>
        <row r="234">
          <cell r="A234" t="str">
            <v>Operating Margin (Loss)</v>
          </cell>
        </row>
        <row r="235">
          <cell r="A235" t="str">
            <v>Wholesale ASP</v>
          </cell>
        </row>
        <row r="236">
          <cell r="A236" t="str">
            <v>Seasonality</v>
          </cell>
        </row>
        <row r="238">
          <cell r="A238" t="str">
            <v>% Shipments by Technology</v>
          </cell>
        </row>
        <row r="239">
          <cell r="A239" t="str">
            <v>CDMA</v>
          </cell>
        </row>
        <row r="240">
          <cell r="A240" t="str">
            <v>GSM</v>
          </cell>
          <cell r="AS240">
            <v>1</v>
          </cell>
          <cell r="AT240">
            <v>1</v>
          </cell>
          <cell r="AU240">
            <v>1</v>
          </cell>
        </row>
        <row r="241">
          <cell r="A241" t="str">
            <v>WCDMA</v>
          </cell>
        </row>
        <row r="242">
          <cell r="A242" t="str">
            <v>PDC</v>
          </cell>
        </row>
        <row r="243">
          <cell r="A243" t="str">
            <v>Total</v>
          </cell>
          <cell r="AS243">
            <v>1</v>
          </cell>
          <cell r="AT243">
            <v>1</v>
          </cell>
          <cell r="AU243">
            <v>1</v>
          </cell>
        </row>
        <row r="245">
          <cell r="A245" t="str">
            <v>Unit Shipments by Technology</v>
          </cell>
        </row>
        <row r="246">
          <cell r="A246" t="str">
            <v>CDMA</v>
          </cell>
        </row>
        <row r="247">
          <cell r="A247" t="str">
            <v>GSM</v>
          </cell>
          <cell r="AS247">
            <v>3</v>
          </cell>
          <cell r="AT247">
            <v>3.1</v>
          </cell>
          <cell r="AU247">
            <v>3</v>
          </cell>
        </row>
        <row r="248">
          <cell r="A248" t="str">
            <v>WCDMA</v>
          </cell>
        </row>
        <row r="249">
          <cell r="A249" t="str">
            <v>PDC</v>
          </cell>
        </row>
        <row r="250">
          <cell r="A250" t="str">
            <v>Total</v>
          </cell>
          <cell r="AS250">
            <v>3</v>
          </cell>
          <cell r="AT250">
            <v>3.1</v>
          </cell>
          <cell r="AU250">
            <v>3</v>
          </cell>
        </row>
        <row r="253">
          <cell r="A253" t="str">
            <v>% Shipments by Region</v>
          </cell>
        </row>
        <row r="254">
          <cell r="A254" t="str">
            <v>N America</v>
          </cell>
        </row>
        <row r="255">
          <cell r="A255" t="str">
            <v>W Europe</v>
          </cell>
        </row>
        <row r="256">
          <cell r="A256" t="str">
            <v>APAC</v>
          </cell>
        </row>
        <row r="257">
          <cell r="A257" t="str">
            <v>CALA</v>
          </cell>
        </row>
        <row r="258">
          <cell r="A258" t="str">
            <v>C/E Europe</v>
          </cell>
        </row>
        <row r="259">
          <cell r="A259" t="str">
            <v>ROW</v>
          </cell>
        </row>
        <row r="260">
          <cell r="A260" t="str">
            <v>Total</v>
          </cell>
        </row>
        <row r="262">
          <cell r="A262" t="str">
            <v>Shipments by Region (mil)</v>
          </cell>
        </row>
        <row r="263">
          <cell r="A263" t="str">
            <v>N America</v>
          </cell>
        </row>
        <row r="264">
          <cell r="A264" t="str">
            <v>W Europe</v>
          </cell>
        </row>
        <row r="265">
          <cell r="A265" t="str">
            <v>APAC</v>
          </cell>
        </row>
        <row r="266">
          <cell r="A266" t="str">
            <v>CALA</v>
          </cell>
        </row>
        <row r="267">
          <cell r="A267" t="str">
            <v>C/E Europe</v>
          </cell>
        </row>
        <row r="268">
          <cell r="A268" t="str">
            <v>ROW</v>
          </cell>
        </row>
        <row r="269">
          <cell r="A269" t="str">
            <v>Total</v>
          </cell>
        </row>
        <row r="271">
          <cell r="A271" t="str">
            <v>NA (mln)</v>
          </cell>
        </row>
        <row r="272">
          <cell r="A272" t="str">
            <v>GSM</v>
          </cell>
        </row>
        <row r="273">
          <cell r="A273" t="str">
            <v>UMTS</v>
          </cell>
        </row>
        <row r="274">
          <cell r="A274" t="str">
            <v>CDMA</v>
          </cell>
        </row>
        <row r="275">
          <cell r="A275" t="str">
            <v>Others</v>
          </cell>
        </row>
        <row r="277">
          <cell r="A277" t="str">
            <v>NA  (%)</v>
          </cell>
        </row>
        <row r="278">
          <cell r="A278" t="str">
            <v>GSM</v>
          </cell>
        </row>
        <row r="279">
          <cell r="A279" t="str">
            <v>UMTS</v>
          </cell>
        </row>
        <row r="280">
          <cell r="A280" t="str">
            <v>CDMA</v>
          </cell>
        </row>
        <row r="281">
          <cell r="A281" t="str">
            <v>Others</v>
          </cell>
        </row>
        <row r="283">
          <cell r="A283" t="str">
            <v>WE (mln)</v>
          </cell>
        </row>
        <row r="284">
          <cell r="A284" t="str">
            <v>GSM</v>
          </cell>
        </row>
        <row r="285">
          <cell r="A285" t="str">
            <v>UMTS</v>
          </cell>
        </row>
        <row r="286">
          <cell r="A286" t="str">
            <v>CDMA</v>
          </cell>
        </row>
        <row r="287">
          <cell r="A287" t="str">
            <v>Others</v>
          </cell>
        </row>
        <row r="289">
          <cell r="A289" t="str">
            <v>WE (%)</v>
          </cell>
        </row>
        <row r="290">
          <cell r="A290" t="str">
            <v>GSM</v>
          </cell>
        </row>
        <row r="291">
          <cell r="A291" t="str">
            <v>UMTS</v>
          </cell>
        </row>
        <row r="292">
          <cell r="A292" t="str">
            <v>CDMA</v>
          </cell>
        </row>
        <row r="293">
          <cell r="A293" t="str">
            <v>Others</v>
          </cell>
        </row>
        <row r="295">
          <cell r="A295" t="str">
            <v>APAC (mln)</v>
          </cell>
        </row>
        <row r="296">
          <cell r="A296" t="str">
            <v>GSM</v>
          </cell>
        </row>
        <row r="297">
          <cell r="A297" t="str">
            <v>UMTS</v>
          </cell>
        </row>
        <row r="298">
          <cell r="A298" t="str">
            <v>CDMA</v>
          </cell>
        </row>
        <row r="299">
          <cell r="A299" t="str">
            <v>Others</v>
          </cell>
        </row>
        <row r="301">
          <cell r="A301" t="str">
            <v>APAC  (%)</v>
          </cell>
        </row>
        <row r="302">
          <cell r="A302" t="str">
            <v>GSM</v>
          </cell>
        </row>
        <row r="303">
          <cell r="A303" t="str">
            <v>UMTS</v>
          </cell>
        </row>
        <row r="304">
          <cell r="A304" t="str">
            <v>CDMA</v>
          </cell>
        </row>
        <row r="305">
          <cell r="A305" t="str">
            <v>Others</v>
          </cell>
        </row>
        <row r="307">
          <cell r="A307" t="str">
            <v>CALA</v>
          </cell>
        </row>
        <row r="308">
          <cell r="A308" t="str">
            <v>GSM</v>
          </cell>
        </row>
        <row r="309">
          <cell r="A309" t="str">
            <v>UMTS</v>
          </cell>
        </row>
        <row r="310">
          <cell r="A310" t="str">
            <v>CDMA</v>
          </cell>
        </row>
        <row r="311">
          <cell r="A311" t="str">
            <v>Others</v>
          </cell>
        </row>
        <row r="313">
          <cell r="A313" t="str">
            <v>CALA (%)</v>
          </cell>
        </row>
        <row r="314">
          <cell r="A314" t="str">
            <v>GSM</v>
          </cell>
        </row>
        <row r="315">
          <cell r="A315" t="str">
            <v>UMTS</v>
          </cell>
        </row>
        <row r="316">
          <cell r="A316" t="str">
            <v>CDMA</v>
          </cell>
        </row>
        <row r="317">
          <cell r="A317" t="str">
            <v>Others</v>
          </cell>
        </row>
        <row r="319">
          <cell r="A319" t="str">
            <v>CEE (mln)</v>
          </cell>
        </row>
        <row r="320">
          <cell r="A320" t="str">
            <v>GSM</v>
          </cell>
        </row>
        <row r="321">
          <cell r="A321" t="str">
            <v>UMTS</v>
          </cell>
        </row>
        <row r="322">
          <cell r="A322" t="str">
            <v>CDMA</v>
          </cell>
        </row>
        <row r="323">
          <cell r="A323" t="str">
            <v>Others</v>
          </cell>
        </row>
        <row r="325">
          <cell r="A325" t="str">
            <v>CEE  (%)</v>
          </cell>
        </row>
        <row r="326">
          <cell r="A326" t="str">
            <v>GSM</v>
          </cell>
        </row>
        <row r="327">
          <cell r="A327" t="str">
            <v>UMTS</v>
          </cell>
        </row>
        <row r="328">
          <cell r="A328" t="str">
            <v>CDMA</v>
          </cell>
        </row>
        <row r="329">
          <cell r="A329" t="str">
            <v>Others</v>
          </cell>
        </row>
        <row r="331">
          <cell r="A331" t="str">
            <v>ROW</v>
          </cell>
        </row>
        <row r="332">
          <cell r="A332" t="str">
            <v>GSM</v>
          </cell>
        </row>
        <row r="333">
          <cell r="A333" t="str">
            <v>UMTS</v>
          </cell>
        </row>
        <row r="334">
          <cell r="A334" t="str">
            <v>CDMA</v>
          </cell>
        </row>
        <row r="335">
          <cell r="A335" t="str">
            <v>Others</v>
          </cell>
        </row>
        <row r="337">
          <cell r="A337" t="str">
            <v>ROW (%)</v>
          </cell>
        </row>
        <row r="338">
          <cell r="A338" t="str">
            <v>GSM</v>
          </cell>
        </row>
        <row r="339">
          <cell r="A339" t="str">
            <v>UMTS</v>
          </cell>
        </row>
        <row r="340">
          <cell r="A340" t="str">
            <v>CDMA</v>
          </cell>
        </row>
        <row r="341">
          <cell r="A341" t="str">
            <v>Others</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Box Office Rankings"/>
      <sheetName val="TV Rankings"/>
      <sheetName val="Music Rankings"/>
      <sheetName val="TV Index"/>
      <sheetName val="Film Index"/>
      <sheetName val="Music Index"/>
      <sheetName val="Media Index"/>
      <sheetName val="__FDSCACHE__"/>
      <sheetName val="Digital Index"/>
      <sheetName val="#REF"/>
      <sheetName val="Demand"/>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ow r="3">
          <cell r="A3"/>
        </row>
      </sheetData>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ta Sources"/>
      <sheetName val="GDP"/>
      <sheetName val="Unemp by Edu"/>
      <sheetName val="Willingness"/>
      <sheetName val="Debt Burden"/>
      <sheetName val="ConsCredit"/>
      <sheetName val="Prime&amp;LIBOR"/>
      <sheetName val="Annual BF"/>
      <sheetName val="QuarterlyB"/>
      <sheetName val="Monthly BF"/>
      <sheetName val="Weekly BF"/>
      <sheetName val="Cons Confid"/>
      <sheetName val="Receivables"/>
      <sheetName val="Unemp by Occ"/>
      <sheetName val="Moody"/>
      <sheetName val="still need to fix&amp;update--&gt;"/>
      <sheetName val="Cons Conf Qs"/>
      <sheetName val="Ausubel"/>
      <sheetName val="S&amp;P"/>
      <sheetName val="Charge Offs"/>
      <sheetName val="DLQ"/>
      <sheetName val="Auto Sales BBG"/>
      <sheetName val="US Popul"/>
      <sheetName val="Bankruptcy (BBG)"/>
      <sheetName val="DH where is this from"/>
      <sheetName val="Revolving"/>
      <sheetName val="Nonrevolving"/>
      <sheetName val="Auto Sales"/>
      <sheetName val="FAME Persistence"/>
      <sheetName val="Sheet1"/>
      <sheetName val="MasterStats"/>
      <sheetName val="Beauty Spec retailers mark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5">
          <cell r="A15">
            <v>34730</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Data Sources"/>
      <sheetName val="FHA Delinq"/>
      <sheetName val="GDP"/>
      <sheetName val="Unemp total and by Edu"/>
      <sheetName val="Willingness"/>
      <sheetName val="Debt Burden"/>
      <sheetName val="ConsCredit"/>
      <sheetName val="prime, fed funds, LIBOR"/>
      <sheetName val="Annual BF"/>
      <sheetName val="QuarterlyB"/>
      <sheetName val="Monthly BF"/>
      <sheetName val="Weekly BF"/>
      <sheetName val="Cons Confid"/>
      <sheetName val="Receivables"/>
      <sheetName val="Unemp by Occ"/>
      <sheetName val="Moody"/>
      <sheetName val="S&amp;P"/>
      <sheetName val="Cons Conf Qs"/>
      <sheetName val="historical charge-offs"/>
      <sheetName val="still need to fix&amp;update--&gt;"/>
      <sheetName val="Ausubel"/>
      <sheetName val="Charge Offs"/>
      <sheetName val="DLQ"/>
      <sheetName val="Auto Sales BBG"/>
      <sheetName val="US Popul"/>
      <sheetName val="Bankruptcy (BBG)"/>
      <sheetName val="DH where is this from"/>
      <sheetName val="Revolving"/>
      <sheetName val="Nonrevolving"/>
      <sheetName val="Auto Sales"/>
      <sheetName val="FAME Persistence"/>
      <sheetName val="__FDSCACHE__"/>
      <sheetName val="DISCLOSURE"/>
      <sheetName val="Contents"/>
      <sheetName val="Data"/>
      <sheetName val="IS"/>
      <sheetName val="BS"/>
      <sheetName val="CF"/>
      <sheetName val="Sector Sales Hist"/>
      <sheetName val="Sector Sales Fcst"/>
      <sheetName val="Sector Op Profit"/>
      <sheetName val="Other Line Items"/>
      <sheetName val="ROIC"/>
      <sheetName val="Links"/>
      <sheetName val="Cheat Sheet"/>
      <sheetName val="BYND"/>
      <sheetName val="SPX"/>
      <sheetName val="Op Leverag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over"/>
      <sheetName val="__FDSCACHE__"/>
      <sheetName val="DCF"/>
      <sheetName val="Price_Bands"/>
      <sheetName val="IS"/>
      <sheetName val="BS"/>
      <sheetName val="CF"/>
      <sheetName val="Sales_&amp;_Costs"/>
      <sheetName val="Other_Items"/>
      <sheetName val="Depreciation"/>
      <sheetName val="NWC"/>
      <sheetName val="Equity"/>
      <sheetName val="IFRS"/>
      <sheetName val="Financials_DART"/>
    </sheetNames>
    <sheetDataSet>
      <sheetData sheetId="0"/>
      <sheetData sheetId="1"/>
      <sheetData sheetId="2">
        <row r="60">
          <cell r="B60">
            <v>1</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OnePager"/>
    </sheetNames>
    <sheetDataSet>
      <sheetData sheetId="0"/>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ontents"/>
      <sheetName val="CONVENTIONS"/>
      <sheetName val="TOTAL"/>
      <sheetName val="PROVP"/>
      <sheetName val="PROVUL"/>
      <sheetName val="PROVI"/>
      <sheetName val="PROBC"/>
      <sheetName val="COMMENTS"/>
      <sheetName val="BASEPROTOTAL"/>
      <sheetName val="LAST QUARTERS"/>
      <sheetName val="BASEPROVP"/>
      <sheetName val="BASEPROVUL"/>
      <sheetName val="BASEPROVI"/>
      <sheetName val="BASEPROBC"/>
      <sheetName val="GLOBAL CHART"/>
      <sheetName val="DETAILED CHART"/>
      <sheetName val="COUNTRYRANKBASE"/>
      <sheetName val="COUNTRYRANK CHARTS"/>
    </sheetNames>
    <sheetDataSet>
      <sheetData sheetId="0"/>
      <sheetData sheetId="1"/>
      <sheetData sheetId="2"/>
      <sheetData sheetId="3">
        <row r="1">
          <cell r="A1" t="str">
            <v>PROVP</v>
          </cell>
        </row>
        <row r="2">
          <cell r="A2" t="str">
            <v> </v>
          </cell>
        </row>
        <row r="4">
          <cell r="A4" t="str">
            <v>UNITS</v>
          </cell>
        </row>
        <row r="5">
          <cell r="A5" t="str">
            <v>CARS</v>
          </cell>
          <cell r="B5" t="str">
            <v>Q1</v>
          </cell>
        </row>
        <row r="6">
          <cell r="A6" t="str">
            <v xml:space="preserve"> EUROPE</v>
          </cell>
          <cell r="B6">
            <v>4451379</v>
          </cell>
        </row>
        <row r="7">
          <cell r="A7" t="str">
            <v xml:space="preserve"> - EUROPEAN UNION 27 countries</v>
          </cell>
          <cell r="B7">
            <v>4054679</v>
          </cell>
        </row>
        <row r="8">
          <cell r="A8" t="str">
            <v xml:space="preserve"> - EUROPEAN UNION 15 countries</v>
          </cell>
          <cell r="B8">
            <v>3649293</v>
          </cell>
        </row>
        <row r="9">
          <cell r="A9" t="str">
            <v>Double Counts Austria / Germany</v>
          </cell>
          <cell r="B9">
            <v>-4962</v>
          </cell>
        </row>
        <row r="10">
          <cell r="A10" t="str">
            <v>Double Counts Austria / Japan</v>
          </cell>
          <cell r="B10">
            <v>0</v>
          </cell>
        </row>
        <row r="11">
          <cell r="A11" t="str">
            <v>Double Counts Belgium / Germany</v>
          </cell>
          <cell r="B11">
            <v>-72139</v>
          </cell>
        </row>
        <row r="12">
          <cell r="A12" t="str">
            <v>Double Counts Italy / EU</v>
          </cell>
          <cell r="B12">
            <v>-1470</v>
          </cell>
        </row>
        <row r="13">
          <cell r="A13" t="str">
            <v>Double Counts Portugal / Japan</v>
          </cell>
          <cell r="B13">
            <v>0</v>
          </cell>
        </row>
        <row r="14">
          <cell r="A14" t="str">
            <v>Double Counts Portugal / Spain</v>
          </cell>
          <cell r="B14">
            <v>-5976</v>
          </cell>
        </row>
        <row r="15">
          <cell r="A15" t="str">
            <v>AUSTRIA</v>
          </cell>
          <cell r="B15">
            <v>47682</v>
          </cell>
        </row>
        <row r="16">
          <cell r="A16" t="str">
            <v>BELGIUM</v>
          </cell>
          <cell r="B16">
            <v>255014</v>
          </cell>
        </row>
        <row r="17">
          <cell r="A17" t="str">
            <v>FINLAND</v>
          </cell>
          <cell r="B17">
            <v>4657</v>
          </cell>
        </row>
        <row r="18">
          <cell r="A18" t="str">
            <v xml:space="preserve">FRANCE  </v>
          </cell>
          <cell r="B18">
            <v>800452</v>
          </cell>
        </row>
        <row r="19">
          <cell r="A19" t="str">
            <v xml:space="preserve">GERMANY(1) </v>
          </cell>
          <cell r="B19">
            <v>1317607</v>
          </cell>
        </row>
        <row r="20">
          <cell r="A20" t="str">
            <v>ITALY</v>
          </cell>
          <cell r="B20">
            <v>185919</v>
          </cell>
        </row>
        <row r="21">
          <cell r="A21" t="str">
            <v xml:space="preserve">NETHERLANDS </v>
          </cell>
          <cell r="B21">
            <v>36903</v>
          </cell>
        </row>
        <row r="22">
          <cell r="A22" t="str">
            <v>PORTUGAL</v>
          </cell>
          <cell r="B22">
            <v>37439</v>
          </cell>
        </row>
        <row r="23">
          <cell r="A23" t="str">
            <v>SPAIN</v>
          </cell>
          <cell r="B23">
            <v>540545</v>
          </cell>
        </row>
        <row r="24">
          <cell r="A24" t="str">
            <v>SWEDEN (2)</v>
          </cell>
          <cell r="B24">
            <v>74662</v>
          </cell>
        </row>
        <row r="25">
          <cell r="A25" t="str">
            <v xml:space="preserve">UNITED KINGDOM  </v>
          </cell>
          <cell r="B25">
            <v>432960</v>
          </cell>
        </row>
        <row r="26">
          <cell r="A26" t="str">
            <v xml:space="preserve"> - EUROPEAN UNION New Members</v>
          </cell>
          <cell r="B26">
            <v>405386</v>
          </cell>
        </row>
        <row r="27">
          <cell r="A27" t="str">
            <v>Double Counts Slovakia / Czech republic</v>
          </cell>
          <cell r="B27">
            <v>0</v>
          </cell>
        </row>
        <row r="28">
          <cell r="A28" t="str">
            <v>Double Counts Slovakia/ / Germany</v>
          </cell>
          <cell r="B28">
            <v>-9750</v>
          </cell>
        </row>
        <row r="29">
          <cell r="A29" t="str">
            <v>CZECH REPUBLIC</v>
          </cell>
          <cell r="B29">
            <v>122270</v>
          </cell>
        </row>
        <row r="30">
          <cell r="A30" t="str">
            <v>HUNGARY</v>
          </cell>
          <cell r="B30">
            <v>28450</v>
          </cell>
        </row>
        <row r="31">
          <cell r="A31" t="str">
            <v>POLAND</v>
          </cell>
          <cell r="B31">
            <v>134200</v>
          </cell>
        </row>
        <row r="32">
          <cell r="A32" t="str">
            <v>ROMANIA</v>
          </cell>
          <cell r="B32">
            <v>42958</v>
          </cell>
        </row>
        <row r="33">
          <cell r="A33" t="str">
            <v>SLOVAKIA</v>
          </cell>
          <cell r="B33">
            <v>50479</v>
          </cell>
        </row>
        <row r="34">
          <cell r="A34" t="str">
            <v>SLOVENIA</v>
          </cell>
          <cell r="B34">
            <v>36779</v>
          </cell>
        </row>
        <row r="35">
          <cell r="A35" t="str">
            <v xml:space="preserve"> - OTHER EUROPE</v>
          </cell>
          <cell r="B35">
            <v>296700</v>
          </cell>
        </row>
        <row r="36">
          <cell r="A36" t="str">
            <v>SERBIA</v>
          </cell>
          <cell r="B36">
            <v>1700</v>
          </cell>
        </row>
        <row r="37">
          <cell r="A37" t="str">
            <v>CIS</v>
          </cell>
          <cell r="B37">
            <v>295000</v>
          </cell>
        </row>
        <row r="38">
          <cell r="A38" t="str">
            <v>Double Counts Ukraine / World</v>
          </cell>
          <cell r="B38">
            <v>0</v>
          </cell>
        </row>
        <row r="39">
          <cell r="A39" t="str">
            <v>RUSSIA</v>
          </cell>
          <cell r="B39">
            <v>230000</v>
          </cell>
        </row>
        <row r="40">
          <cell r="A40" t="str">
            <v>BELARUS</v>
          </cell>
          <cell r="B40">
            <v>0</v>
          </cell>
        </row>
        <row r="41">
          <cell r="A41" t="str">
            <v>UKRAINE</v>
          </cell>
          <cell r="B41">
            <v>40000</v>
          </cell>
        </row>
        <row r="42">
          <cell r="A42" t="str">
            <v xml:space="preserve">UZBEKISTAN </v>
          </cell>
          <cell r="B42">
            <v>25000</v>
          </cell>
        </row>
        <row r="43">
          <cell r="A43" t="str">
            <v>TURKEY</v>
          </cell>
          <cell r="B43">
            <v>100000</v>
          </cell>
        </row>
        <row r="44">
          <cell r="A44" t="str">
            <v>AMERICA</v>
          </cell>
          <cell r="B44">
            <v>2148829</v>
          </cell>
        </row>
        <row r="45">
          <cell r="A45" t="str">
            <v xml:space="preserve"> - NAFTA</v>
          </cell>
          <cell r="B45">
            <v>1628511</v>
          </cell>
        </row>
        <row r="46">
          <cell r="A46" t="str">
            <v xml:space="preserve">CANADA  </v>
          </cell>
          <cell r="B46">
            <v>331992</v>
          </cell>
        </row>
        <row r="47">
          <cell r="A47" t="str">
            <v>MEXICO</v>
          </cell>
          <cell r="B47">
            <v>181878</v>
          </cell>
        </row>
        <row r="48">
          <cell r="A48" t="str">
            <v>USA</v>
          </cell>
          <cell r="B48">
            <v>1114641</v>
          </cell>
        </row>
        <row r="49">
          <cell r="A49" t="str">
            <v xml:space="preserve"> - SOUTH AMERICA</v>
          </cell>
          <cell r="B49">
            <v>520318</v>
          </cell>
        </row>
        <row r="50">
          <cell r="A50" t="str">
            <v>Double counts Venezuela / World</v>
          </cell>
          <cell r="B50">
            <v>-24420</v>
          </cell>
        </row>
        <row r="51">
          <cell r="A51" t="str">
            <v>ARGENTINA</v>
          </cell>
          <cell r="B51">
            <v>38247</v>
          </cell>
        </row>
        <row r="52">
          <cell r="A52" t="str">
            <v>BRAZIL</v>
          </cell>
          <cell r="B52">
            <v>469881</v>
          </cell>
        </row>
        <row r="53">
          <cell r="A53" t="str">
            <v>CHILE</v>
          </cell>
        </row>
        <row r="54">
          <cell r="A54" t="str">
            <v>COLOMBIA</v>
          </cell>
          <cell r="B54" t="str">
            <v> </v>
          </cell>
        </row>
        <row r="55">
          <cell r="A55" t="str">
            <v>ECUADOR</v>
          </cell>
        </row>
        <row r="56">
          <cell r="A56" t="str">
            <v>PERU</v>
          </cell>
        </row>
        <row r="57">
          <cell r="A57" t="str">
            <v>URUGUAY</v>
          </cell>
        </row>
        <row r="58">
          <cell r="A58" t="str">
            <v>VENEZUELA</v>
          </cell>
          <cell r="B58">
            <v>36610</v>
          </cell>
        </row>
        <row r="59">
          <cell r="A59" t="str">
            <v>ASIA-OCEANIA</v>
          </cell>
          <cell r="B59">
            <v>4792605</v>
          </cell>
        </row>
        <row r="60">
          <cell r="A60" t="str">
            <v>Double Counts Asia / world</v>
          </cell>
          <cell r="B60">
            <v>-22750</v>
          </cell>
        </row>
        <row r="61">
          <cell r="A61" t="str">
            <v>Double Counts China / world</v>
          </cell>
          <cell r="B61">
            <v>0</v>
          </cell>
        </row>
        <row r="62">
          <cell r="A62" t="str">
            <v>Double Counts Thailand / world</v>
          </cell>
          <cell r="B62">
            <v>0</v>
          </cell>
        </row>
        <row r="63">
          <cell r="A63" t="str">
            <v>AUSTRALIA</v>
          </cell>
          <cell r="B63">
            <v>72000</v>
          </cell>
        </row>
        <row r="64">
          <cell r="A64" t="str">
            <v>CHINA</v>
          </cell>
          <cell r="B64">
            <v>825847</v>
          </cell>
        </row>
        <row r="65">
          <cell r="A65" t="str">
            <v>INDIA</v>
          </cell>
          <cell r="B65">
            <v>322385</v>
          </cell>
        </row>
        <row r="66">
          <cell r="A66" t="str">
            <v>INDONESIA</v>
          </cell>
          <cell r="B66">
            <v>99000</v>
          </cell>
        </row>
        <row r="67">
          <cell r="A67" t="str">
            <v>IRAN</v>
          </cell>
        </row>
        <row r="68">
          <cell r="A68" t="str">
            <v>JAPAN</v>
          </cell>
          <cell r="B68">
            <v>2410695</v>
          </cell>
        </row>
        <row r="69">
          <cell r="A69" t="str">
            <v>MALAYSIA</v>
          </cell>
          <cell r="B69">
            <v>101856</v>
          </cell>
        </row>
        <row r="70">
          <cell r="A70" t="str">
            <v xml:space="preserve">PAKISTAN </v>
          </cell>
        </row>
        <row r="71">
          <cell r="A71" t="str">
            <v>PHILIPPINES</v>
          </cell>
        </row>
        <row r="72">
          <cell r="A72" t="str">
            <v>SOUTH KOREA</v>
          </cell>
          <cell r="B72">
            <v>819060</v>
          </cell>
        </row>
        <row r="73">
          <cell r="A73" t="str">
            <v xml:space="preserve">TAIWAN </v>
          </cell>
          <cell r="B73">
            <v>82256</v>
          </cell>
        </row>
        <row r="74">
          <cell r="A74" t="str">
            <v>THAILAND</v>
          </cell>
          <cell r="B74">
            <v>82256</v>
          </cell>
        </row>
        <row r="75">
          <cell r="A75" t="str">
            <v>VIETNAM</v>
          </cell>
        </row>
        <row r="76">
          <cell r="A76" t="str">
            <v>AFRICA</v>
          </cell>
          <cell r="B76">
            <v>64270</v>
          </cell>
        </row>
        <row r="77">
          <cell r="A77" t="str">
            <v>Double Counts Egypt / world</v>
          </cell>
          <cell r="B77">
            <v>-3500</v>
          </cell>
        </row>
        <row r="78">
          <cell r="A78" t="str">
            <v>Double Counts South Africa / world</v>
          </cell>
          <cell r="B78">
            <v>-12500</v>
          </cell>
        </row>
        <row r="79">
          <cell r="A79" t="str">
            <v>BOTSWANA</v>
          </cell>
          <cell r="B79">
            <v>270</v>
          </cell>
        </row>
        <row r="80">
          <cell r="A80" t="str">
            <v xml:space="preserve"> EGYPT</v>
          </cell>
          <cell r="B80">
            <v>10000</v>
          </cell>
        </row>
        <row r="81">
          <cell r="A81" t="str">
            <v>KENYA</v>
          </cell>
        </row>
        <row r="82">
          <cell r="A82" t="str">
            <v>LIBYA</v>
          </cell>
        </row>
        <row r="83">
          <cell r="A83" t="str">
            <v>MOROCCO</v>
          </cell>
        </row>
        <row r="84">
          <cell r="A84" t="str">
            <v>NIGERIA</v>
          </cell>
          <cell r="B84" t="str">
            <v> </v>
          </cell>
        </row>
        <row r="85">
          <cell r="A85" t="str">
            <v>SUDAN</v>
          </cell>
        </row>
        <row r="86">
          <cell r="A86" t="str">
            <v>SOUTH AFRICA</v>
          </cell>
          <cell r="B86">
            <v>70000</v>
          </cell>
        </row>
        <row r="87">
          <cell r="A87" t="str">
            <v>TUNISIA</v>
          </cell>
        </row>
        <row r="88">
          <cell r="A88" t="str">
            <v>ZIMBABWE</v>
          </cell>
        </row>
        <row r="89">
          <cell r="A89" t="str">
            <v>OTHERS</v>
          </cell>
        </row>
        <row r="90">
          <cell r="A90" t="str">
            <v xml:space="preserve">TOTAL </v>
          </cell>
          <cell r="B90">
            <v>11457083</v>
          </cell>
        </row>
        <row r="91">
          <cell r="A91" t="str">
            <v>(1)  Official car figures include Belgian GM assembly.</v>
          </cell>
        </row>
        <row r="92">
          <cell r="A92" t="str">
            <v>(2) Official figures  take account  of Swedish manufacturers world production; in this report, we only use the vehicles produced in Sweden, and the vehicles for which Volvo Trucks does not specify the country of production..</v>
          </cell>
        </row>
        <row r="93">
          <cell r="A93" t="str">
            <v>Estimate</v>
          </cell>
        </row>
      </sheetData>
      <sheetData sheetId="4"/>
      <sheetData sheetId="5"/>
      <sheetData sheetId="6"/>
      <sheetData sheetId="7"/>
      <sheetData sheetId="8">
        <row r="55">
          <cell r="H55" t="str">
            <v>2006q1</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Jan 2001"/>
      <sheetName val="Feb 2001"/>
      <sheetName val="Mar2001"/>
      <sheetName val="Apr 2001"/>
      <sheetName val="May 2001"/>
      <sheetName val="Jun 2001"/>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Musak"/>
      <sheetName val="__FDSCACHE__"/>
      <sheetName val="WACC"/>
      <sheetName val="PV Graph Data"/>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Guide"/>
      <sheetName val="Cover"/>
      <sheetName val="Control_Panel"/>
      <sheetName val="Std Dev"/>
      <sheetName val="Qtrly_Fin&amp;Est"/>
      <sheetName val="Annual_Fin&amp;Est"/>
      <sheetName val="Guidance"/>
      <sheetName val="Charts"/>
      <sheetName val="DCF"/>
      <sheetName val="Raw_Data"/>
    </sheetNames>
    <sheetDataSet>
      <sheetData sheetId="0"/>
      <sheetData sheetId="1"/>
      <sheetData sheetId="2"/>
      <sheetData sheetId="3"/>
      <sheetData sheetId="4">
        <row r="22">
          <cell r="AQ22">
            <v>35789.714999999997</v>
          </cell>
        </row>
        <row r="517">
          <cell r="C517">
            <v>22</v>
          </cell>
        </row>
        <row r="518">
          <cell r="C518">
            <v>1.55</v>
          </cell>
        </row>
      </sheetData>
      <sheetData sheetId="5"/>
      <sheetData sheetId="6"/>
      <sheetData sheetId="7"/>
      <sheetData sheetId="8"/>
      <sheetData sheetId="9"/>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GC"/>
      <sheetName val="Corning"/>
      <sheetName val="Summary"/>
      <sheetName val="AUO"/>
      <sheetName val="_CIQHiddenCacheSheet"/>
      <sheetName val="CMI"/>
      <sheetName val="LGD"/>
      <sheetName val="HonHai"/>
      <sheetName val="Quanta"/>
      <sheetName val="Acer"/>
      <sheetName val="ASUS"/>
      <sheetName val="Lenovo"/>
      <sheetName val="Compal"/>
      <sheetName val="Wistron"/>
      <sheetName val="Flextronics"/>
      <sheetName val="Jabil"/>
      <sheetName val="Dell"/>
      <sheetName val="HP"/>
      <sheetName val="Apple"/>
      <sheetName val="Sharp"/>
      <sheetName val="NEG"/>
      <sheetName val="INX"/>
    </sheetNames>
    <sheetDataSet>
      <sheetData sheetId="0" refreshError="1"/>
      <sheetData sheetId="1">
        <row r="4">
          <cell r="D4" t="str">
            <v>NEG</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94Q2"/>
      <sheetName val="CF-94Q2"/>
      <sheetName val="IS-仟元"/>
      <sheetName val="BS-仟元"/>
      <sheetName val="固定資產"/>
      <sheetName val="固定資產變動彙總表"/>
      <sheetName val="遞延費用"/>
      <sheetName val="遞延費用變動彙總表"/>
      <sheetName val="Sheet2"/>
      <sheetName val="IS "/>
      <sheetName val="ES"/>
      <sheetName val="CF "/>
      <sheetName val="CF-93-WP "/>
      <sheetName val="CF-92-WP"/>
      <sheetName val="CF-91-WP"/>
      <sheetName val="....."/>
      <sheetName val="CF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Balance Checks"/>
      <sheetName val="Assumptions"/>
      <sheetName val="Ratio Analysis"/>
      <sheetName val="Income Statement"/>
      <sheetName val="Balance Sheet"/>
      <sheetName val="Cash Flow Statement"/>
      <sheetName val="Shareholders' Equity"/>
      <sheetName val="Balance Sheet Drivers"/>
      <sheetName val="Net Interest"/>
      <sheetName val="Debt Detail"/>
      <sheetName val="Corp. Held Assets"/>
      <sheetName val="Offshore"/>
      <sheetName val="PP&amp;E"/>
      <sheetName val="S&amp;U Statement"/>
      <sheetName val="Profit Sharing"/>
      <sheetName val="Module1"/>
      <sheetName val="Module2"/>
      <sheetName val="SLIDE"/>
      <sheetName val="A"/>
      <sheetName val="Community Bank"/>
      <sheetName val="Prototype23"/>
      <sheetName val="RevChart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Price_Perf."/>
    </sheetNames>
    <sheetDataSet>
      <sheetData sheetId="0">
        <row r="15">
          <cell r="AG15" t="str">
            <v>YYMMDD</v>
          </cell>
          <cell r="AH15" t="str">
            <v>Foreign Invest.%-TSE</v>
          </cell>
        </row>
        <row r="16">
          <cell r="AG16">
            <v>38355</v>
          </cell>
          <cell r="AH16">
            <v>58.02</v>
          </cell>
        </row>
        <row r="17">
          <cell r="AG17">
            <v>38356</v>
          </cell>
          <cell r="AH17">
            <v>58</v>
          </cell>
        </row>
        <row r="18">
          <cell r="AG18">
            <v>38357</v>
          </cell>
          <cell r="AH18">
            <v>57.95</v>
          </cell>
        </row>
        <row r="19">
          <cell r="AG19">
            <v>38358</v>
          </cell>
          <cell r="AH19">
            <v>57.89</v>
          </cell>
        </row>
        <row r="20">
          <cell r="AG20">
            <v>38359</v>
          </cell>
          <cell r="AH20">
            <v>57.8</v>
          </cell>
        </row>
        <row r="21">
          <cell r="AG21">
            <v>38362</v>
          </cell>
          <cell r="AH21">
            <v>57.78</v>
          </cell>
        </row>
        <row r="22">
          <cell r="AG22">
            <v>38363</v>
          </cell>
          <cell r="AH22">
            <v>57.76</v>
          </cell>
        </row>
        <row r="23">
          <cell r="AG23">
            <v>38364</v>
          </cell>
          <cell r="AH23">
            <v>57.65</v>
          </cell>
        </row>
        <row r="24">
          <cell r="AG24">
            <v>38365</v>
          </cell>
          <cell r="AH24">
            <v>57.58</v>
          </cell>
        </row>
        <row r="25">
          <cell r="AG25">
            <v>38366</v>
          </cell>
          <cell r="AH25">
            <v>57.49</v>
          </cell>
        </row>
        <row r="26">
          <cell r="AG26">
            <v>38369</v>
          </cell>
          <cell r="AH26">
            <v>57.57</v>
          </cell>
        </row>
        <row r="27">
          <cell r="AG27">
            <v>38370</v>
          </cell>
          <cell r="AH27">
            <v>57.59</v>
          </cell>
        </row>
        <row r="28">
          <cell r="AG28">
            <v>38371</v>
          </cell>
          <cell r="AH28">
            <v>57.57</v>
          </cell>
        </row>
        <row r="29">
          <cell r="AG29">
            <v>38372</v>
          </cell>
          <cell r="AH29">
            <v>57.52</v>
          </cell>
        </row>
        <row r="30">
          <cell r="AG30">
            <v>38373</v>
          </cell>
          <cell r="AH30">
            <v>57.48</v>
          </cell>
        </row>
        <row r="31">
          <cell r="AG31">
            <v>38376</v>
          </cell>
          <cell r="AH31">
            <v>57.44</v>
          </cell>
        </row>
        <row r="32">
          <cell r="AG32">
            <v>38377</v>
          </cell>
          <cell r="AH32">
            <v>57.39</v>
          </cell>
        </row>
        <row r="33">
          <cell r="AG33">
            <v>38378</v>
          </cell>
          <cell r="AH33">
            <v>57.53</v>
          </cell>
        </row>
        <row r="34">
          <cell r="AG34">
            <v>38379</v>
          </cell>
          <cell r="AH34">
            <v>57.59</v>
          </cell>
        </row>
        <row r="35">
          <cell r="AG35">
            <v>38380</v>
          </cell>
          <cell r="AH35">
            <v>57.76</v>
          </cell>
        </row>
        <row r="36">
          <cell r="AG36">
            <v>38383</v>
          </cell>
          <cell r="AH36">
            <v>58.05</v>
          </cell>
        </row>
        <row r="37">
          <cell r="AG37">
            <v>38384</v>
          </cell>
          <cell r="AH37">
            <v>58.3</v>
          </cell>
        </row>
        <row r="38">
          <cell r="AG38">
            <v>38385</v>
          </cell>
          <cell r="AH38">
            <v>58.67</v>
          </cell>
        </row>
        <row r="39">
          <cell r="AG39">
            <v>38386</v>
          </cell>
          <cell r="AH39">
            <v>58.88</v>
          </cell>
        </row>
        <row r="40">
          <cell r="AG40">
            <v>38397</v>
          </cell>
          <cell r="AH40">
            <v>59.09</v>
          </cell>
        </row>
        <row r="41">
          <cell r="AG41">
            <v>38398</v>
          </cell>
          <cell r="AH41">
            <v>59.24</v>
          </cell>
        </row>
        <row r="42">
          <cell r="AG42">
            <v>38399</v>
          </cell>
          <cell r="AH42">
            <v>59.29</v>
          </cell>
        </row>
        <row r="43">
          <cell r="AG43">
            <v>38400</v>
          </cell>
          <cell r="AH43">
            <v>59.31</v>
          </cell>
        </row>
        <row r="44">
          <cell r="AG44">
            <v>38401</v>
          </cell>
          <cell r="AH44">
            <v>59.35</v>
          </cell>
        </row>
        <row r="45">
          <cell r="AG45">
            <v>38404</v>
          </cell>
          <cell r="AH45">
            <v>59.43</v>
          </cell>
        </row>
        <row r="46">
          <cell r="AG46">
            <v>38405</v>
          </cell>
          <cell r="AH46">
            <v>59.45</v>
          </cell>
        </row>
        <row r="47">
          <cell r="AG47">
            <v>38406</v>
          </cell>
          <cell r="AH47">
            <v>59.46</v>
          </cell>
        </row>
        <row r="48">
          <cell r="AG48">
            <v>38407</v>
          </cell>
          <cell r="AH48">
            <v>59.46</v>
          </cell>
        </row>
        <row r="49">
          <cell r="AG49">
            <v>38408</v>
          </cell>
          <cell r="AH49">
            <v>59.69</v>
          </cell>
        </row>
        <row r="50">
          <cell r="AG50">
            <v>38412</v>
          </cell>
          <cell r="AH50">
            <v>59.69</v>
          </cell>
        </row>
        <row r="51">
          <cell r="AG51">
            <v>38413</v>
          </cell>
          <cell r="AH51">
            <v>59.7</v>
          </cell>
        </row>
        <row r="52">
          <cell r="AG52">
            <v>38414</v>
          </cell>
          <cell r="AH52">
            <v>59.71</v>
          </cell>
        </row>
        <row r="53">
          <cell r="AG53">
            <v>38415</v>
          </cell>
          <cell r="AH53">
            <v>59.65</v>
          </cell>
        </row>
        <row r="54">
          <cell r="AG54">
            <v>38418</v>
          </cell>
          <cell r="AH54">
            <v>59.67</v>
          </cell>
        </row>
        <row r="55">
          <cell r="AG55">
            <v>38419</v>
          </cell>
          <cell r="AH55">
            <v>59.71</v>
          </cell>
        </row>
        <row r="56">
          <cell r="AG56">
            <v>38420</v>
          </cell>
          <cell r="AH56">
            <v>59.73</v>
          </cell>
        </row>
        <row r="57">
          <cell r="AG57">
            <v>38421</v>
          </cell>
          <cell r="AH57">
            <v>59.68</v>
          </cell>
        </row>
        <row r="58">
          <cell r="AG58">
            <v>38422</v>
          </cell>
          <cell r="AH58">
            <v>59.67</v>
          </cell>
        </row>
        <row r="59">
          <cell r="AG59">
            <v>38425</v>
          </cell>
          <cell r="AH59">
            <v>59.63</v>
          </cell>
        </row>
        <row r="60">
          <cell r="AG60">
            <v>38426</v>
          </cell>
          <cell r="AH60">
            <v>59.62</v>
          </cell>
        </row>
        <row r="61">
          <cell r="AG61">
            <v>38427</v>
          </cell>
          <cell r="AH61">
            <v>59.61</v>
          </cell>
        </row>
        <row r="62">
          <cell r="AG62">
            <v>38428</v>
          </cell>
          <cell r="AH62">
            <v>59.5</v>
          </cell>
        </row>
        <row r="63">
          <cell r="AG63">
            <v>38429</v>
          </cell>
          <cell r="AH63">
            <v>59.51</v>
          </cell>
        </row>
        <row r="64">
          <cell r="AG64">
            <v>38432</v>
          </cell>
          <cell r="AH64">
            <v>59.47</v>
          </cell>
        </row>
        <row r="65">
          <cell r="AG65">
            <v>38433</v>
          </cell>
          <cell r="AH65">
            <v>59.45</v>
          </cell>
        </row>
        <row r="66">
          <cell r="AG66">
            <v>38434</v>
          </cell>
          <cell r="AH66">
            <v>59.39</v>
          </cell>
        </row>
        <row r="67">
          <cell r="AG67">
            <v>38435</v>
          </cell>
          <cell r="AH67">
            <v>59.37</v>
          </cell>
        </row>
        <row r="68">
          <cell r="AG68">
            <v>38436</v>
          </cell>
          <cell r="AH68">
            <v>59.36</v>
          </cell>
        </row>
        <row r="69">
          <cell r="AG69">
            <v>38439</v>
          </cell>
          <cell r="AH69">
            <v>59.38</v>
          </cell>
        </row>
        <row r="70">
          <cell r="AG70">
            <v>38440</v>
          </cell>
          <cell r="AH70">
            <v>59.39</v>
          </cell>
        </row>
        <row r="71">
          <cell r="AG71">
            <v>38441</v>
          </cell>
          <cell r="AH71">
            <v>59.35</v>
          </cell>
        </row>
        <row r="72">
          <cell r="AG72">
            <v>38442</v>
          </cell>
          <cell r="AH72">
            <v>59.15</v>
          </cell>
        </row>
        <row r="73">
          <cell r="AG73">
            <v>38443</v>
          </cell>
          <cell r="AH73">
            <v>59.18</v>
          </cell>
        </row>
        <row r="74">
          <cell r="AG74">
            <v>38446</v>
          </cell>
          <cell r="AH74">
            <v>59.2</v>
          </cell>
        </row>
        <row r="75">
          <cell r="AG75">
            <v>38448</v>
          </cell>
          <cell r="AH75">
            <v>59.2</v>
          </cell>
        </row>
        <row r="76">
          <cell r="AG76">
            <v>38449</v>
          </cell>
          <cell r="AH76">
            <v>59.21</v>
          </cell>
        </row>
        <row r="77">
          <cell r="AG77">
            <v>38450</v>
          </cell>
          <cell r="AH77">
            <v>59.24</v>
          </cell>
        </row>
        <row r="78">
          <cell r="AG78">
            <v>38453</v>
          </cell>
          <cell r="AH78">
            <v>59.25</v>
          </cell>
        </row>
        <row r="79">
          <cell r="AG79">
            <v>38454</v>
          </cell>
          <cell r="AH79">
            <v>59.27</v>
          </cell>
        </row>
        <row r="80">
          <cell r="AG80">
            <v>38455</v>
          </cell>
          <cell r="AH80">
            <v>59.28</v>
          </cell>
        </row>
        <row r="81">
          <cell r="AG81">
            <v>38456</v>
          </cell>
          <cell r="AH81">
            <v>59.19</v>
          </cell>
        </row>
        <row r="82">
          <cell r="AG82">
            <v>38457</v>
          </cell>
          <cell r="AH82">
            <v>59.13</v>
          </cell>
        </row>
        <row r="83">
          <cell r="AG83">
            <v>38460</v>
          </cell>
          <cell r="AH83">
            <v>59.08</v>
          </cell>
        </row>
        <row r="84">
          <cell r="AG84">
            <v>38461</v>
          </cell>
          <cell r="AH84">
            <v>59.05</v>
          </cell>
        </row>
        <row r="85">
          <cell r="AG85">
            <v>38462</v>
          </cell>
          <cell r="AH85">
            <v>59.04</v>
          </cell>
        </row>
        <row r="86">
          <cell r="AG86">
            <v>38463</v>
          </cell>
          <cell r="AH86">
            <v>58.91</v>
          </cell>
        </row>
        <row r="87">
          <cell r="AG87">
            <v>38464</v>
          </cell>
          <cell r="AH87">
            <v>58.86</v>
          </cell>
        </row>
        <row r="88">
          <cell r="AG88">
            <v>38467</v>
          </cell>
          <cell r="AH88">
            <v>58.84</v>
          </cell>
        </row>
        <row r="89">
          <cell r="AG89">
            <v>38468</v>
          </cell>
          <cell r="AH89">
            <v>58.89</v>
          </cell>
        </row>
        <row r="90">
          <cell r="AG90">
            <v>38469</v>
          </cell>
          <cell r="AH90">
            <v>58.95</v>
          </cell>
        </row>
        <row r="91">
          <cell r="AG91">
            <v>38470</v>
          </cell>
          <cell r="AH91">
            <v>59</v>
          </cell>
        </row>
        <row r="92">
          <cell r="AG92">
            <v>38471</v>
          </cell>
          <cell r="AH92">
            <v>58.96</v>
          </cell>
        </row>
        <row r="93">
          <cell r="AG93">
            <v>38475</v>
          </cell>
          <cell r="AH93">
            <v>59.04</v>
          </cell>
        </row>
        <row r="94">
          <cell r="AG94">
            <v>38476</v>
          </cell>
          <cell r="AH94">
            <v>59.08</v>
          </cell>
        </row>
        <row r="95">
          <cell r="AG95">
            <v>38477</v>
          </cell>
          <cell r="AH95">
            <v>59.21</v>
          </cell>
        </row>
        <row r="96">
          <cell r="AG96">
            <v>38478</v>
          </cell>
          <cell r="AH96">
            <v>59.35</v>
          </cell>
        </row>
        <row r="97">
          <cell r="AG97">
            <v>38481</v>
          </cell>
          <cell r="AH97">
            <v>59.46</v>
          </cell>
        </row>
        <row r="98">
          <cell r="AG98">
            <v>38482</v>
          </cell>
          <cell r="AH98">
            <v>59.55</v>
          </cell>
        </row>
        <row r="99">
          <cell r="AG99">
            <v>38483</v>
          </cell>
          <cell r="AH99">
            <v>59.56</v>
          </cell>
        </row>
        <row r="100">
          <cell r="AG100">
            <v>38484</v>
          </cell>
          <cell r="AH100">
            <v>59.66</v>
          </cell>
        </row>
        <row r="101">
          <cell r="AG101">
            <v>38485</v>
          </cell>
          <cell r="AH101">
            <v>59.77</v>
          </cell>
        </row>
        <row r="102">
          <cell r="AG102">
            <v>38488</v>
          </cell>
          <cell r="AH102">
            <v>59.85</v>
          </cell>
        </row>
        <row r="103">
          <cell r="AG103">
            <v>38489</v>
          </cell>
          <cell r="AH103">
            <v>59.92</v>
          </cell>
        </row>
        <row r="104">
          <cell r="AG104">
            <v>38490</v>
          </cell>
          <cell r="AH104">
            <v>60</v>
          </cell>
        </row>
        <row r="105">
          <cell r="AG105">
            <v>38491</v>
          </cell>
          <cell r="AH105">
            <v>60.21</v>
          </cell>
        </row>
        <row r="106">
          <cell r="AG106">
            <v>38492</v>
          </cell>
          <cell r="AH106">
            <v>60.32</v>
          </cell>
        </row>
        <row r="107">
          <cell r="AG107">
            <v>38495</v>
          </cell>
          <cell r="AH107">
            <v>60.34</v>
          </cell>
        </row>
        <row r="108">
          <cell r="AG108">
            <v>38496</v>
          </cell>
          <cell r="AH108">
            <v>60.49</v>
          </cell>
        </row>
        <row r="109">
          <cell r="AG109">
            <v>38497</v>
          </cell>
          <cell r="AH109">
            <v>60.57</v>
          </cell>
        </row>
        <row r="110">
          <cell r="AG110">
            <v>38498</v>
          </cell>
          <cell r="AH110">
            <v>60.6</v>
          </cell>
        </row>
        <row r="111">
          <cell r="AG111">
            <v>38499</v>
          </cell>
          <cell r="AH111">
            <v>60.7</v>
          </cell>
        </row>
        <row r="112">
          <cell r="AG112">
            <v>38502</v>
          </cell>
          <cell r="AH112">
            <v>60.74</v>
          </cell>
        </row>
        <row r="113">
          <cell r="AG113">
            <v>38503</v>
          </cell>
          <cell r="AH113">
            <v>60.91</v>
          </cell>
        </row>
        <row r="114">
          <cell r="AG114">
            <v>38504</v>
          </cell>
          <cell r="AH114">
            <v>60.93</v>
          </cell>
        </row>
        <row r="115">
          <cell r="AG115">
            <v>38505</v>
          </cell>
          <cell r="AH115">
            <v>60.95</v>
          </cell>
        </row>
        <row r="116">
          <cell r="AG116">
            <v>38506</v>
          </cell>
          <cell r="AH116">
            <v>61.04</v>
          </cell>
        </row>
        <row r="117">
          <cell r="AG117">
            <v>38509</v>
          </cell>
          <cell r="AH117">
            <v>61.09</v>
          </cell>
        </row>
        <row r="118">
          <cell r="AG118">
            <v>38510</v>
          </cell>
          <cell r="AH118">
            <v>61.03</v>
          </cell>
        </row>
        <row r="119">
          <cell r="AG119">
            <v>38511</v>
          </cell>
          <cell r="AH119">
            <v>61.2</v>
          </cell>
        </row>
        <row r="120">
          <cell r="AG120">
            <v>38512</v>
          </cell>
          <cell r="AH120">
            <v>61.27</v>
          </cell>
        </row>
        <row r="121">
          <cell r="AG121">
            <v>38513</v>
          </cell>
          <cell r="AH121">
            <v>61.42</v>
          </cell>
        </row>
        <row r="122">
          <cell r="AG122">
            <v>38516</v>
          </cell>
          <cell r="AH122">
            <v>61.42</v>
          </cell>
        </row>
        <row r="123">
          <cell r="AG123">
            <v>38517</v>
          </cell>
          <cell r="AH123">
            <v>61.47</v>
          </cell>
        </row>
        <row r="124">
          <cell r="AG124">
            <v>38518</v>
          </cell>
          <cell r="AH124">
            <v>61.55</v>
          </cell>
        </row>
        <row r="125">
          <cell r="AG125">
            <v>38519</v>
          </cell>
          <cell r="AH125">
            <v>61.64</v>
          </cell>
        </row>
        <row r="126">
          <cell r="AG126">
            <v>38520</v>
          </cell>
          <cell r="AH126">
            <v>61.77</v>
          </cell>
        </row>
        <row r="127">
          <cell r="AG127">
            <v>38523</v>
          </cell>
          <cell r="AH127">
            <v>61.81</v>
          </cell>
        </row>
        <row r="128">
          <cell r="AG128">
            <v>38524</v>
          </cell>
          <cell r="AH128">
            <v>61.82</v>
          </cell>
        </row>
        <row r="129">
          <cell r="AG129">
            <v>38525</v>
          </cell>
          <cell r="AH129">
            <v>61.89</v>
          </cell>
        </row>
        <row r="130">
          <cell r="AG130">
            <v>38526</v>
          </cell>
          <cell r="AH130">
            <v>62</v>
          </cell>
        </row>
        <row r="131">
          <cell r="AG131">
            <v>38527</v>
          </cell>
          <cell r="AH131">
            <v>62.06</v>
          </cell>
        </row>
        <row r="132">
          <cell r="AG132">
            <v>38530</v>
          </cell>
          <cell r="AH132">
            <v>62.08</v>
          </cell>
        </row>
        <row r="133">
          <cell r="AG133">
            <v>38531</v>
          </cell>
          <cell r="AH133">
            <v>62.11</v>
          </cell>
        </row>
        <row r="134">
          <cell r="AG134">
            <v>38532</v>
          </cell>
          <cell r="AH134">
            <v>62.06</v>
          </cell>
        </row>
        <row r="135">
          <cell r="AG135">
            <v>38533</v>
          </cell>
          <cell r="AH135">
            <v>62.07</v>
          </cell>
        </row>
        <row r="136">
          <cell r="AG136">
            <v>38534</v>
          </cell>
          <cell r="AH136">
            <v>62.07</v>
          </cell>
        </row>
        <row r="137">
          <cell r="AG137">
            <v>38537</v>
          </cell>
          <cell r="AH137">
            <v>60.58</v>
          </cell>
        </row>
        <row r="138">
          <cell r="AG138">
            <v>38538</v>
          </cell>
          <cell r="AH138">
            <v>60.56</v>
          </cell>
        </row>
        <row r="139">
          <cell r="AG139">
            <v>38539</v>
          </cell>
          <cell r="AH139">
            <v>60.58</v>
          </cell>
        </row>
        <row r="140">
          <cell r="AG140">
            <v>38540</v>
          </cell>
          <cell r="AH140">
            <v>60.57</v>
          </cell>
        </row>
        <row r="141">
          <cell r="AG141">
            <v>38541</v>
          </cell>
          <cell r="AH141">
            <v>61.2</v>
          </cell>
        </row>
        <row r="142">
          <cell r="AG142">
            <v>38544</v>
          </cell>
          <cell r="AH142">
            <v>61.3</v>
          </cell>
        </row>
        <row r="143">
          <cell r="AG143">
            <v>38545</v>
          </cell>
          <cell r="AH143">
            <v>61.42</v>
          </cell>
        </row>
        <row r="144">
          <cell r="AG144">
            <v>38546</v>
          </cell>
          <cell r="AH144">
            <v>61.45</v>
          </cell>
        </row>
        <row r="145">
          <cell r="AG145">
            <v>38547</v>
          </cell>
          <cell r="AH145">
            <v>61.47</v>
          </cell>
        </row>
        <row r="146">
          <cell r="AG146">
            <v>38548</v>
          </cell>
          <cell r="AH146">
            <v>61.51</v>
          </cell>
        </row>
        <row r="147">
          <cell r="AG147">
            <v>38552</v>
          </cell>
          <cell r="AH147">
            <v>61.52</v>
          </cell>
        </row>
        <row r="148">
          <cell r="AG148">
            <v>38553</v>
          </cell>
          <cell r="AH148">
            <v>61.58</v>
          </cell>
        </row>
        <row r="149">
          <cell r="AG149">
            <v>38554</v>
          </cell>
          <cell r="AH149">
            <v>61.61</v>
          </cell>
        </row>
        <row r="150">
          <cell r="AG150">
            <v>38555</v>
          </cell>
          <cell r="AH150">
            <v>61.63</v>
          </cell>
        </row>
        <row r="151">
          <cell r="AG151">
            <v>38558</v>
          </cell>
          <cell r="AH151">
            <v>61.62</v>
          </cell>
        </row>
        <row r="152">
          <cell r="AG152">
            <v>38559</v>
          </cell>
          <cell r="AH152">
            <v>61.55</v>
          </cell>
        </row>
        <row r="153">
          <cell r="AG153">
            <v>38560</v>
          </cell>
          <cell r="AH153">
            <v>61.33</v>
          </cell>
        </row>
        <row r="154">
          <cell r="AG154">
            <v>38561</v>
          </cell>
          <cell r="AH154">
            <v>61.3</v>
          </cell>
        </row>
        <row r="155">
          <cell r="AG155">
            <v>38562</v>
          </cell>
          <cell r="AH155">
            <v>61.28</v>
          </cell>
        </row>
        <row r="156">
          <cell r="AG156">
            <v>38565</v>
          </cell>
          <cell r="AH156">
            <v>61.29</v>
          </cell>
        </row>
        <row r="157">
          <cell r="AG157">
            <v>38566</v>
          </cell>
          <cell r="AH157">
            <v>61.36</v>
          </cell>
        </row>
        <row r="158">
          <cell r="AG158">
            <v>38567</v>
          </cell>
          <cell r="AH158">
            <v>61.44</v>
          </cell>
        </row>
        <row r="159">
          <cell r="AG159">
            <v>38568</v>
          </cell>
          <cell r="AH159">
            <v>61.44</v>
          </cell>
        </row>
        <row r="160">
          <cell r="AG160">
            <v>38572</v>
          </cell>
          <cell r="AH160">
            <v>61.37</v>
          </cell>
        </row>
        <row r="161">
          <cell r="AG161">
            <v>38573</v>
          </cell>
          <cell r="AH161">
            <v>61.28</v>
          </cell>
        </row>
        <row r="162">
          <cell r="AG162">
            <v>38574</v>
          </cell>
          <cell r="AH162">
            <v>61.26</v>
          </cell>
        </row>
        <row r="163">
          <cell r="AG163">
            <v>38575</v>
          </cell>
          <cell r="AH163">
            <v>61.3</v>
          </cell>
        </row>
        <row r="164">
          <cell r="AG164">
            <v>38576</v>
          </cell>
          <cell r="AH164">
            <v>64.39</v>
          </cell>
        </row>
        <row r="165">
          <cell r="AG165">
            <v>38579</v>
          </cell>
          <cell r="AH165">
            <v>64.400000000000006</v>
          </cell>
        </row>
        <row r="166">
          <cell r="AG166">
            <v>38580</v>
          </cell>
          <cell r="AH166">
            <v>64.400000000000006</v>
          </cell>
        </row>
        <row r="167">
          <cell r="AG167">
            <v>38581</v>
          </cell>
          <cell r="AH167">
            <v>64.37</v>
          </cell>
        </row>
        <row r="168">
          <cell r="AG168">
            <v>38582</v>
          </cell>
          <cell r="AH168">
            <v>64.319999999999993</v>
          </cell>
        </row>
        <row r="169">
          <cell r="AG169">
            <v>38583</v>
          </cell>
          <cell r="AH169">
            <v>64.25</v>
          </cell>
        </row>
        <row r="170">
          <cell r="AG170">
            <v>38586</v>
          </cell>
          <cell r="AH170">
            <v>64.25</v>
          </cell>
        </row>
        <row r="171">
          <cell r="AG171">
            <v>38587</v>
          </cell>
          <cell r="AH171">
            <v>64.25</v>
          </cell>
        </row>
        <row r="172">
          <cell r="AG172">
            <v>38588</v>
          </cell>
          <cell r="AH172">
            <v>64.23</v>
          </cell>
        </row>
        <row r="173">
          <cell r="AG173">
            <v>38589</v>
          </cell>
          <cell r="AH173">
            <v>64.239999999999995</v>
          </cell>
        </row>
        <row r="174">
          <cell r="AG174">
            <v>38590</v>
          </cell>
          <cell r="AH174">
            <v>64.239999999999995</v>
          </cell>
        </row>
        <row r="175">
          <cell r="AG175">
            <v>38593</v>
          </cell>
          <cell r="AH175">
            <v>64.19</v>
          </cell>
        </row>
        <row r="176">
          <cell r="AG176">
            <v>38594</v>
          </cell>
          <cell r="AH176">
            <v>64.12</v>
          </cell>
        </row>
        <row r="177">
          <cell r="AG177">
            <v>38595</v>
          </cell>
          <cell r="AH177">
            <v>64.209999999999994</v>
          </cell>
        </row>
        <row r="178">
          <cell r="AG178">
            <v>38597</v>
          </cell>
          <cell r="AH178">
            <v>64.209999999999994</v>
          </cell>
        </row>
        <row r="179">
          <cell r="AG179">
            <v>38600</v>
          </cell>
          <cell r="AH179">
            <v>64.2</v>
          </cell>
        </row>
        <row r="180">
          <cell r="AG180">
            <v>38601</v>
          </cell>
          <cell r="AH180">
            <v>64.2</v>
          </cell>
        </row>
        <row r="181">
          <cell r="AG181">
            <v>38602</v>
          </cell>
          <cell r="AH181">
            <v>64.209999999999994</v>
          </cell>
        </row>
        <row r="182">
          <cell r="AG182">
            <v>38603</v>
          </cell>
          <cell r="AH182">
            <v>64.22</v>
          </cell>
        </row>
        <row r="183">
          <cell r="AG183">
            <v>38604</v>
          </cell>
          <cell r="AH183">
            <v>64.180000000000007</v>
          </cell>
        </row>
        <row r="184">
          <cell r="AG184">
            <v>38607</v>
          </cell>
          <cell r="AH184">
            <v>64.44</v>
          </cell>
        </row>
        <row r="185">
          <cell r="AG185">
            <v>38608</v>
          </cell>
          <cell r="AH185">
            <v>64.459999999999994</v>
          </cell>
        </row>
        <row r="186">
          <cell r="AG186">
            <v>38609</v>
          </cell>
          <cell r="AH186">
            <v>64.53</v>
          </cell>
        </row>
        <row r="187">
          <cell r="AG187">
            <v>38610</v>
          </cell>
          <cell r="AH187">
            <v>64.599999999999994</v>
          </cell>
        </row>
        <row r="188">
          <cell r="AG188">
            <v>38611</v>
          </cell>
          <cell r="AH188">
            <v>64.55</v>
          </cell>
        </row>
        <row r="189">
          <cell r="AG189">
            <v>38614</v>
          </cell>
          <cell r="AH189">
            <v>64.56</v>
          </cell>
        </row>
        <row r="190">
          <cell r="AG190">
            <v>38615</v>
          </cell>
          <cell r="AH190">
            <v>64.599999999999994</v>
          </cell>
        </row>
        <row r="191">
          <cell r="AG191">
            <v>38616</v>
          </cell>
          <cell r="AH191">
            <v>64.61</v>
          </cell>
        </row>
        <row r="192">
          <cell r="AG192">
            <v>38617</v>
          </cell>
          <cell r="AH192">
            <v>64.489999999999995</v>
          </cell>
        </row>
        <row r="193">
          <cell r="AG193">
            <v>38618</v>
          </cell>
          <cell r="AH193">
            <v>64.42</v>
          </cell>
        </row>
        <row r="194">
          <cell r="AG194">
            <v>38621</v>
          </cell>
          <cell r="AH194">
            <v>64.33</v>
          </cell>
        </row>
        <row r="195">
          <cell r="AG195">
            <v>38622</v>
          </cell>
          <cell r="AH195">
            <v>64.33</v>
          </cell>
        </row>
        <row r="196">
          <cell r="AG196">
            <v>38623</v>
          </cell>
          <cell r="AH196">
            <v>64.319999999999993</v>
          </cell>
        </row>
        <row r="197">
          <cell r="AG197">
            <v>38624</v>
          </cell>
          <cell r="AH197">
            <v>64.349999999999994</v>
          </cell>
        </row>
        <row r="198">
          <cell r="AG198">
            <v>38625</v>
          </cell>
          <cell r="AH198">
            <v>64.41</v>
          </cell>
        </row>
        <row r="199">
          <cell r="AG199">
            <v>38628</v>
          </cell>
          <cell r="AH199">
            <v>64.42</v>
          </cell>
        </row>
        <row r="200">
          <cell r="AG200">
            <v>38629</v>
          </cell>
          <cell r="AH200">
            <v>64.569999999999993</v>
          </cell>
        </row>
        <row r="201">
          <cell r="AG201">
            <v>38630</v>
          </cell>
          <cell r="AH201">
            <v>64.739999999999995</v>
          </cell>
        </row>
        <row r="202">
          <cell r="AG202">
            <v>38631</v>
          </cell>
          <cell r="AH202">
            <v>64.75</v>
          </cell>
        </row>
        <row r="203">
          <cell r="AG203">
            <v>38632</v>
          </cell>
          <cell r="AH203">
            <v>64.790000000000006</v>
          </cell>
        </row>
        <row r="204">
          <cell r="AG204">
            <v>38636</v>
          </cell>
          <cell r="AH204">
            <v>64.77</v>
          </cell>
        </row>
        <row r="205">
          <cell r="AG205">
            <v>38637</v>
          </cell>
          <cell r="AH205">
            <v>64.69</v>
          </cell>
        </row>
        <row r="206">
          <cell r="AG206">
            <v>38638</v>
          </cell>
          <cell r="AH206">
            <v>64.61</v>
          </cell>
        </row>
        <row r="207">
          <cell r="AG207">
            <v>38639</v>
          </cell>
          <cell r="AH207">
            <v>64.52</v>
          </cell>
        </row>
        <row r="208">
          <cell r="AG208">
            <v>38642</v>
          </cell>
          <cell r="AH208">
            <v>64.45</v>
          </cell>
        </row>
        <row r="209">
          <cell r="AG209">
            <v>38643</v>
          </cell>
          <cell r="AH209">
            <v>64.45</v>
          </cell>
        </row>
        <row r="210">
          <cell r="AG210">
            <v>38644</v>
          </cell>
          <cell r="AH210">
            <v>64.36</v>
          </cell>
        </row>
        <row r="211">
          <cell r="AG211">
            <v>38645</v>
          </cell>
          <cell r="AH211">
            <v>64.27</v>
          </cell>
        </row>
        <row r="212">
          <cell r="AG212">
            <v>38646</v>
          </cell>
          <cell r="AH212">
            <v>64.239999999999995</v>
          </cell>
        </row>
        <row r="213">
          <cell r="AG213">
            <v>38649</v>
          </cell>
          <cell r="AH213">
            <v>64.28</v>
          </cell>
        </row>
        <row r="214">
          <cell r="AG214">
            <v>38650</v>
          </cell>
          <cell r="AH214">
            <v>64.33</v>
          </cell>
        </row>
        <row r="215">
          <cell r="AG215">
            <v>38651</v>
          </cell>
          <cell r="AH215">
            <v>64.38</v>
          </cell>
        </row>
        <row r="216">
          <cell r="AG216">
            <v>38652</v>
          </cell>
          <cell r="AH216">
            <v>64.36</v>
          </cell>
        </row>
        <row r="217">
          <cell r="AG217">
            <v>38653</v>
          </cell>
          <cell r="AH217">
            <v>64.349999999999994</v>
          </cell>
        </row>
        <row r="218">
          <cell r="AG218">
            <v>38656</v>
          </cell>
          <cell r="AH218">
            <v>64.47</v>
          </cell>
        </row>
        <row r="219">
          <cell r="AG219">
            <v>38657</v>
          </cell>
          <cell r="AH219">
            <v>64.510000000000005</v>
          </cell>
        </row>
        <row r="220">
          <cell r="AG220">
            <v>38658</v>
          </cell>
          <cell r="AH220">
            <v>64.569999999999993</v>
          </cell>
        </row>
        <row r="221">
          <cell r="AG221">
            <v>38659</v>
          </cell>
          <cell r="AH221">
            <v>64.7</v>
          </cell>
        </row>
        <row r="222">
          <cell r="AG222">
            <v>38660</v>
          </cell>
          <cell r="AH222">
            <v>64.89</v>
          </cell>
        </row>
        <row r="223">
          <cell r="AG223">
            <v>38663</v>
          </cell>
          <cell r="AH223">
            <v>64.989999999999995</v>
          </cell>
        </row>
        <row r="224">
          <cell r="AG224">
            <v>38664</v>
          </cell>
          <cell r="AH224">
            <v>65.09</v>
          </cell>
        </row>
        <row r="225">
          <cell r="AG225">
            <v>38665</v>
          </cell>
          <cell r="AH225">
            <v>65.28</v>
          </cell>
        </row>
        <row r="226">
          <cell r="AG226">
            <v>38666</v>
          </cell>
          <cell r="AH226">
            <v>65.459999999999994</v>
          </cell>
        </row>
        <row r="227">
          <cell r="AG227">
            <v>38667</v>
          </cell>
          <cell r="AH227">
            <v>65.73</v>
          </cell>
        </row>
        <row r="228">
          <cell r="AG228">
            <v>38670</v>
          </cell>
          <cell r="AH228">
            <v>65.87</v>
          </cell>
        </row>
        <row r="229">
          <cell r="AG229">
            <v>38671</v>
          </cell>
          <cell r="AH229">
            <v>65.98</v>
          </cell>
        </row>
        <row r="230">
          <cell r="AG230">
            <v>38672</v>
          </cell>
          <cell r="AH230">
            <v>66.069999999999993</v>
          </cell>
        </row>
        <row r="231">
          <cell r="AG231">
            <v>38673</v>
          </cell>
          <cell r="AH231">
            <v>66.08</v>
          </cell>
        </row>
        <row r="232">
          <cell r="AG232">
            <v>38674</v>
          </cell>
          <cell r="AH232">
            <v>66.23</v>
          </cell>
        </row>
        <row r="233">
          <cell r="AG233">
            <v>38677</v>
          </cell>
          <cell r="AH233">
            <v>66.430000000000007</v>
          </cell>
        </row>
        <row r="234">
          <cell r="AG234">
            <v>38678</v>
          </cell>
          <cell r="AH234">
            <v>66.510000000000005</v>
          </cell>
        </row>
        <row r="235">
          <cell r="AG235">
            <v>38679</v>
          </cell>
          <cell r="AH235">
            <v>66.760000000000005</v>
          </cell>
        </row>
        <row r="236">
          <cell r="AG236">
            <v>38680</v>
          </cell>
          <cell r="AH236">
            <v>66.930000000000007</v>
          </cell>
        </row>
        <row r="237">
          <cell r="AG237">
            <v>38681</v>
          </cell>
          <cell r="AH237">
            <v>66.95</v>
          </cell>
        </row>
        <row r="238">
          <cell r="AG238">
            <v>38684</v>
          </cell>
          <cell r="AH238">
            <v>67.02</v>
          </cell>
        </row>
        <row r="239">
          <cell r="AG239">
            <v>38685</v>
          </cell>
          <cell r="AH239">
            <v>67.03</v>
          </cell>
        </row>
        <row r="240">
          <cell r="AG240">
            <v>38686</v>
          </cell>
          <cell r="AH240">
            <v>67.09</v>
          </cell>
        </row>
        <row r="241">
          <cell r="AG241">
            <v>38687</v>
          </cell>
          <cell r="AH241">
            <v>67.16</v>
          </cell>
        </row>
        <row r="242">
          <cell r="AG242">
            <v>38688</v>
          </cell>
          <cell r="AH242">
            <v>67.31</v>
          </cell>
        </row>
        <row r="243">
          <cell r="AG243">
            <v>38691</v>
          </cell>
          <cell r="AH243">
            <v>67.41</v>
          </cell>
        </row>
        <row r="244">
          <cell r="AG244">
            <v>38692</v>
          </cell>
          <cell r="AH244">
            <v>67.540000000000006</v>
          </cell>
        </row>
        <row r="245">
          <cell r="AG245">
            <v>38693</v>
          </cell>
          <cell r="AH245">
            <v>67.58</v>
          </cell>
        </row>
        <row r="246">
          <cell r="AG246">
            <v>38694</v>
          </cell>
          <cell r="AH246">
            <v>67.63</v>
          </cell>
        </row>
        <row r="247">
          <cell r="AG247">
            <v>38695</v>
          </cell>
          <cell r="AH247">
            <v>67.59</v>
          </cell>
        </row>
        <row r="248">
          <cell r="AG248">
            <v>38698</v>
          </cell>
          <cell r="AH248">
            <v>67.58</v>
          </cell>
        </row>
        <row r="249">
          <cell r="AG249">
            <v>38699</v>
          </cell>
          <cell r="AH249">
            <v>67.62</v>
          </cell>
        </row>
        <row r="250">
          <cell r="AG250">
            <v>38700</v>
          </cell>
          <cell r="AH250">
            <v>67.650000000000006</v>
          </cell>
        </row>
        <row r="251">
          <cell r="AG251">
            <v>38701</v>
          </cell>
          <cell r="AH251">
            <v>67.650000000000006</v>
          </cell>
        </row>
        <row r="252">
          <cell r="AG252">
            <v>38702</v>
          </cell>
          <cell r="AH252">
            <v>67.73</v>
          </cell>
        </row>
        <row r="253">
          <cell r="AG253">
            <v>38705</v>
          </cell>
          <cell r="AH253">
            <v>67.78</v>
          </cell>
        </row>
        <row r="254">
          <cell r="AG254">
            <v>38706</v>
          </cell>
          <cell r="AH254">
            <v>67.819999999999993</v>
          </cell>
        </row>
        <row r="255">
          <cell r="AG255">
            <v>38707</v>
          </cell>
          <cell r="AH255">
            <v>67.89</v>
          </cell>
        </row>
        <row r="256">
          <cell r="AG256">
            <v>38708</v>
          </cell>
          <cell r="AH256">
            <v>67.91</v>
          </cell>
        </row>
        <row r="257">
          <cell r="AG257">
            <v>38709</v>
          </cell>
          <cell r="AH257">
            <v>67.98</v>
          </cell>
        </row>
        <row r="258">
          <cell r="AG258">
            <v>38712</v>
          </cell>
          <cell r="AH258">
            <v>68</v>
          </cell>
        </row>
        <row r="259">
          <cell r="AG259">
            <v>38713</v>
          </cell>
          <cell r="AH259">
            <v>68.05</v>
          </cell>
        </row>
        <row r="260">
          <cell r="AG260">
            <v>38714</v>
          </cell>
          <cell r="AH260">
            <v>75.87</v>
          </cell>
        </row>
        <row r="261">
          <cell r="AG261">
            <v>38715</v>
          </cell>
          <cell r="AH261">
            <v>75.88</v>
          </cell>
        </row>
        <row r="262">
          <cell r="AG262">
            <v>38716</v>
          </cell>
          <cell r="AH262">
            <v>75.88</v>
          </cell>
        </row>
        <row r="263">
          <cell r="AG263">
            <v>38719</v>
          </cell>
          <cell r="AH263">
            <v>75.88</v>
          </cell>
        </row>
        <row r="264">
          <cell r="AG264">
            <v>38720</v>
          </cell>
          <cell r="AH264">
            <v>75.88</v>
          </cell>
        </row>
        <row r="265">
          <cell r="AG265">
            <v>38721</v>
          </cell>
          <cell r="AH265">
            <v>75.97</v>
          </cell>
        </row>
        <row r="266">
          <cell r="AG266">
            <v>38722</v>
          </cell>
          <cell r="AH266">
            <v>76.02</v>
          </cell>
        </row>
        <row r="267">
          <cell r="AG267">
            <v>38723</v>
          </cell>
          <cell r="AH267">
            <v>76.11</v>
          </cell>
        </row>
        <row r="268">
          <cell r="AG268">
            <v>38726</v>
          </cell>
          <cell r="AH268">
            <v>76.2</v>
          </cell>
        </row>
        <row r="269">
          <cell r="AG269">
            <v>38727</v>
          </cell>
          <cell r="AH269">
            <v>76.180000000000007</v>
          </cell>
        </row>
        <row r="270">
          <cell r="AG270">
            <v>38728</v>
          </cell>
          <cell r="AH270">
            <v>76.12</v>
          </cell>
        </row>
        <row r="271">
          <cell r="AG271">
            <v>38729</v>
          </cell>
          <cell r="AH271">
            <v>76.180000000000007</v>
          </cell>
        </row>
        <row r="272">
          <cell r="AG272">
            <v>38730</v>
          </cell>
          <cell r="AH272">
            <v>76.13</v>
          </cell>
        </row>
        <row r="273">
          <cell r="AG273">
            <v>38733</v>
          </cell>
          <cell r="AH273">
            <v>76.08</v>
          </cell>
        </row>
        <row r="274">
          <cell r="AG274">
            <v>38734</v>
          </cell>
          <cell r="AH274">
            <v>76.11</v>
          </cell>
        </row>
        <row r="275">
          <cell r="AG275">
            <v>38735</v>
          </cell>
          <cell r="AH275">
            <v>75.98</v>
          </cell>
        </row>
        <row r="276">
          <cell r="AG276">
            <v>38736</v>
          </cell>
          <cell r="AH276">
            <v>75.97</v>
          </cell>
        </row>
        <row r="277">
          <cell r="AG277">
            <v>38737</v>
          </cell>
          <cell r="AH277">
            <v>75.98</v>
          </cell>
        </row>
        <row r="278">
          <cell r="AG278">
            <v>38740</v>
          </cell>
          <cell r="AH278">
            <v>75.94</v>
          </cell>
        </row>
        <row r="279">
          <cell r="AG279">
            <v>38741</v>
          </cell>
          <cell r="AH279">
            <v>75.900000000000006</v>
          </cell>
        </row>
        <row r="280">
          <cell r="AG280">
            <v>38742</v>
          </cell>
          <cell r="AH280">
            <v>75.95</v>
          </cell>
        </row>
        <row r="281">
          <cell r="AG281">
            <v>38751</v>
          </cell>
          <cell r="AH281">
            <v>75.930000000000007</v>
          </cell>
        </row>
        <row r="282">
          <cell r="AG282">
            <v>38754</v>
          </cell>
          <cell r="AH282">
            <v>75.92</v>
          </cell>
        </row>
        <row r="283">
          <cell r="AG283">
            <v>38755</v>
          </cell>
          <cell r="AH283">
            <v>76</v>
          </cell>
        </row>
        <row r="284">
          <cell r="AG284">
            <v>38756</v>
          </cell>
          <cell r="AH284">
            <v>76.010000000000005</v>
          </cell>
        </row>
        <row r="285">
          <cell r="AG285">
            <v>38757</v>
          </cell>
          <cell r="AH285">
            <v>76.010000000000005</v>
          </cell>
        </row>
        <row r="286">
          <cell r="AG286">
            <v>38758</v>
          </cell>
          <cell r="AH286">
            <v>75.989999999999995</v>
          </cell>
        </row>
        <row r="287">
          <cell r="AG287">
            <v>38761</v>
          </cell>
          <cell r="AH287">
            <v>75.989999999999995</v>
          </cell>
        </row>
        <row r="288">
          <cell r="AG288">
            <v>38762</v>
          </cell>
          <cell r="AH288">
            <v>75.900000000000006</v>
          </cell>
        </row>
        <row r="289">
          <cell r="AG289">
            <v>38763</v>
          </cell>
          <cell r="AH289">
            <v>75.83</v>
          </cell>
        </row>
        <row r="290">
          <cell r="AG290">
            <v>38764</v>
          </cell>
          <cell r="AH290">
            <v>75.8</v>
          </cell>
        </row>
        <row r="291">
          <cell r="AG291">
            <v>38765</v>
          </cell>
          <cell r="AH291">
            <v>75.75</v>
          </cell>
        </row>
        <row r="292">
          <cell r="AG292">
            <v>38768</v>
          </cell>
          <cell r="AH292">
            <v>75.760000000000005</v>
          </cell>
        </row>
        <row r="293">
          <cell r="AG293">
            <v>38769</v>
          </cell>
          <cell r="AH293">
            <v>75.73</v>
          </cell>
        </row>
        <row r="294">
          <cell r="AG294">
            <v>38770</v>
          </cell>
          <cell r="AH294">
            <v>75.709999999999994</v>
          </cell>
        </row>
        <row r="295">
          <cell r="AG295">
            <v>38771</v>
          </cell>
          <cell r="AH295">
            <v>75.650000000000006</v>
          </cell>
        </row>
        <row r="296">
          <cell r="AG296">
            <v>38772</v>
          </cell>
          <cell r="AH296">
            <v>75.64</v>
          </cell>
        </row>
        <row r="297">
          <cell r="AG297">
            <v>38775</v>
          </cell>
          <cell r="AH297">
            <v>75.599999999999994</v>
          </cell>
        </row>
        <row r="298">
          <cell r="AG298">
            <v>38777</v>
          </cell>
          <cell r="AH298">
            <v>75.5</v>
          </cell>
        </row>
        <row r="299">
          <cell r="AG299">
            <v>38778</v>
          </cell>
          <cell r="AH299">
            <v>75.62</v>
          </cell>
        </row>
        <row r="300">
          <cell r="AG300">
            <v>38779</v>
          </cell>
          <cell r="AH300">
            <v>75.63</v>
          </cell>
        </row>
        <row r="301">
          <cell r="AG301">
            <v>38782</v>
          </cell>
          <cell r="AH301">
            <v>75.61</v>
          </cell>
        </row>
        <row r="302">
          <cell r="AG302">
            <v>38783</v>
          </cell>
          <cell r="AH302">
            <v>75.510000000000005</v>
          </cell>
        </row>
        <row r="303">
          <cell r="AG303">
            <v>38784</v>
          </cell>
          <cell r="AH303">
            <v>75.400000000000006</v>
          </cell>
        </row>
        <row r="304">
          <cell r="AG304">
            <v>38785</v>
          </cell>
          <cell r="AH304">
            <v>75.400000000000006</v>
          </cell>
        </row>
        <row r="305">
          <cell r="AG305">
            <v>38786</v>
          </cell>
          <cell r="AH305">
            <v>75.47</v>
          </cell>
        </row>
        <row r="306">
          <cell r="AG306">
            <v>38789</v>
          </cell>
          <cell r="AH306">
            <v>75.47</v>
          </cell>
        </row>
        <row r="307">
          <cell r="AG307">
            <v>38790</v>
          </cell>
          <cell r="AH307">
            <v>75.400000000000006</v>
          </cell>
        </row>
        <row r="308">
          <cell r="AG308">
            <v>38791</v>
          </cell>
          <cell r="AH308">
            <v>75.430000000000007</v>
          </cell>
        </row>
        <row r="309">
          <cell r="AG309">
            <v>38792</v>
          </cell>
          <cell r="AH309">
            <v>75.459999999999994</v>
          </cell>
        </row>
        <row r="310">
          <cell r="AG310">
            <v>38793</v>
          </cell>
          <cell r="AH310">
            <v>75.400000000000006</v>
          </cell>
        </row>
        <row r="311">
          <cell r="AG311">
            <v>38796</v>
          </cell>
          <cell r="AH311">
            <v>75.36</v>
          </cell>
        </row>
        <row r="312">
          <cell r="AG312">
            <v>38797</v>
          </cell>
          <cell r="AH312">
            <v>75.33</v>
          </cell>
        </row>
        <row r="313">
          <cell r="AG313">
            <v>38798</v>
          </cell>
          <cell r="AH313">
            <v>75.25</v>
          </cell>
        </row>
        <row r="314">
          <cell r="AG314">
            <v>38799</v>
          </cell>
          <cell r="AH314">
            <v>75.2</v>
          </cell>
        </row>
        <row r="315">
          <cell r="AG315">
            <v>38800</v>
          </cell>
          <cell r="AH315">
            <v>75.19</v>
          </cell>
        </row>
        <row r="316">
          <cell r="AG316">
            <v>38803</v>
          </cell>
          <cell r="AH316">
            <v>75.209999999999994</v>
          </cell>
        </row>
        <row r="317">
          <cell r="AG317">
            <v>38804</v>
          </cell>
          <cell r="AH317">
            <v>75.28</v>
          </cell>
        </row>
        <row r="318">
          <cell r="AG318">
            <v>38805</v>
          </cell>
          <cell r="AH318">
            <v>75.31</v>
          </cell>
        </row>
        <row r="319">
          <cell r="AG319">
            <v>38806</v>
          </cell>
          <cell r="AH319">
            <v>75.45</v>
          </cell>
        </row>
        <row r="320">
          <cell r="AG320">
            <v>38807</v>
          </cell>
          <cell r="AH320">
            <v>75.67</v>
          </cell>
        </row>
        <row r="321">
          <cell r="AG321">
            <v>38810</v>
          </cell>
          <cell r="AH321">
            <v>75.739999999999995</v>
          </cell>
        </row>
        <row r="322">
          <cell r="AG322">
            <v>38811</v>
          </cell>
          <cell r="AH322">
            <v>75.77</v>
          </cell>
        </row>
        <row r="323">
          <cell r="AG323">
            <v>38813</v>
          </cell>
          <cell r="AH323">
            <v>75.87</v>
          </cell>
        </row>
        <row r="324">
          <cell r="AG324">
            <v>38814</v>
          </cell>
          <cell r="AH324">
            <v>76.06</v>
          </cell>
        </row>
        <row r="325">
          <cell r="AG325">
            <v>38817</v>
          </cell>
          <cell r="AH325">
            <v>76.150000000000006</v>
          </cell>
        </row>
        <row r="326">
          <cell r="AG326">
            <v>38818</v>
          </cell>
          <cell r="AH326">
            <v>76.150000000000006</v>
          </cell>
        </row>
        <row r="327">
          <cell r="AG327">
            <v>38819</v>
          </cell>
          <cell r="AH327">
            <v>76.2</v>
          </cell>
        </row>
        <row r="328">
          <cell r="AG328">
            <v>38820</v>
          </cell>
          <cell r="AH328">
            <v>76.23</v>
          </cell>
        </row>
        <row r="329">
          <cell r="AG329">
            <v>38821</v>
          </cell>
          <cell r="AH329">
            <v>76.33</v>
          </cell>
        </row>
        <row r="330">
          <cell r="AG330">
            <v>38824</v>
          </cell>
          <cell r="AH330">
            <v>76.400000000000006</v>
          </cell>
        </row>
        <row r="331">
          <cell r="AG331">
            <v>38825</v>
          </cell>
          <cell r="AH331">
            <v>76.459999999999994</v>
          </cell>
        </row>
        <row r="332">
          <cell r="AG332">
            <v>38826</v>
          </cell>
          <cell r="AH332">
            <v>76.61</v>
          </cell>
        </row>
        <row r="333">
          <cell r="AG333">
            <v>38827</v>
          </cell>
          <cell r="AH333">
            <v>76.680000000000007</v>
          </cell>
        </row>
        <row r="334">
          <cell r="AG334">
            <v>38828</v>
          </cell>
          <cell r="AH334">
            <v>76.69</v>
          </cell>
        </row>
        <row r="335">
          <cell r="AG335">
            <v>38831</v>
          </cell>
          <cell r="AH335">
            <v>76.650000000000006</v>
          </cell>
        </row>
        <row r="336">
          <cell r="AG336">
            <v>38832</v>
          </cell>
          <cell r="AH336">
            <v>76.62</v>
          </cell>
        </row>
        <row r="337">
          <cell r="AG337">
            <v>38833</v>
          </cell>
          <cell r="AH337">
            <v>76.62</v>
          </cell>
        </row>
        <row r="338">
          <cell r="AG338">
            <v>38834</v>
          </cell>
          <cell r="AH338">
            <v>76.569999999999993</v>
          </cell>
        </row>
        <row r="339">
          <cell r="AG339">
            <v>38835</v>
          </cell>
          <cell r="AH339">
            <v>76.569999999999993</v>
          </cell>
        </row>
        <row r="340">
          <cell r="AG340">
            <v>38839</v>
          </cell>
          <cell r="AH340">
            <v>76.53</v>
          </cell>
        </row>
        <row r="341">
          <cell r="AG341">
            <v>38840</v>
          </cell>
          <cell r="AH341">
            <v>76.52</v>
          </cell>
        </row>
        <row r="342">
          <cell r="AG342">
            <v>38841</v>
          </cell>
          <cell r="AH342">
            <v>76.55</v>
          </cell>
        </row>
        <row r="343">
          <cell r="AG343">
            <v>38842</v>
          </cell>
          <cell r="AH343">
            <v>76.56</v>
          </cell>
        </row>
        <row r="344">
          <cell r="AG344">
            <v>38845</v>
          </cell>
          <cell r="AH344">
            <v>76.59</v>
          </cell>
        </row>
        <row r="345">
          <cell r="AG345">
            <v>38846</v>
          </cell>
          <cell r="AH345">
            <v>76.59</v>
          </cell>
        </row>
        <row r="346">
          <cell r="AG346">
            <v>38847</v>
          </cell>
          <cell r="AH346">
            <v>76.47</v>
          </cell>
        </row>
        <row r="347">
          <cell r="AG347">
            <v>38848</v>
          </cell>
          <cell r="AH347">
            <v>76.430000000000007</v>
          </cell>
        </row>
        <row r="348">
          <cell r="AG348">
            <v>38849</v>
          </cell>
          <cell r="AH348">
            <v>73.930000000000007</v>
          </cell>
        </row>
        <row r="349">
          <cell r="AG349">
            <v>38852</v>
          </cell>
          <cell r="AH349">
            <v>73.77</v>
          </cell>
        </row>
        <row r="350">
          <cell r="AG350">
            <v>38853</v>
          </cell>
          <cell r="AH350">
            <v>73.61</v>
          </cell>
        </row>
        <row r="351">
          <cell r="AG351">
            <v>38854</v>
          </cell>
          <cell r="AH351">
            <v>73.58</v>
          </cell>
        </row>
        <row r="352">
          <cell r="AG352">
            <v>38855</v>
          </cell>
          <cell r="AH352">
            <v>73.45</v>
          </cell>
        </row>
        <row r="353">
          <cell r="AG353">
            <v>38856</v>
          </cell>
          <cell r="AH353">
            <v>73.39</v>
          </cell>
        </row>
        <row r="354">
          <cell r="AG354">
            <v>38859</v>
          </cell>
          <cell r="AH354">
            <v>73.25</v>
          </cell>
        </row>
        <row r="355">
          <cell r="AG355">
            <v>38860</v>
          </cell>
          <cell r="AH355">
            <v>73.19</v>
          </cell>
        </row>
        <row r="356">
          <cell r="AG356">
            <v>38861</v>
          </cell>
          <cell r="AH356">
            <v>73.150000000000006</v>
          </cell>
        </row>
        <row r="357">
          <cell r="AG357">
            <v>38862</v>
          </cell>
          <cell r="AH357">
            <v>73.040000000000006</v>
          </cell>
        </row>
        <row r="358">
          <cell r="AG358">
            <v>38863</v>
          </cell>
          <cell r="AH358">
            <v>72.89</v>
          </cell>
        </row>
        <row r="359">
          <cell r="AG359">
            <v>38866</v>
          </cell>
          <cell r="AH359">
            <v>72.88</v>
          </cell>
        </row>
        <row r="360">
          <cell r="AG360">
            <v>38867</v>
          </cell>
          <cell r="AH360">
            <v>72.849999999999994</v>
          </cell>
        </row>
        <row r="361">
          <cell r="AG361">
            <v>38869</v>
          </cell>
          <cell r="AH361">
            <v>72.89</v>
          </cell>
        </row>
        <row r="362">
          <cell r="AG362">
            <v>38870</v>
          </cell>
          <cell r="AH362">
            <v>72.91</v>
          </cell>
        </row>
        <row r="363">
          <cell r="AG363">
            <v>38873</v>
          </cell>
          <cell r="AH363">
            <v>72.91</v>
          </cell>
        </row>
        <row r="364">
          <cell r="AG364">
            <v>38874</v>
          </cell>
          <cell r="AH364">
            <v>72.87</v>
          </cell>
        </row>
        <row r="365">
          <cell r="AG365">
            <v>38875</v>
          </cell>
          <cell r="AH365">
            <v>72.83</v>
          </cell>
        </row>
        <row r="366">
          <cell r="AG366">
            <v>38876</v>
          </cell>
          <cell r="AH366">
            <v>72.650000000000006</v>
          </cell>
        </row>
        <row r="367">
          <cell r="AG367">
            <v>38877</v>
          </cell>
          <cell r="AH367">
            <v>72.58</v>
          </cell>
        </row>
        <row r="368">
          <cell r="AG368">
            <v>38880</v>
          </cell>
          <cell r="AH368">
            <v>72.52</v>
          </cell>
        </row>
        <row r="369">
          <cell r="AG369">
            <v>38881</v>
          </cell>
          <cell r="AH369">
            <v>72.400000000000006</v>
          </cell>
        </row>
        <row r="370">
          <cell r="AG370">
            <v>38882</v>
          </cell>
          <cell r="AH370">
            <v>72.400000000000006</v>
          </cell>
        </row>
        <row r="371">
          <cell r="AG371">
            <v>38883</v>
          </cell>
          <cell r="AH371">
            <v>72.34</v>
          </cell>
        </row>
        <row r="372">
          <cell r="AG372">
            <v>38884</v>
          </cell>
          <cell r="AH372">
            <v>72.47</v>
          </cell>
        </row>
        <row r="373">
          <cell r="AG373">
            <v>38887</v>
          </cell>
          <cell r="AH373">
            <v>72.58</v>
          </cell>
        </row>
        <row r="374">
          <cell r="AG374">
            <v>38888</v>
          </cell>
          <cell r="AH374">
            <v>72.430000000000007</v>
          </cell>
        </row>
        <row r="375">
          <cell r="AG375">
            <v>38889</v>
          </cell>
          <cell r="AH375">
            <v>72.42</v>
          </cell>
        </row>
        <row r="376">
          <cell r="AG376">
            <v>38890</v>
          </cell>
          <cell r="AH376">
            <v>72.47</v>
          </cell>
        </row>
        <row r="377">
          <cell r="AG377">
            <v>38891</v>
          </cell>
          <cell r="AH377">
            <v>72.430000000000007</v>
          </cell>
        </row>
        <row r="378">
          <cell r="AG378">
            <v>38894</v>
          </cell>
          <cell r="AH378">
            <v>72.44</v>
          </cell>
        </row>
        <row r="379">
          <cell r="AG379">
            <v>38895</v>
          </cell>
          <cell r="AH379">
            <v>72.44</v>
          </cell>
        </row>
        <row r="380">
          <cell r="AG380">
            <v>38896</v>
          </cell>
          <cell r="AH380">
            <v>72.34</v>
          </cell>
        </row>
        <row r="381">
          <cell r="AG381">
            <v>38897</v>
          </cell>
          <cell r="AH381">
            <v>72.36</v>
          </cell>
        </row>
        <row r="382">
          <cell r="AG382">
            <v>38898</v>
          </cell>
          <cell r="AH382">
            <v>72.569999999999993</v>
          </cell>
        </row>
        <row r="383">
          <cell r="AG383">
            <v>38901</v>
          </cell>
          <cell r="AH383">
            <v>72.63</v>
          </cell>
        </row>
        <row r="384">
          <cell r="AG384">
            <v>38902</v>
          </cell>
          <cell r="AH384">
            <v>72.7</v>
          </cell>
        </row>
        <row r="385">
          <cell r="AG385">
            <v>38903</v>
          </cell>
          <cell r="AH385">
            <v>72.709999999999994</v>
          </cell>
        </row>
        <row r="386">
          <cell r="AG386">
            <v>38904</v>
          </cell>
          <cell r="AH386">
            <v>72.66</v>
          </cell>
        </row>
        <row r="387">
          <cell r="AG387">
            <v>38905</v>
          </cell>
          <cell r="AH387">
            <v>72.62</v>
          </cell>
        </row>
        <row r="388">
          <cell r="AG388">
            <v>38908</v>
          </cell>
          <cell r="AH388">
            <v>71.209999999999994</v>
          </cell>
        </row>
        <row r="389">
          <cell r="AG389">
            <v>38909</v>
          </cell>
          <cell r="AH389">
            <v>71.2</v>
          </cell>
        </row>
        <row r="390">
          <cell r="AG390">
            <v>38910</v>
          </cell>
          <cell r="AH390">
            <v>71.290000000000006</v>
          </cell>
        </row>
        <row r="391">
          <cell r="AG391">
            <v>38911</v>
          </cell>
          <cell r="AH391">
            <v>71.25</v>
          </cell>
        </row>
        <row r="392">
          <cell r="AG392">
            <v>38912</v>
          </cell>
          <cell r="AH392">
            <v>71.17</v>
          </cell>
        </row>
        <row r="393">
          <cell r="AG393">
            <v>38915</v>
          </cell>
          <cell r="AH393">
            <v>71.62</v>
          </cell>
        </row>
        <row r="394">
          <cell r="AG394">
            <v>38916</v>
          </cell>
          <cell r="AH394">
            <v>71.599999999999994</v>
          </cell>
        </row>
        <row r="395">
          <cell r="AG395">
            <v>38917</v>
          </cell>
          <cell r="AH395">
            <v>71.569999999999993</v>
          </cell>
        </row>
        <row r="396">
          <cell r="AG396">
            <v>38918</v>
          </cell>
          <cell r="AH396">
            <v>71.7</v>
          </cell>
        </row>
        <row r="397">
          <cell r="AG397">
            <v>38919</v>
          </cell>
          <cell r="AH397">
            <v>71.67</v>
          </cell>
        </row>
        <row r="398">
          <cell r="AG398">
            <v>38922</v>
          </cell>
          <cell r="AH398">
            <v>71.53</v>
          </cell>
        </row>
        <row r="399">
          <cell r="AG399">
            <v>38923</v>
          </cell>
          <cell r="AH399">
            <v>71.569999999999993</v>
          </cell>
        </row>
        <row r="400">
          <cell r="AG400">
            <v>38924</v>
          </cell>
          <cell r="AH400">
            <v>71.569999999999993</v>
          </cell>
        </row>
        <row r="401">
          <cell r="AG401">
            <v>38925</v>
          </cell>
          <cell r="AH401">
            <v>71.56</v>
          </cell>
        </row>
        <row r="402">
          <cell r="AG402">
            <v>38926</v>
          </cell>
          <cell r="AH402">
            <v>71.58</v>
          </cell>
        </row>
        <row r="403">
          <cell r="AG403">
            <v>38929</v>
          </cell>
          <cell r="AH403">
            <v>71.61</v>
          </cell>
        </row>
        <row r="404">
          <cell r="AG404">
            <v>38930</v>
          </cell>
          <cell r="AH404">
            <v>71.63</v>
          </cell>
        </row>
        <row r="405">
          <cell r="AG405">
            <v>38931</v>
          </cell>
          <cell r="AH405">
            <v>71.63</v>
          </cell>
        </row>
        <row r="406">
          <cell r="AG406">
            <v>38932</v>
          </cell>
          <cell r="AH406">
            <v>71.650000000000006</v>
          </cell>
        </row>
        <row r="407">
          <cell r="AG407">
            <v>38933</v>
          </cell>
          <cell r="AH407">
            <v>71.66</v>
          </cell>
        </row>
        <row r="408">
          <cell r="AG408">
            <v>38936</v>
          </cell>
          <cell r="AH408">
            <v>71.66</v>
          </cell>
        </row>
        <row r="409">
          <cell r="AG409">
            <v>38937</v>
          </cell>
          <cell r="AH409">
            <v>71.69</v>
          </cell>
        </row>
        <row r="410">
          <cell r="AG410">
            <v>38938</v>
          </cell>
          <cell r="AH410">
            <v>71.67</v>
          </cell>
        </row>
        <row r="411">
          <cell r="AG411">
            <v>38939</v>
          </cell>
          <cell r="AH411">
            <v>71.760000000000005</v>
          </cell>
        </row>
        <row r="412">
          <cell r="AG412">
            <v>38940</v>
          </cell>
          <cell r="AH412">
            <v>71.849999999999994</v>
          </cell>
        </row>
        <row r="413">
          <cell r="AG413">
            <v>38943</v>
          </cell>
          <cell r="AH413">
            <v>71.89</v>
          </cell>
        </row>
        <row r="414">
          <cell r="AG414">
            <v>38944</v>
          </cell>
          <cell r="AH414">
            <v>71.92</v>
          </cell>
        </row>
        <row r="415">
          <cell r="AG415">
            <v>38945</v>
          </cell>
          <cell r="AH415">
            <v>72.069999999999993</v>
          </cell>
        </row>
        <row r="416">
          <cell r="AG416">
            <v>38946</v>
          </cell>
          <cell r="AH416">
            <v>72.25</v>
          </cell>
        </row>
        <row r="417">
          <cell r="AG417">
            <v>38947</v>
          </cell>
          <cell r="AH417">
            <v>72.36</v>
          </cell>
        </row>
        <row r="418">
          <cell r="AG418">
            <v>38950</v>
          </cell>
          <cell r="AH418">
            <v>72.430000000000007</v>
          </cell>
        </row>
        <row r="419">
          <cell r="AG419">
            <v>38951</v>
          </cell>
          <cell r="AH419">
            <v>72.459999999999994</v>
          </cell>
        </row>
        <row r="420">
          <cell r="AG420">
            <v>38952</v>
          </cell>
          <cell r="AH420">
            <v>72.45</v>
          </cell>
        </row>
        <row r="421">
          <cell r="AG421">
            <v>38953</v>
          </cell>
          <cell r="AH421">
            <v>72.41</v>
          </cell>
        </row>
        <row r="422">
          <cell r="AG422">
            <v>38954</v>
          </cell>
          <cell r="AH422">
            <v>72.44</v>
          </cell>
        </row>
        <row r="423">
          <cell r="AG423">
            <v>38957</v>
          </cell>
          <cell r="AH423">
            <v>72.400000000000006</v>
          </cell>
        </row>
        <row r="424">
          <cell r="AG424">
            <v>38958</v>
          </cell>
          <cell r="AH424">
            <v>72.41</v>
          </cell>
        </row>
        <row r="425">
          <cell r="AG425">
            <v>38959</v>
          </cell>
          <cell r="AH425">
            <v>72.44</v>
          </cell>
        </row>
        <row r="426">
          <cell r="AG426">
            <v>38960</v>
          </cell>
          <cell r="AH426">
            <v>72.52</v>
          </cell>
        </row>
        <row r="427">
          <cell r="AG427">
            <v>38961</v>
          </cell>
          <cell r="AH427">
            <v>72.58</v>
          </cell>
        </row>
        <row r="428">
          <cell r="AG428">
            <v>38964</v>
          </cell>
          <cell r="AH428">
            <v>72.650000000000006</v>
          </cell>
        </row>
        <row r="429">
          <cell r="AG429">
            <v>38965</v>
          </cell>
          <cell r="AH429">
            <v>72.66</v>
          </cell>
        </row>
        <row r="430">
          <cell r="AG430">
            <v>38966</v>
          </cell>
          <cell r="AH430">
            <v>72.66</v>
          </cell>
        </row>
        <row r="431">
          <cell r="AG431">
            <v>38967</v>
          </cell>
          <cell r="AH431">
            <v>72.62</v>
          </cell>
        </row>
        <row r="432">
          <cell r="AG432">
            <v>38968</v>
          </cell>
          <cell r="AH432">
            <v>72.569999999999993</v>
          </cell>
        </row>
        <row r="433">
          <cell r="AG433">
            <v>38971</v>
          </cell>
          <cell r="AH433">
            <v>72.52</v>
          </cell>
        </row>
        <row r="434">
          <cell r="AG434">
            <v>38972</v>
          </cell>
          <cell r="AH434">
            <v>72.510000000000005</v>
          </cell>
        </row>
        <row r="435">
          <cell r="AG435">
            <v>38973</v>
          </cell>
          <cell r="AH435">
            <v>72.62</v>
          </cell>
        </row>
        <row r="436">
          <cell r="AG436">
            <v>38974</v>
          </cell>
          <cell r="AH436">
            <v>72.7</v>
          </cell>
        </row>
        <row r="437">
          <cell r="AG437">
            <v>38975</v>
          </cell>
          <cell r="AH437">
            <v>72.81</v>
          </cell>
        </row>
        <row r="438">
          <cell r="AG438">
            <v>38978</v>
          </cell>
          <cell r="AH438">
            <v>72.98</v>
          </cell>
        </row>
        <row r="439">
          <cell r="AG439">
            <v>38979</v>
          </cell>
          <cell r="AH439">
            <v>73.14</v>
          </cell>
        </row>
        <row r="440">
          <cell r="AG440">
            <v>38980</v>
          </cell>
          <cell r="AH440">
            <v>73.180000000000007</v>
          </cell>
        </row>
        <row r="441">
          <cell r="AG441">
            <v>38981</v>
          </cell>
          <cell r="AH441">
            <v>73.27</v>
          </cell>
        </row>
        <row r="442">
          <cell r="AG442">
            <v>38982</v>
          </cell>
          <cell r="AH442">
            <v>73.27</v>
          </cell>
        </row>
        <row r="443">
          <cell r="AG443">
            <v>38985</v>
          </cell>
          <cell r="AH443">
            <v>73.290000000000006</v>
          </cell>
        </row>
        <row r="444">
          <cell r="AG444">
            <v>38986</v>
          </cell>
          <cell r="AH444">
            <v>73.36</v>
          </cell>
        </row>
        <row r="445">
          <cell r="AG445">
            <v>38987</v>
          </cell>
          <cell r="AH445">
            <v>73.42</v>
          </cell>
        </row>
        <row r="446">
          <cell r="AG446">
            <v>38988</v>
          </cell>
          <cell r="AH446">
            <v>73.55</v>
          </cell>
        </row>
        <row r="447">
          <cell r="AG447">
            <v>38989</v>
          </cell>
          <cell r="AH447">
            <v>73.52</v>
          </cell>
        </row>
        <row r="448">
          <cell r="AG448">
            <v>38992</v>
          </cell>
          <cell r="AH448">
            <v>73.569999999999993</v>
          </cell>
        </row>
        <row r="449">
          <cell r="AG449">
            <v>38993</v>
          </cell>
          <cell r="AH449">
            <v>73.61</v>
          </cell>
        </row>
        <row r="450">
          <cell r="AG450">
            <v>38994</v>
          </cell>
          <cell r="AH450">
            <v>73.59</v>
          </cell>
        </row>
        <row r="451">
          <cell r="AG451">
            <v>38995</v>
          </cell>
          <cell r="AH451">
            <v>73.7</v>
          </cell>
        </row>
        <row r="452">
          <cell r="AG452">
            <v>39001</v>
          </cell>
          <cell r="AH452">
            <v>73.73</v>
          </cell>
        </row>
        <row r="453">
          <cell r="AG453">
            <v>39002</v>
          </cell>
          <cell r="AH453">
            <v>73.790000000000006</v>
          </cell>
        </row>
        <row r="454">
          <cell r="AG454">
            <v>39003</v>
          </cell>
          <cell r="AH454">
            <v>74.03</v>
          </cell>
        </row>
        <row r="455">
          <cell r="AG455">
            <v>39004</v>
          </cell>
          <cell r="AH455">
            <v>74.06</v>
          </cell>
        </row>
        <row r="456">
          <cell r="AG456">
            <v>39006</v>
          </cell>
          <cell r="AH456">
            <v>74.28</v>
          </cell>
        </row>
        <row r="457">
          <cell r="AG457">
            <v>39007</v>
          </cell>
          <cell r="AH457">
            <v>74.25</v>
          </cell>
        </row>
        <row r="458">
          <cell r="AG458">
            <v>39008</v>
          </cell>
          <cell r="AH458">
            <v>74.2</v>
          </cell>
        </row>
        <row r="459">
          <cell r="AG459">
            <v>39009</v>
          </cell>
          <cell r="AH459">
            <v>74.13</v>
          </cell>
        </row>
        <row r="460">
          <cell r="AG460">
            <v>39010</v>
          </cell>
          <cell r="AH460">
            <v>74.14</v>
          </cell>
        </row>
        <row r="461">
          <cell r="AG461">
            <v>39013</v>
          </cell>
          <cell r="AH461">
            <v>74.12</v>
          </cell>
        </row>
        <row r="462">
          <cell r="AG462">
            <v>39014</v>
          </cell>
          <cell r="AH462">
            <v>74.239999999999995</v>
          </cell>
        </row>
        <row r="463">
          <cell r="AG463">
            <v>39015</v>
          </cell>
          <cell r="AH463">
            <v>74.23</v>
          </cell>
        </row>
        <row r="464">
          <cell r="AG464">
            <v>39016</v>
          </cell>
          <cell r="AH464">
            <v>74.23</v>
          </cell>
        </row>
        <row r="465">
          <cell r="AG465">
            <v>39017</v>
          </cell>
          <cell r="AH465">
            <v>74.260000000000005</v>
          </cell>
        </row>
        <row r="466">
          <cell r="AG466">
            <v>39020</v>
          </cell>
          <cell r="AH466">
            <v>74.13</v>
          </cell>
        </row>
        <row r="467">
          <cell r="AG467">
            <v>39021</v>
          </cell>
          <cell r="AH467">
            <v>74.12</v>
          </cell>
        </row>
        <row r="468">
          <cell r="AG468">
            <v>39022</v>
          </cell>
          <cell r="AH468">
            <v>74.05</v>
          </cell>
        </row>
        <row r="469">
          <cell r="AG469">
            <v>39023</v>
          </cell>
          <cell r="AH469">
            <v>74.03</v>
          </cell>
        </row>
        <row r="470">
          <cell r="AG470">
            <v>39024</v>
          </cell>
          <cell r="AH470">
            <v>73.98</v>
          </cell>
        </row>
        <row r="471">
          <cell r="AG471">
            <v>39027</v>
          </cell>
          <cell r="AH471">
            <v>73.930000000000007</v>
          </cell>
        </row>
        <row r="472">
          <cell r="AG472">
            <v>39028</v>
          </cell>
          <cell r="AH472">
            <v>73.88</v>
          </cell>
        </row>
        <row r="473">
          <cell r="AG473">
            <v>39029</v>
          </cell>
          <cell r="AH473">
            <v>73.83</v>
          </cell>
        </row>
        <row r="474">
          <cell r="AG474">
            <v>39030</v>
          </cell>
          <cell r="AH474">
            <v>73.849999999999994</v>
          </cell>
        </row>
        <row r="475">
          <cell r="AG475">
            <v>39031</v>
          </cell>
          <cell r="AH475">
            <v>73.81</v>
          </cell>
        </row>
        <row r="476">
          <cell r="AG476">
            <v>39034</v>
          </cell>
          <cell r="AH476">
            <v>73.77</v>
          </cell>
        </row>
        <row r="477">
          <cell r="AG477">
            <v>39035</v>
          </cell>
          <cell r="AH477">
            <v>73.77</v>
          </cell>
        </row>
        <row r="478">
          <cell r="AG478">
            <v>39036</v>
          </cell>
          <cell r="AH478">
            <v>73.81</v>
          </cell>
        </row>
        <row r="479">
          <cell r="AG479">
            <v>39037</v>
          </cell>
          <cell r="AH479">
            <v>73.87</v>
          </cell>
        </row>
        <row r="480">
          <cell r="AG480">
            <v>39038</v>
          </cell>
          <cell r="AH480">
            <v>73.89</v>
          </cell>
        </row>
        <row r="481">
          <cell r="AG481">
            <v>39041</v>
          </cell>
          <cell r="AH481">
            <v>73.91</v>
          </cell>
        </row>
        <row r="482">
          <cell r="AG482">
            <v>39042</v>
          </cell>
          <cell r="AH482">
            <v>73.97</v>
          </cell>
        </row>
        <row r="483">
          <cell r="AG483">
            <v>39043</v>
          </cell>
          <cell r="AH483">
            <v>74.02</v>
          </cell>
        </row>
        <row r="484">
          <cell r="AG484">
            <v>39044</v>
          </cell>
          <cell r="AH484">
            <v>74.11</v>
          </cell>
        </row>
        <row r="485">
          <cell r="AG485">
            <v>39045</v>
          </cell>
          <cell r="AH485">
            <v>74.14</v>
          </cell>
        </row>
        <row r="486">
          <cell r="AG486">
            <v>39048</v>
          </cell>
          <cell r="AH486">
            <v>74.23</v>
          </cell>
        </row>
        <row r="487">
          <cell r="AG487">
            <v>39049</v>
          </cell>
          <cell r="AH487">
            <v>74.28</v>
          </cell>
        </row>
        <row r="488">
          <cell r="AG488">
            <v>39050</v>
          </cell>
          <cell r="AH488">
            <v>74.36</v>
          </cell>
        </row>
        <row r="489">
          <cell r="AG489">
            <v>39051</v>
          </cell>
          <cell r="AH489">
            <v>74.510000000000005</v>
          </cell>
        </row>
        <row r="490">
          <cell r="AG490">
            <v>39052</v>
          </cell>
          <cell r="AH490">
            <v>74.680000000000007</v>
          </cell>
        </row>
        <row r="491">
          <cell r="AG491">
            <v>39055</v>
          </cell>
          <cell r="AH491">
            <v>74.78</v>
          </cell>
        </row>
        <row r="492">
          <cell r="AG492">
            <v>39056</v>
          </cell>
          <cell r="AH492">
            <v>74.86</v>
          </cell>
        </row>
        <row r="493">
          <cell r="AG493">
            <v>39057</v>
          </cell>
          <cell r="AH493">
            <v>74.98</v>
          </cell>
        </row>
        <row r="494">
          <cell r="AG494">
            <v>39058</v>
          </cell>
          <cell r="AH494">
            <v>74.989999999999995</v>
          </cell>
        </row>
        <row r="495">
          <cell r="AG495">
            <v>39059</v>
          </cell>
          <cell r="AH495">
            <v>74.97</v>
          </cell>
        </row>
        <row r="496">
          <cell r="AG496">
            <v>39062</v>
          </cell>
          <cell r="AH496">
            <v>75.010000000000005</v>
          </cell>
        </row>
        <row r="497">
          <cell r="AG497">
            <v>39063</v>
          </cell>
          <cell r="AH497">
            <v>74.97</v>
          </cell>
        </row>
        <row r="498">
          <cell r="AG498">
            <v>39064</v>
          </cell>
          <cell r="AH498">
            <v>74.989999999999995</v>
          </cell>
        </row>
        <row r="499">
          <cell r="AG499">
            <v>39065</v>
          </cell>
          <cell r="AH499">
            <v>75</v>
          </cell>
        </row>
        <row r="500">
          <cell r="AG500">
            <v>39066</v>
          </cell>
          <cell r="AH500">
            <v>75.02</v>
          </cell>
        </row>
        <row r="501">
          <cell r="AG501">
            <v>39069</v>
          </cell>
          <cell r="AH501">
            <v>75.11</v>
          </cell>
        </row>
        <row r="502">
          <cell r="AG502">
            <v>39070</v>
          </cell>
          <cell r="AH502">
            <v>75.040000000000006</v>
          </cell>
        </row>
        <row r="503">
          <cell r="AG503">
            <v>39071</v>
          </cell>
          <cell r="AH503">
            <v>74.989999999999995</v>
          </cell>
        </row>
        <row r="504">
          <cell r="AG504">
            <v>39072</v>
          </cell>
          <cell r="AH504">
            <v>75.010000000000005</v>
          </cell>
        </row>
        <row r="505">
          <cell r="AG505">
            <v>39073</v>
          </cell>
          <cell r="AH505">
            <v>75.03</v>
          </cell>
        </row>
        <row r="506">
          <cell r="AG506">
            <v>39076</v>
          </cell>
          <cell r="AH506">
            <v>75.040000000000006</v>
          </cell>
        </row>
        <row r="507">
          <cell r="AG507">
            <v>39077</v>
          </cell>
          <cell r="AH507">
            <v>75.06</v>
          </cell>
        </row>
        <row r="508">
          <cell r="AG508">
            <v>39078</v>
          </cell>
          <cell r="AH508">
            <v>75.09</v>
          </cell>
        </row>
        <row r="509">
          <cell r="AG509">
            <v>39079</v>
          </cell>
          <cell r="AH509">
            <v>75.099999999999994</v>
          </cell>
        </row>
        <row r="510">
          <cell r="AG510">
            <v>39080</v>
          </cell>
          <cell r="AH510">
            <v>75.150000000000006</v>
          </cell>
        </row>
        <row r="511">
          <cell r="AG511">
            <v>39084</v>
          </cell>
          <cell r="AH511">
            <v>75.19</v>
          </cell>
        </row>
        <row r="512">
          <cell r="AG512">
            <v>39085</v>
          </cell>
          <cell r="AH512">
            <v>75.290000000000006</v>
          </cell>
        </row>
        <row r="513">
          <cell r="AG513">
            <v>39086</v>
          </cell>
          <cell r="AH513">
            <v>75.3</v>
          </cell>
        </row>
        <row r="514">
          <cell r="AG514">
            <v>39087</v>
          </cell>
          <cell r="AH514">
            <v>75.3</v>
          </cell>
        </row>
        <row r="515">
          <cell r="AG515">
            <v>39090</v>
          </cell>
          <cell r="AH515">
            <v>75.27</v>
          </cell>
        </row>
        <row r="516">
          <cell r="AG516">
            <v>39091</v>
          </cell>
          <cell r="AH516">
            <v>75.290000000000006</v>
          </cell>
        </row>
        <row r="517">
          <cell r="AG517">
            <v>39092</v>
          </cell>
          <cell r="AH517">
            <v>75.14</v>
          </cell>
        </row>
        <row r="518">
          <cell r="AG518">
            <v>39093</v>
          </cell>
          <cell r="AH518">
            <v>75.28</v>
          </cell>
        </row>
        <row r="519">
          <cell r="AG519">
            <v>39094</v>
          </cell>
          <cell r="AH519">
            <v>75.56</v>
          </cell>
        </row>
        <row r="520">
          <cell r="AG520">
            <v>39097</v>
          </cell>
          <cell r="AH520">
            <v>75.59</v>
          </cell>
        </row>
        <row r="521">
          <cell r="AG521">
            <v>39098</v>
          </cell>
          <cell r="AH521">
            <v>75.72</v>
          </cell>
        </row>
        <row r="522">
          <cell r="AG522">
            <v>39099</v>
          </cell>
          <cell r="AH522">
            <v>75.790000000000006</v>
          </cell>
        </row>
        <row r="523">
          <cell r="AG523">
            <v>39100</v>
          </cell>
          <cell r="AH523">
            <v>75.849999999999994</v>
          </cell>
        </row>
        <row r="524">
          <cell r="AG524">
            <v>39101</v>
          </cell>
          <cell r="AH524">
            <v>75.83</v>
          </cell>
        </row>
        <row r="525">
          <cell r="AG525">
            <v>39104</v>
          </cell>
          <cell r="AH525">
            <v>75.790000000000006</v>
          </cell>
        </row>
        <row r="526">
          <cell r="AG526">
            <v>39105</v>
          </cell>
          <cell r="AH526">
            <v>75.739999999999995</v>
          </cell>
        </row>
        <row r="527">
          <cell r="AG527">
            <v>39106</v>
          </cell>
          <cell r="AH527">
            <v>75.77</v>
          </cell>
        </row>
        <row r="528">
          <cell r="AG528">
            <v>39107</v>
          </cell>
          <cell r="AH528">
            <v>75.8</v>
          </cell>
        </row>
        <row r="529">
          <cell r="AG529">
            <v>39108</v>
          </cell>
          <cell r="AH529">
            <v>75.58</v>
          </cell>
        </row>
        <row r="530">
          <cell r="AG530">
            <v>39111</v>
          </cell>
          <cell r="AH530">
            <v>75.599999999999994</v>
          </cell>
        </row>
        <row r="531">
          <cell r="AG531">
            <v>39112</v>
          </cell>
          <cell r="AH531">
            <v>75.55</v>
          </cell>
        </row>
        <row r="532">
          <cell r="AG532">
            <v>39113</v>
          </cell>
          <cell r="AH532">
            <v>75.45</v>
          </cell>
        </row>
        <row r="533">
          <cell r="AG533">
            <v>39114</v>
          </cell>
          <cell r="AH533">
            <v>75.44</v>
          </cell>
        </row>
        <row r="534">
          <cell r="AG534">
            <v>39115</v>
          </cell>
          <cell r="AH534">
            <v>75.44</v>
          </cell>
        </row>
        <row r="535">
          <cell r="AG535">
            <v>39118</v>
          </cell>
          <cell r="AH535">
            <v>75.430000000000007</v>
          </cell>
        </row>
        <row r="536">
          <cell r="AG536">
            <v>39119</v>
          </cell>
          <cell r="AH536">
            <v>75.41</v>
          </cell>
        </row>
        <row r="537">
          <cell r="AG537">
            <v>39120</v>
          </cell>
          <cell r="AH537">
            <v>75.42</v>
          </cell>
        </row>
        <row r="538">
          <cell r="AG538">
            <v>39121</v>
          </cell>
          <cell r="AH538">
            <v>75.41</v>
          </cell>
        </row>
        <row r="539">
          <cell r="AG539">
            <v>39122</v>
          </cell>
          <cell r="AH539">
            <v>75.37</v>
          </cell>
        </row>
        <row r="540">
          <cell r="AG540">
            <v>39125</v>
          </cell>
          <cell r="AH540">
            <v>75.239999999999995</v>
          </cell>
        </row>
        <row r="541">
          <cell r="AG541">
            <v>39126</v>
          </cell>
          <cell r="AH541">
            <v>75.08</v>
          </cell>
        </row>
        <row r="542">
          <cell r="AG542">
            <v>39127</v>
          </cell>
          <cell r="AH542">
            <v>75.09</v>
          </cell>
        </row>
        <row r="543">
          <cell r="AG543">
            <v>39139</v>
          </cell>
          <cell r="AH543">
            <v>75.180000000000007</v>
          </cell>
        </row>
        <row r="544">
          <cell r="AG544">
            <v>39140</v>
          </cell>
          <cell r="AH544">
            <v>75.28</v>
          </cell>
        </row>
        <row r="545">
          <cell r="AG545">
            <v>39142</v>
          </cell>
          <cell r="AH545">
            <v>75.06</v>
          </cell>
        </row>
        <row r="546">
          <cell r="AG546">
            <v>39143</v>
          </cell>
          <cell r="AH546">
            <v>74.98</v>
          </cell>
        </row>
        <row r="547">
          <cell r="AG547">
            <v>39144</v>
          </cell>
          <cell r="AH547">
            <v>74.91</v>
          </cell>
        </row>
        <row r="548">
          <cell r="AG548">
            <v>39146</v>
          </cell>
          <cell r="AH548">
            <v>74.709999999999994</v>
          </cell>
        </row>
        <row r="549">
          <cell r="AG549">
            <v>39147</v>
          </cell>
          <cell r="AH549">
            <v>74.67</v>
          </cell>
        </row>
        <row r="550">
          <cell r="AG550">
            <v>39148</v>
          </cell>
          <cell r="AH550">
            <v>74.680000000000007</v>
          </cell>
        </row>
        <row r="551">
          <cell r="AG551">
            <v>39149</v>
          </cell>
          <cell r="AH551">
            <v>74.650000000000006</v>
          </cell>
        </row>
        <row r="552">
          <cell r="AG552">
            <v>39150</v>
          </cell>
          <cell r="AH552">
            <v>74.67</v>
          </cell>
        </row>
        <row r="553">
          <cell r="AG553">
            <v>39153</v>
          </cell>
          <cell r="AH553">
            <v>71.28</v>
          </cell>
        </row>
        <row r="554">
          <cell r="AG554">
            <v>39154</v>
          </cell>
          <cell r="AH554">
            <v>71.459999999999994</v>
          </cell>
        </row>
        <row r="555">
          <cell r="AG555">
            <v>39155</v>
          </cell>
          <cell r="AH555">
            <v>71.430000000000007</v>
          </cell>
        </row>
        <row r="556">
          <cell r="AG556">
            <v>39156</v>
          </cell>
          <cell r="AH556">
            <v>71.5</v>
          </cell>
        </row>
        <row r="557">
          <cell r="AG557">
            <v>39157</v>
          </cell>
          <cell r="AH557">
            <v>71.55</v>
          </cell>
        </row>
        <row r="558">
          <cell r="AG558">
            <v>39160</v>
          </cell>
          <cell r="AH558">
            <v>71.569999999999993</v>
          </cell>
        </row>
        <row r="559">
          <cell r="AG559">
            <v>39161</v>
          </cell>
          <cell r="AH559">
            <v>71.61</v>
          </cell>
        </row>
        <row r="560">
          <cell r="AG560">
            <v>39162</v>
          </cell>
          <cell r="AH560">
            <v>71.67</v>
          </cell>
        </row>
        <row r="561">
          <cell r="AG561">
            <v>39163</v>
          </cell>
          <cell r="AH561">
            <v>71.84</v>
          </cell>
        </row>
        <row r="562">
          <cell r="AG562">
            <v>39164</v>
          </cell>
          <cell r="AH562">
            <v>71.900000000000006</v>
          </cell>
        </row>
        <row r="563">
          <cell r="AG563">
            <v>39167</v>
          </cell>
          <cell r="AH563">
            <v>71.92</v>
          </cell>
        </row>
        <row r="564">
          <cell r="AG564">
            <v>39168</v>
          </cell>
          <cell r="AH564">
            <v>71.959999999999994</v>
          </cell>
        </row>
        <row r="565">
          <cell r="AG565">
            <v>39169</v>
          </cell>
          <cell r="AH565">
            <v>71.92</v>
          </cell>
        </row>
        <row r="566">
          <cell r="AG566">
            <v>39170</v>
          </cell>
          <cell r="AH566">
            <v>71.91</v>
          </cell>
        </row>
        <row r="567">
          <cell r="AG567">
            <v>39171</v>
          </cell>
          <cell r="AH567">
            <v>71.86</v>
          </cell>
        </row>
        <row r="568">
          <cell r="AG568">
            <v>39174</v>
          </cell>
          <cell r="AH568">
            <v>71.84</v>
          </cell>
        </row>
        <row r="569">
          <cell r="AG569">
            <v>39175</v>
          </cell>
          <cell r="AH569">
            <v>71.819999999999993</v>
          </cell>
        </row>
        <row r="570">
          <cell r="AG570">
            <v>39176</v>
          </cell>
          <cell r="AH570">
            <v>71.83</v>
          </cell>
        </row>
        <row r="571">
          <cell r="AG571">
            <v>39181</v>
          </cell>
          <cell r="AH571">
            <v>71.849999999999994</v>
          </cell>
        </row>
        <row r="572">
          <cell r="AG572">
            <v>39182</v>
          </cell>
          <cell r="AH572">
            <v>71.86</v>
          </cell>
        </row>
        <row r="573">
          <cell r="AG573">
            <v>39183</v>
          </cell>
          <cell r="AH573">
            <v>71.88</v>
          </cell>
        </row>
        <row r="574">
          <cell r="AG574">
            <v>39184</v>
          </cell>
          <cell r="AH574">
            <v>71.87</v>
          </cell>
        </row>
        <row r="575">
          <cell r="AG575">
            <v>39185</v>
          </cell>
          <cell r="AH575">
            <v>71.87</v>
          </cell>
        </row>
        <row r="576">
          <cell r="AG576">
            <v>39186</v>
          </cell>
          <cell r="AH576">
            <v>71.87</v>
          </cell>
        </row>
        <row r="577">
          <cell r="AG577">
            <v>39188</v>
          </cell>
          <cell r="AH577">
            <v>71.89</v>
          </cell>
        </row>
        <row r="578">
          <cell r="AG578">
            <v>39189</v>
          </cell>
          <cell r="AH578">
            <v>71.88</v>
          </cell>
        </row>
        <row r="579">
          <cell r="AG579">
            <v>39190</v>
          </cell>
          <cell r="AH579">
            <v>71.900000000000006</v>
          </cell>
        </row>
        <row r="580">
          <cell r="AG580">
            <v>39191</v>
          </cell>
          <cell r="AH580">
            <v>71.81</v>
          </cell>
        </row>
        <row r="581">
          <cell r="AG581">
            <v>39192</v>
          </cell>
          <cell r="AH581">
            <v>71.819999999999993</v>
          </cell>
        </row>
        <row r="582">
          <cell r="AG582">
            <v>39195</v>
          </cell>
          <cell r="AH582">
            <v>71.88</v>
          </cell>
        </row>
        <row r="583">
          <cell r="AG583">
            <v>39196</v>
          </cell>
          <cell r="AH583">
            <v>72.02</v>
          </cell>
        </row>
        <row r="584">
          <cell r="AG584">
            <v>39197</v>
          </cell>
          <cell r="AH584">
            <v>72.02</v>
          </cell>
        </row>
        <row r="585">
          <cell r="AG585">
            <v>39198</v>
          </cell>
          <cell r="AH585">
            <v>72.12</v>
          </cell>
        </row>
        <row r="586">
          <cell r="AG586">
            <v>39199</v>
          </cell>
          <cell r="AH586">
            <v>72.11</v>
          </cell>
        </row>
        <row r="587">
          <cell r="AG587">
            <v>39202</v>
          </cell>
          <cell r="AH587">
            <v>72.02</v>
          </cell>
        </row>
        <row r="588">
          <cell r="AG588">
            <v>39204</v>
          </cell>
          <cell r="AH588">
            <v>71.989999999999995</v>
          </cell>
        </row>
        <row r="589">
          <cell r="AG589">
            <v>39205</v>
          </cell>
          <cell r="AH589">
            <v>71.959999999999994</v>
          </cell>
        </row>
        <row r="590">
          <cell r="AG590">
            <v>39206</v>
          </cell>
          <cell r="AH590">
            <v>71.95</v>
          </cell>
        </row>
        <row r="591">
          <cell r="AG591">
            <v>39209</v>
          </cell>
          <cell r="AH591">
            <v>71.94</v>
          </cell>
        </row>
        <row r="592">
          <cell r="AG592">
            <v>39210</v>
          </cell>
          <cell r="AH592">
            <v>71.88</v>
          </cell>
        </row>
        <row r="593">
          <cell r="AG593">
            <v>39211</v>
          </cell>
          <cell r="AH593">
            <v>71.87</v>
          </cell>
        </row>
        <row r="594">
          <cell r="AG594">
            <v>39212</v>
          </cell>
          <cell r="AH594">
            <v>71.87</v>
          </cell>
        </row>
        <row r="595">
          <cell r="AG595">
            <v>39213</v>
          </cell>
          <cell r="AH595">
            <v>71.75</v>
          </cell>
        </row>
        <row r="596">
          <cell r="AG596">
            <v>39216</v>
          </cell>
          <cell r="AH596">
            <v>71.69</v>
          </cell>
        </row>
        <row r="597">
          <cell r="AG597">
            <v>39217</v>
          </cell>
          <cell r="AH597">
            <v>71.53</v>
          </cell>
        </row>
        <row r="598">
          <cell r="AG598">
            <v>39218</v>
          </cell>
          <cell r="AH598">
            <v>71.45</v>
          </cell>
        </row>
        <row r="599">
          <cell r="AG599">
            <v>39219</v>
          </cell>
          <cell r="AH599">
            <v>71.44</v>
          </cell>
        </row>
        <row r="600">
          <cell r="AG600">
            <v>39220</v>
          </cell>
          <cell r="AH600">
            <v>71.52</v>
          </cell>
        </row>
        <row r="601">
          <cell r="AG601">
            <v>39223</v>
          </cell>
          <cell r="AH601">
            <v>71.61</v>
          </cell>
        </row>
        <row r="602">
          <cell r="AG602">
            <v>39224</v>
          </cell>
          <cell r="AH602">
            <v>71.599999999999994</v>
          </cell>
        </row>
        <row r="603">
          <cell r="AG603">
            <v>39225</v>
          </cell>
          <cell r="AH603">
            <v>71.59</v>
          </cell>
        </row>
        <row r="604">
          <cell r="AG604">
            <v>39226</v>
          </cell>
          <cell r="AH604">
            <v>76.19</v>
          </cell>
        </row>
        <row r="605">
          <cell r="AG605">
            <v>39227</v>
          </cell>
          <cell r="AH605">
            <v>71.38</v>
          </cell>
        </row>
        <row r="606">
          <cell r="AG606">
            <v>39230</v>
          </cell>
          <cell r="AH606">
            <v>71.37</v>
          </cell>
        </row>
        <row r="607">
          <cell r="AG607">
            <v>39231</v>
          </cell>
          <cell r="AH607">
            <v>71.430000000000007</v>
          </cell>
        </row>
        <row r="608">
          <cell r="AG608">
            <v>39232</v>
          </cell>
          <cell r="AH608">
            <v>71.39</v>
          </cell>
        </row>
        <row r="609">
          <cell r="AG609">
            <v>39233</v>
          </cell>
          <cell r="AH609">
            <v>71.400000000000006</v>
          </cell>
        </row>
        <row r="610">
          <cell r="AG610">
            <v>39234</v>
          </cell>
          <cell r="AH610">
            <v>71.430000000000007</v>
          </cell>
        </row>
        <row r="611">
          <cell r="AG611">
            <v>39237</v>
          </cell>
          <cell r="AH611">
            <v>71.41</v>
          </cell>
        </row>
        <row r="612">
          <cell r="AG612">
            <v>39238</v>
          </cell>
          <cell r="AH612">
            <v>71.42</v>
          </cell>
        </row>
        <row r="613">
          <cell r="AG613">
            <v>39239</v>
          </cell>
          <cell r="AH613">
            <v>71.39</v>
          </cell>
        </row>
        <row r="614">
          <cell r="AG614">
            <v>39240</v>
          </cell>
          <cell r="AH614">
            <v>71.39</v>
          </cell>
        </row>
        <row r="615">
          <cell r="AG615">
            <v>39241</v>
          </cell>
          <cell r="AH615">
            <v>71.099999999999994</v>
          </cell>
        </row>
        <row r="616">
          <cell r="AG616">
            <v>39244</v>
          </cell>
          <cell r="AH616">
            <v>71.069999999999993</v>
          </cell>
        </row>
        <row r="617">
          <cell r="AG617">
            <v>39245</v>
          </cell>
          <cell r="AH617">
            <v>70.989999999999995</v>
          </cell>
        </row>
        <row r="618">
          <cell r="AG618">
            <v>39246</v>
          </cell>
          <cell r="AH618">
            <v>70.87</v>
          </cell>
        </row>
        <row r="619">
          <cell r="AG619">
            <v>39247</v>
          </cell>
          <cell r="AH619">
            <v>70.89</v>
          </cell>
        </row>
        <row r="620">
          <cell r="AG620">
            <v>39248</v>
          </cell>
          <cell r="AH620">
            <v>70.959999999999994</v>
          </cell>
        </row>
        <row r="621">
          <cell r="AG621">
            <v>39253</v>
          </cell>
          <cell r="AH621">
            <v>71.37</v>
          </cell>
        </row>
        <row r="622">
          <cell r="AG622">
            <v>39254</v>
          </cell>
          <cell r="AH622">
            <v>71.790000000000006</v>
          </cell>
        </row>
        <row r="623">
          <cell r="AG623">
            <v>39255</v>
          </cell>
          <cell r="AH623">
            <v>71.930000000000007</v>
          </cell>
        </row>
        <row r="624">
          <cell r="AG624">
            <v>39256</v>
          </cell>
          <cell r="AH624">
            <v>71.930000000000007</v>
          </cell>
        </row>
        <row r="625">
          <cell r="AG625">
            <v>39258</v>
          </cell>
          <cell r="AH625">
            <v>72.09</v>
          </cell>
        </row>
        <row r="626">
          <cell r="AG626">
            <v>39259</v>
          </cell>
          <cell r="AH626">
            <v>72.14</v>
          </cell>
        </row>
        <row r="627">
          <cell r="AG627">
            <v>39260</v>
          </cell>
          <cell r="AH627">
            <v>72.209999999999994</v>
          </cell>
        </row>
        <row r="628">
          <cell r="AG628">
            <v>39261</v>
          </cell>
          <cell r="AH628">
            <v>72.37</v>
          </cell>
        </row>
        <row r="629">
          <cell r="AG629">
            <v>39262</v>
          </cell>
          <cell r="AH629">
            <v>71.12</v>
          </cell>
        </row>
        <row r="630">
          <cell r="AG630">
            <v>39265</v>
          </cell>
          <cell r="AH630">
            <v>71.16</v>
          </cell>
        </row>
        <row r="631">
          <cell r="AG631">
            <v>39266</v>
          </cell>
          <cell r="AH631">
            <v>71.260000000000005</v>
          </cell>
        </row>
        <row r="632">
          <cell r="AG632">
            <v>39267</v>
          </cell>
          <cell r="AH632">
            <v>71.36</v>
          </cell>
        </row>
        <row r="633">
          <cell r="AG633">
            <v>39268</v>
          </cell>
          <cell r="AH633">
            <v>71.41</v>
          </cell>
        </row>
        <row r="634">
          <cell r="AG634">
            <v>39269</v>
          </cell>
          <cell r="AH634">
            <v>71.41</v>
          </cell>
        </row>
        <row r="635">
          <cell r="AG635">
            <v>39272</v>
          </cell>
          <cell r="AH635">
            <v>71.61</v>
          </cell>
        </row>
        <row r="636">
          <cell r="AG636">
            <v>39273</v>
          </cell>
          <cell r="AH636">
            <v>71.75</v>
          </cell>
        </row>
        <row r="637">
          <cell r="AG637">
            <v>39274</v>
          </cell>
          <cell r="AH637">
            <v>71.87</v>
          </cell>
        </row>
        <row r="638">
          <cell r="AG638">
            <v>39275</v>
          </cell>
          <cell r="AH638">
            <v>71.94</v>
          </cell>
        </row>
        <row r="639">
          <cell r="AG639">
            <v>39276</v>
          </cell>
          <cell r="AH639">
            <v>72.13</v>
          </cell>
        </row>
        <row r="640">
          <cell r="AG640">
            <v>39279</v>
          </cell>
          <cell r="AH640">
            <v>72.19</v>
          </cell>
        </row>
        <row r="641">
          <cell r="AG641">
            <v>39280</v>
          </cell>
          <cell r="AH641">
            <v>72.209999999999994</v>
          </cell>
        </row>
        <row r="642">
          <cell r="AG642">
            <v>39281</v>
          </cell>
          <cell r="AH642">
            <v>72.19</v>
          </cell>
        </row>
        <row r="643">
          <cell r="AG643">
            <v>39282</v>
          </cell>
          <cell r="AH643">
            <v>72.13</v>
          </cell>
        </row>
        <row r="644">
          <cell r="AG644">
            <v>39283</v>
          </cell>
          <cell r="AH644">
            <v>72.099999999999994</v>
          </cell>
        </row>
        <row r="645">
          <cell r="AG645">
            <v>39286</v>
          </cell>
          <cell r="AH645">
            <v>72.06</v>
          </cell>
        </row>
        <row r="646">
          <cell r="AG646">
            <v>39287</v>
          </cell>
          <cell r="AH646">
            <v>72.180000000000007</v>
          </cell>
        </row>
        <row r="647">
          <cell r="AG647">
            <v>39288</v>
          </cell>
          <cell r="AH647">
            <v>72.16</v>
          </cell>
        </row>
        <row r="648">
          <cell r="AG648">
            <v>39289</v>
          </cell>
          <cell r="AH648">
            <v>72.099999999999994</v>
          </cell>
        </row>
        <row r="649">
          <cell r="AG649">
            <v>39290</v>
          </cell>
          <cell r="AH649">
            <v>71.34</v>
          </cell>
        </row>
        <row r="650">
          <cell r="AG650">
            <v>39293</v>
          </cell>
          <cell r="AH650">
            <v>71.260000000000005</v>
          </cell>
        </row>
        <row r="651">
          <cell r="AG651">
            <v>39294</v>
          </cell>
          <cell r="AH651">
            <v>71.180000000000007</v>
          </cell>
        </row>
        <row r="652">
          <cell r="AG652">
            <v>39295</v>
          </cell>
          <cell r="AH652">
            <v>70.790000000000006</v>
          </cell>
        </row>
        <row r="653">
          <cell r="AG653">
            <v>39296</v>
          </cell>
          <cell r="AH653">
            <v>70.760000000000005</v>
          </cell>
        </row>
        <row r="654">
          <cell r="AG654">
            <v>39297</v>
          </cell>
          <cell r="AH654">
            <v>70.760000000000005</v>
          </cell>
        </row>
        <row r="655">
          <cell r="AG655">
            <v>39300</v>
          </cell>
          <cell r="AH655">
            <v>70.72</v>
          </cell>
        </row>
        <row r="656">
          <cell r="AG656">
            <v>39301</v>
          </cell>
          <cell r="AH656">
            <v>70.58</v>
          </cell>
        </row>
        <row r="657">
          <cell r="AG657">
            <v>39302</v>
          </cell>
          <cell r="AH657">
            <v>70.52</v>
          </cell>
        </row>
        <row r="658">
          <cell r="AG658">
            <v>39303</v>
          </cell>
          <cell r="AH658">
            <v>70.599999999999994</v>
          </cell>
        </row>
        <row r="659">
          <cell r="AG659">
            <v>39304</v>
          </cell>
          <cell r="AH659">
            <v>70.510000000000005</v>
          </cell>
        </row>
        <row r="660">
          <cell r="AG660">
            <v>39307</v>
          </cell>
          <cell r="AH660">
            <v>70.5</v>
          </cell>
        </row>
        <row r="661">
          <cell r="AG661">
            <v>39308</v>
          </cell>
          <cell r="AH661">
            <v>70.5</v>
          </cell>
        </row>
        <row r="662">
          <cell r="AG662">
            <v>39309</v>
          </cell>
          <cell r="AH662">
            <v>70.400000000000006</v>
          </cell>
        </row>
        <row r="663">
          <cell r="AG663">
            <v>39310</v>
          </cell>
          <cell r="AH663">
            <v>70.209999999999994</v>
          </cell>
        </row>
        <row r="664">
          <cell r="AG664">
            <v>39311</v>
          </cell>
          <cell r="AH664">
            <v>70.17</v>
          </cell>
        </row>
        <row r="665">
          <cell r="AG665">
            <v>39314</v>
          </cell>
          <cell r="AH665">
            <v>70.2</v>
          </cell>
        </row>
        <row r="666">
          <cell r="AG666">
            <v>39315</v>
          </cell>
          <cell r="AH666">
            <v>70.19</v>
          </cell>
        </row>
        <row r="667">
          <cell r="AG667">
            <v>39316</v>
          </cell>
          <cell r="AH667">
            <v>70.150000000000006</v>
          </cell>
        </row>
        <row r="668">
          <cell r="AG668">
            <v>39317</v>
          </cell>
          <cell r="AH668">
            <v>70.290000000000006</v>
          </cell>
        </row>
        <row r="669">
          <cell r="AG669">
            <v>39318</v>
          </cell>
          <cell r="AH669">
            <v>70.239999999999995</v>
          </cell>
        </row>
        <row r="670">
          <cell r="AG670">
            <v>39321</v>
          </cell>
          <cell r="AH670">
            <v>70.27</v>
          </cell>
        </row>
        <row r="671">
          <cell r="AG671">
            <v>39322</v>
          </cell>
          <cell r="AH671">
            <v>70.23</v>
          </cell>
        </row>
        <row r="672">
          <cell r="AG672">
            <v>39323</v>
          </cell>
          <cell r="AH672">
            <v>70.12</v>
          </cell>
        </row>
        <row r="673">
          <cell r="AG673">
            <v>39324</v>
          </cell>
          <cell r="AH673">
            <v>70.13</v>
          </cell>
        </row>
        <row r="674">
          <cell r="AG674">
            <v>39325</v>
          </cell>
          <cell r="AH674">
            <v>70.27</v>
          </cell>
        </row>
        <row r="675">
          <cell r="AG675">
            <v>39328</v>
          </cell>
          <cell r="AH675">
            <v>70.290000000000006</v>
          </cell>
        </row>
        <row r="676">
          <cell r="AG676">
            <v>39329</v>
          </cell>
          <cell r="AH676">
            <v>70.28</v>
          </cell>
        </row>
        <row r="677">
          <cell r="AG677">
            <v>39330</v>
          </cell>
          <cell r="AH677">
            <v>70.3</v>
          </cell>
        </row>
        <row r="678">
          <cell r="AG678">
            <v>39331</v>
          </cell>
          <cell r="AH678">
            <v>70.319999999999993</v>
          </cell>
        </row>
        <row r="679">
          <cell r="AG679">
            <v>39332</v>
          </cell>
          <cell r="AH679">
            <v>70.319999999999993</v>
          </cell>
        </row>
        <row r="680">
          <cell r="AG680">
            <v>39335</v>
          </cell>
          <cell r="AH680">
            <v>70.28</v>
          </cell>
        </row>
        <row r="681">
          <cell r="AG681">
            <v>39336</v>
          </cell>
          <cell r="AH681">
            <v>70.27</v>
          </cell>
        </row>
        <row r="682">
          <cell r="AG682">
            <v>39337</v>
          </cell>
          <cell r="AH682">
            <v>70.260000000000005</v>
          </cell>
        </row>
        <row r="683">
          <cell r="AG683">
            <v>39338</v>
          </cell>
          <cell r="AH683">
            <v>70.2</v>
          </cell>
        </row>
        <row r="684">
          <cell r="AG684">
            <v>39339</v>
          </cell>
          <cell r="AH684">
            <v>70.260000000000005</v>
          </cell>
        </row>
        <row r="685">
          <cell r="AG685">
            <v>39342</v>
          </cell>
          <cell r="AH685">
            <v>70.239999999999995</v>
          </cell>
        </row>
        <row r="686">
          <cell r="AG686">
            <v>39344</v>
          </cell>
          <cell r="AH686">
            <v>70.34</v>
          </cell>
        </row>
        <row r="687">
          <cell r="AG687">
            <v>39345</v>
          </cell>
          <cell r="AH687">
            <v>70.33</v>
          </cell>
        </row>
        <row r="688">
          <cell r="AG688">
            <v>39346</v>
          </cell>
          <cell r="AH688">
            <v>70.33</v>
          </cell>
        </row>
        <row r="689">
          <cell r="AG689">
            <v>39351</v>
          </cell>
          <cell r="AH689">
            <v>70.290000000000006</v>
          </cell>
        </row>
        <row r="690">
          <cell r="AG690">
            <v>39352</v>
          </cell>
          <cell r="AH690">
            <v>70.430000000000007</v>
          </cell>
        </row>
        <row r="691">
          <cell r="AG691">
            <v>39353</v>
          </cell>
          <cell r="AH691">
            <v>70.5</v>
          </cell>
        </row>
        <row r="692">
          <cell r="AG692">
            <v>39354</v>
          </cell>
          <cell r="AH692">
            <v>70.5</v>
          </cell>
        </row>
        <row r="693">
          <cell r="AG693">
            <v>39356</v>
          </cell>
          <cell r="AH693">
            <v>70.56</v>
          </cell>
        </row>
        <row r="694">
          <cell r="AG694">
            <v>39357</v>
          </cell>
          <cell r="AH694">
            <v>70.88</v>
          </cell>
        </row>
        <row r="695">
          <cell r="AG695">
            <v>39358</v>
          </cell>
          <cell r="AH695">
            <v>71.040000000000006</v>
          </cell>
        </row>
        <row r="696">
          <cell r="AG696">
            <v>39359</v>
          </cell>
          <cell r="AH696">
            <v>71.03</v>
          </cell>
        </row>
        <row r="697">
          <cell r="AG697">
            <v>39360</v>
          </cell>
          <cell r="AH697">
            <v>71.06</v>
          </cell>
        </row>
        <row r="698">
          <cell r="AG698">
            <v>39363</v>
          </cell>
          <cell r="AH698">
            <v>71.150000000000006</v>
          </cell>
        </row>
        <row r="699">
          <cell r="AG699">
            <v>39364</v>
          </cell>
          <cell r="AH699">
            <v>71.12</v>
          </cell>
        </row>
        <row r="700">
          <cell r="AG700">
            <v>39366</v>
          </cell>
          <cell r="AH700">
            <v>71.08</v>
          </cell>
        </row>
        <row r="701">
          <cell r="AG701">
            <v>39367</v>
          </cell>
          <cell r="AH701">
            <v>70.95</v>
          </cell>
        </row>
        <row r="702">
          <cell r="AG702">
            <v>39370</v>
          </cell>
          <cell r="AH702">
            <v>70.97</v>
          </cell>
        </row>
        <row r="703">
          <cell r="AG703">
            <v>39371</v>
          </cell>
          <cell r="AH703">
            <v>70.97</v>
          </cell>
        </row>
        <row r="704">
          <cell r="AG704">
            <v>39372</v>
          </cell>
          <cell r="AH704">
            <v>70.959999999999994</v>
          </cell>
        </row>
        <row r="705">
          <cell r="AG705">
            <v>39373</v>
          </cell>
          <cell r="AH705">
            <v>70.959999999999994</v>
          </cell>
        </row>
        <row r="706">
          <cell r="AG706">
            <v>39374</v>
          </cell>
          <cell r="AH706">
            <v>70.97</v>
          </cell>
        </row>
        <row r="707">
          <cell r="AG707">
            <v>39377</v>
          </cell>
          <cell r="AH707">
            <v>70.8</v>
          </cell>
        </row>
        <row r="708">
          <cell r="AG708">
            <v>39378</v>
          </cell>
          <cell r="AH708">
            <v>70.819999999999993</v>
          </cell>
        </row>
        <row r="709">
          <cell r="AG709">
            <v>39379</v>
          </cell>
          <cell r="AH709">
            <v>70.8</v>
          </cell>
        </row>
        <row r="710">
          <cell r="AG710">
            <v>39380</v>
          </cell>
          <cell r="AH710">
            <v>70.75</v>
          </cell>
        </row>
        <row r="711">
          <cell r="AG711">
            <v>39381</v>
          </cell>
          <cell r="AH711">
            <v>70.73</v>
          </cell>
        </row>
        <row r="712">
          <cell r="AG712">
            <v>39384</v>
          </cell>
          <cell r="AH712">
            <v>70.91</v>
          </cell>
        </row>
        <row r="713">
          <cell r="AG713">
            <v>39385</v>
          </cell>
          <cell r="AH713">
            <v>70.930000000000007</v>
          </cell>
        </row>
        <row r="714">
          <cell r="AG714">
            <v>39386</v>
          </cell>
          <cell r="AH714">
            <v>71.010000000000005</v>
          </cell>
        </row>
        <row r="715">
          <cell r="AG715">
            <v>39387</v>
          </cell>
          <cell r="AH715">
            <v>71.12</v>
          </cell>
        </row>
        <row r="716">
          <cell r="AG716">
            <v>39388</v>
          </cell>
          <cell r="AH716">
            <v>71.08</v>
          </cell>
        </row>
        <row r="717">
          <cell r="AG717">
            <v>39391</v>
          </cell>
          <cell r="AH717">
            <v>71.040000000000006</v>
          </cell>
        </row>
        <row r="718">
          <cell r="AG718">
            <v>39392</v>
          </cell>
          <cell r="AH718">
            <v>71.069999999999993</v>
          </cell>
        </row>
        <row r="719">
          <cell r="AG719">
            <v>39393</v>
          </cell>
          <cell r="AH719">
            <v>71.12</v>
          </cell>
        </row>
        <row r="720">
          <cell r="AG720">
            <v>39394</v>
          </cell>
          <cell r="AH720">
            <v>71.14</v>
          </cell>
        </row>
        <row r="721">
          <cell r="AG721">
            <v>39395</v>
          </cell>
          <cell r="AH721">
            <v>71.180000000000007</v>
          </cell>
        </row>
        <row r="722">
          <cell r="AG722">
            <v>39398</v>
          </cell>
          <cell r="AH722">
            <v>71.150000000000006</v>
          </cell>
        </row>
        <row r="723">
          <cell r="AG723">
            <v>39399</v>
          </cell>
          <cell r="AH723">
            <v>71.099999999999994</v>
          </cell>
        </row>
        <row r="724">
          <cell r="AG724">
            <v>39400</v>
          </cell>
          <cell r="AH724">
            <v>70.989999999999995</v>
          </cell>
        </row>
        <row r="725">
          <cell r="AG725">
            <v>39401</v>
          </cell>
          <cell r="AH725">
            <v>70.91</v>
          </cell>
        </row>
        <row r="726">
          <cell r="AG726">
            <v>39402</v>
          </cell>
          <cell r="AH726">
            <v>70.81</v>
          </cell>
        </row>
        <row r="727">
          <cell r="AG727">
            <v>39405</v>
          </cell>
          <cell r="AH727">
            <v>70.83</v>
          </cell>
        </row>
        <row r="728">
          <cell r="AG728">
            <v>39406</v>
          </cell>
          <cell r="AH728">
            <v>70.790000000000006</v>
          </cell>
        </row>
        <row r="729">
          <cell r="AG729">
            <v>39407</v>
          </cell>
          <cell r="AH729">
            <v>70.569999999999993</v>
          </cell>
        </row>
        <row r="730">
          <cell r="AG730">
            <v>39408</v>
          </cell>
          <cell r="AH730">
            <v>70.52</v>
          </cell>
        </row>
        <row r="731">
          <cell r="AG731">
            <v>39409</v>
          </cell>
          <cell r="AH731">
            <v>70.55</v>
          </cell>
        </row>
        <row r="732">
          <cell r="AG732">
            <v>39412</v>
          </cell>
          <cell r="AH732">
            <v>70.66</v>
          </cell>
        </row>
        <row r="733">
          <cell r="AG733">
            <v>39413</v>
          </cell>
          <cell r="AH733">
            <v>70.47</v>
          </cell>
        </row>
        <row r="734">
          <cell r="AG734">
            <v>39414</v>
          </cell>
          <cell r="AH734">
            <v>70.400000000000006</v>
          </cell>
        </row>
        <row r="735">
          <cell r="AG735">
            <v>39415</v>
          </cell>
          <cell r="AH735">
            <v>70.430000000000007</v>
          </cell>
        </row>
        <row r="736">
          <cell r="AG736">
            <v>39416</v>
          </cell>
          <cell r="AH736">
            <v>70.48</v>
          </cell>
        </row>
        <row r="737">
          <cell r="AG737">
            <v>39419</v>
          </cell>
          <cell r="AH737">
            <v>70.47</v>
          </cell>
        </row>
        <row r="738">
          <cell r="AG738">
            <v>39420</v>
          </cell>
          <cell r="AH738">
            <v>70.48</v>
          </cell>
        </row>
        <row r="739">
          <cell r="AG739">
            <v>39421</v>
          </cell>
          <cell r="AH739">
            <v>70.64</v>
          </cell>
        </row>
        <row r="740">
          <cell r="AG740">
            <v>39422</v>
          </cell>
          <cell r="AH740">
            <v>70.790000000000006</v>
          </cell>
        </row>
        <row r="741">
          <cell r="AG741">
            <v>39423</v>
          </cell>
          <cell r="AH741">
            <v>71.16</v>
          </cell>
        </row>
        <row r="742">
          <cell r="AG742">
            <v>39426</v>
          </cell>
          <cell r="AH742">
            <v>71.19</v>
          </cell>
        </row>
        <row r="743">
          <cell r="AG743">
            <v>39427</v>
          </cell>
          <cell r="AH743">
            <v>71.33</v>
          </cell>
        </row>
        <row r="744">
          <cell r="AG744">
            <v>39428</v>
          </cell>
          <cell r="AH744">
            <v>71.39</v>
          </cell>
        </row>
        <row r="745">
          <cell r="AG745">
            <v>39429</v>
          </cell>
          <cell r="AH745">
            <v>71.5</v>
          </cell>
        </row>
        <row r="746">
          <cell r="AG746">
            <v>39430</v>
          </cell>
          <cell r="AH746">
            <v>71.36</v>
          </cell>
        </row>
        <row r="747">
          <cell r="AG747">
            <v>39433</v>
          </cell>
          <cell r="AH747">
            <v>71.37</v>
          </cell>
        </row>
        <row r="748">
          <cell r="AG748">
            <v>39434</v>
          </cell>
          <cell r="AH748">
            <v>71.349999999999994</v>
          </cell>
        </row>
        <row r="749">
          <cell r="AG749">
            <v>39435</v>
          </cell>
          <cell r="AH749">
            <v>71.39</v>
          </cell>
        </row>
        <row r="750">
          <cell r="AG750">
            <v>39436</v>
          </cell>
          <cell r="AH750">
            <v>71.38</v>
          </cell>
        </row>
        <row r="751">
          <cell r="AG751">
            <v>39437</v>
          </cell>
          <cell r="AH751">
            <v>71.47</v>
          </cell>
        </row>
        <row r="752">
          <cell r="AG752">
            <v>39440</v>
          </cell>
          <cell r="AH752">
            <v>71.48</v>
          </cell>
        </row>
        <row r="753">
          <cell r="AG753">
            <v>39441</v>
          </cell>
          <cell r="AH753">
            <v>71.48</v>
          </cell>
        </row>
        <row r="754">
          <cell r="AG754">
            <v>39442</v>
          </cell>
          <cell r="AH754">
            <v>71.48</v>
          </cell>
        </row>
        <row r="755">
          <cell r="AG755">
            <v>39443</v>
          </cell>
          <cell r="AH755">
            <v>71.680000000000007</v>
          </cell>
        </row>
        <row r="756">
          <cell r="AG756">
            <v>39444</v>
          </cell>
          <cell r="AH756">
            <v>71.760000000000005</v>
          </cell>
        </row>
        <row r="757">
          <cell r="AG757">
            <v>39447</v>
          </cell>
          <cell r="AH757">
            <v>71.78</v>
          </cell>
        </row>
        <row r="758">
          <cell r="AG758">
            <v>39449</v>
          </cell>
          <cell r="AH758">
            <v>71.790000000000006</v>
          </cell>
        </row>
        <row r="759">
          <cell r="AG759">
            <v>39450</v>
          </cell>
          <cell r="AH759">
            <v>71.75</v>
          </cell>
        </row>
        <row r="760">
          <cell r="AG760">
            <v>39451</v>
          </cell>
          <cell r="AH760">
            <v>71.73</v>
          </cell>
        </row>
        <row r="761">
          <cell r="AG761">
            <v>39454</v>
          </cell>
          <cell r="AH761">
            <v>71.48</v>
          </cell>
        </row>
        <row r="762">
          <cell r="AG762">
            <v>39455</v>
          </cell>
          <cell r="AH762">
            <v>71.42</v>
          </cell>
        </row>
        <row r="763">
          <cell r="AG763">
            <v>39456</v>
          </cell>
          <cell r="AH763">
            <v>71.42</v>
          </cell>
        </row>
        <row r="764">
          <cell r="AG764">
            <v>39457</v>
          </cell>
          <cell r="AH764">
            <v>71.319999999999993</v>
          </cell>
        </row>
        <row r="765">
          <cell r="AG765">
            <v>39458</v>
          </cell>
          <cell r="AH765">
            <v>71.23</v>
          </cell>
        </row>
        <row r="766">
          <cell r="AG766">
            <v>39461</v>
          </cell>
          <cell r="AH766">
            <v>71.2</v>
          </cell>
        </row>
        <row r="767">
          <cell r="AG767">
            <v>39462</v>
          </cell>
          <cell r="AH767">
            <v>71.33</v>
          </cell>
        </row>
        <row r="768">
          <cell r="AG768">
            <v>39463</v>
          </cell>
          <cell r="AH768">
            <v>71.28</v>
          </cell>
        </row>
        <row r="769">
          <cell r="AG769">
            <v>39464</v>
          </cell>
          <cell r="AH769">
            <v>71.209999999999994</v>
          </cell>
        </row>
        <row r="770">
          <cell r="AG770">
            <v>39465</v>
          </cell>
          <cell r="AH770">
            <v>71.14</v>
          </cell>
        </row>
        <row r="771">
          <cell r="AG771">
            <v>39468</v>
          </cell>
          <cell r="AH771">
            <v>71.05</v>
          </cell>
        </row>
        <row r="772">
          <cell r="AG772">
            <v>39469</v>
          </cell>
          <cell r="AH772">
            <v>70.900000000000006</v>
          </cell>
        </row>
        <row r="773">
          <cell r="AG773">
            <v>39470</v>
          </cell>
          <cell r="AH773">
            <v>71.010000000000005</v>
          </cell>
        </row>
        <row r="774">
          <cell r="AG774">
            <v>39471</v>
          </cell>
          <cell r="AH774">
            <v>71.11</v>
          </cell>
        </row>
        <row r="775">
          <cell r="AG775">
            <v>39472</v>
          </cell>
          <cell r="AH775">
            <v>71.14</v>
          </cell>
        </row>
        <row r="776">
          <cell r="AG776">
            <v>39475</v>
          </cell>
          <cell r="AH776">
            <v>71.16</v>
          </cell>
        </row>
        <row r="777">
          <cell r="AG777">
            <v>39476</v>
          </cell>
          <cell r="AH777">
            <v>71.31</v>
          </cell>
        </row>
        <row r="778">
          <cell r="AG778">
            <v>39477</v>
          </cell>
          <cell r="AH778">
            <v>71.45</v>
          </cell>
        </row>
        <row r="779">
          <cell r="AG779">
            <v>39478</v>
          </cell>
          <cell r="AH779">
            <v>71.849999999999994</v>
          </cell>
        </row>
        <row r="780">
          <cell r="AG780">
            <v>39479</v>
          </cell>
          <cell r="AH780">
            <v>72.19</v>
          </cell>
        </row>
        <row r="781">
          <cell r="AG781">
            <v>39490</v>
          </cell>
          <cell r="AH781">
            <v>72.25</v>
          </cell>
        </row>
        <row r="782">
          <cell r="AG782">
            <v>39491</v>
          </cell>
          <cell r="AH782">
            <v>72.3</v>
          </cell>
        </row>
        <row r="783">
          <cell r="AG783">
            <v>39492</v>
          </cell>
          <cell r="AH783">
            <v>72.37</v>
          </cell>
        </row>
        <row r="784">
          <cell r="AG784">
            <v>39493</v>
          </cell>
          <cell r="AH784">
            <v>72.37</v>
          </cell>
        </row>
        <row r="785">
          <cell r="AG785">
            <v>39496</v>
          </cell>
          <cell r="AH785">
            <v>72.349999999999994</v>
          </cell>
        </row>
        <row r="786">
          <cell r="AG786">
            <v>39497</v>
          </cell>
          <cell r="AH786">
            <v>72.38</v>
          </cell>
        </row>
        <row r="787">
          <cell r="AG787">
            <v>39498</v>
          </cell>
          <cell r="AH787">
            <v>72.36</v>
          </cell>
        </row>
        <row r="788">
          <cell r="AG788">
            <v>39499</v>
          </cell>
          <cell r="AH788">
            <v>72.45</v>
          </cell>
        </row>
        <row r="789">
          <cell r="AG789">
            <v>39500</v>
          </cell>
          <cell r="AH789">
            <v>72.400000000000006</v>
          </cell>
        </row>
        <row r="790">
          <cell r="AG790">
            <v>39503</v>
          </cell>
          <cell r="AH790">
            <v>72.400000000000006</v>
          </cell>
        </row>
        <row r="791">
          <cell r="AG791">
            <v>39504</v>
          </cell>
          <cell r="AH791">
            <v>72.52</v>
          </cell>
        </row>
        <row r="792">
          <cell r="AG792">
            <v>39505</v>
          </cell>
          <cell r="AH792">
            <v>72.66</v>
          </cell>
        </row>
        <row r="793">
          <cell r="AG793">
            <v>39507</v>
          </cell>
          <cell r="AH793">
            <v>72.67</v>
          </cell>
        </row>
        <row r="794">
          <cell r="AG794">
            <v>39510</v>
          </cell>
          <cell r="AH794">
            <v>72.62</v>
          </cell>
        </row>
        <row r="795">
          <cell r="AG795">
            <v>39511</v>
          </cell>
          <cell r="AH795">
            <v>72.7</v>
          </cell>
        </row>
        <row r="796">
          <cell r="AG796">
            <v>39512</v>
          </cell>
          <cell r="AH796">
            <v>72.819999999999993</v>
          </cell>
        </row>
        <row r="797">
          <cell r="AG797">
            <v>39513</v>
          </cell>
          <cell r="AH797">
            <v>72.989999999999995</v>
          </cell>
        </row>
        <row r="798">
          <cell r="AG798">
            <v>39514</v>
          </cell>
          <cell r="AH798">
            <v>73.010000000000005</v>
          </cell>
        </row>
        <row r="799">
          <cell r="AG799">
            <v>39517</v>
          </cell>
          <cell r="AH799">
            <v>72.89</v>
          </cell>
        </row>
        <row r="800">
          <cell r="AG800">
            <v>39518</v>
          </cell>
          <cell r="AH800">
            <v>72.88</v>
          </cell>
        </row>
        <row r="801">
          <cell r="AG801">
            <v>39519</v>
          </cell>
          <cell r="AH801">
            <v>73</v>
          </cell>
        </row>
        <row r="802">
          <cell r="AG802">
            <v>39520</v>
          </cell>
          <cell r="AH802">
            <v>72.959999999999994</v>
          </cell>
        </row>
        <row r="803">
          <cell r="AG803">
            <v>39521</v>
          </cell>
          <cell r="AH803">
            <v>72.89</v>
          </cell>
        </row>
        <row r="804">
          <cell r="AG804">
            <v>39524</v>
          </cell>
          <cell r="AH804">
            <v>72.849999999999994</v>
          </cell>
        </row>
        <row r="805">
          <cell r="AG805">
            <v>39525</v>
          </cell>
          <cell r="AH805">
            <v>72.81</v>
          </cell>
        </row>
        <row r="806">
          <cell r="AG806">
            <v>39526</v>
          </cell>
          <cell r="AH806">
            <v>72.86</v>
          </cell>
        </row>
        <row r="807">
          <cell r="AG807">
            <v>39527</v>
          </cell>
          <cell r="AH807">
            <v>72.86</v>
          </cell>
        </row>
        <row r="808">
          <cell r="AG808">
            <v>39528</v>
          </cell>
          <cell r="AH808">
            <v>73.150000000000006</v>
          </cell>
        </row>
        <row r="809">
          <cell r="AG809">
            <v>39531</v>
          </cell>
          <cell r="AH809">
            <v>75.790000000000006</v>
          </cell>
        </row>
        <row r="810">
          <cell r="AG810">
            <v>39532</v>
          </cell>
          <cell r="AH810">
            <v>75.92</v>
          </cell>
        </row>
        <row r="811">
          <cell r="AG811">
            <v>39533</v>
          </cell>
          <cell r="AH811">
            <v>75.930000000000007</v>
          </cell>
        </row>
        <row r="812">
          <cell r="AG812">
            <v>39534</v>
          </cell>
          <cell r="AH812">
            <v>75.84</v>
          </cell>
        </row>
        <row r="813">
          <cell r="AG813">
            <v>39535</v>
          </cell>
          <cell r="AH813">
            <v>75.64</v>
          </cell>
        </row>
        <row r="814">
          <cell r="AG814">
            <v>39538</v>
          </cell>
          <cell r="AH814">
            <v>75.569999999999993</v>
          </cell>
        </row>
        <row r="815">
          <cell r="AG815">
            <v>39539</v>
          </cell>
          <cell r="AH815">
            <v>75.56</v>
          </cell>
        </row>
        <row r="816">
          <cell r="AG816">
            <v>39540</v>
          </cell>
          <cell r="AH816">
            <v>75.67</v>
          </cell>
        </row>
        <row r="817">
          <cell r="AG817">
            <v>39541</v>
          </cell>
          <cell r="AH817">
            <v>75.709999999999994</v>
          </cell>
        </row>
        <row r="818">
          <cell r="AG818">
            <v>39545</v>
          </cell>
          <cell r="AH818">
            <v>75.739999999999995</v>
          </cell>
        </row>
        <row r="819">
          <cell r="AG819">
            <v>39546</v>
          </cell>
          <cell r="AH819">
            <v>75.73</v>
          </cell>
        </row>
        <row r="820">
          <cell r="AG820">
            <v>39547</v>
          </cell>
          <cell r="AH820">
            <v>75.680000000000007</v>
          </cell>
        </row>
        <row r="821">
          <cell r="AG821">
            <v>39548</v>
          </cell>
          <cell r="AH821">
            <v>75.75</v>
          </cell>
        </row>
        <row r="822">
          <cell r="AG822">
            <v>39549</v>
          </cell>
          <cell r="AH822">
            <v>75.72</v>
          </cell>
        </row>
        <row r="823">
          <cell r="AG823">
            <v>39552</v>
          </cell>
          <cell r="AH823">
            <v>75.66</v>
          </cell>
        </row>
        <row r="824">
          <cell r="AG824">
            <v>39553</v>
          </cell>
          <cell r="AH824">
            <v>75.61</v>
          </cell>
        </row>
        <row r="825">
          <cell r="AG825">
            <v>39554</v>
          </cell>
          <cell r="AH825">
            <v>75.73</v>
          </cell>
        </row>
        <row r="826">
          <cell r="AG826">
            <v>39555</v>
          </cell>
          <cell r="AH826">
            <v>76</v>
          </cell>
        </row>
        <row r="827">
          <cell r="AG827">
            <v>39556</v>
          </cell>
          <cell r="AH827">
            <v>76.03</v>
          </cell>
        </row>
        <row r="828">
          <cell r="AG828">
            <v>39559</v>
          </cell>
          <cell r="AH828">
            <v>76.14</v>
          </cell>
        </row>
        <row r="829">
          <cell r="AG829">
            <v>39560</v>
          </cell>
          <cell r="AH829">
            <v>76.2</v>
          </cell>
        </row>
        <row r="830">
          <cell r="AG830">
            <v>39561</v>
          </cell>
          <cell r="AH830">
            <v>76.069999999999993</v>
          </cell>
        </row>
        <row r="831">
          <cell r="AG831">
            <v>39562</v>
          </cell>
          <cell r="AH831">
            <v>75.94</v>
          </cell>
        </row>
        <row r="832">
          <cell r="AG832">
            <v>39563</v>
          </cell>
          <cell r="AH832">
            <v>75.97</v>
          </cell>
        </row>
        <row r="833">
          <cell r="AG833">
            <v>39566</v>
          </cell>
          <cell r="AH833">
            <v>76.040000000000006</v>
          </cell>
        </row>
        <row r="834">
          <cell r="AG834">
            <v>39567</v>
          </cell>
          <cell r="AH834">
            <v>76.02</v>
          </cell>
        </row>
        <row r="835">
          <cell r="AG835">
            <v>39568</v>
          </cell>
          <cell r="AH835">
            <v>73.47</v>
          </cell>
        </row>
        <row r="836">
          <cell r="AG836">
            <v>39570</v>
          </cell>
          <cell r="AH836">
            <v>73.709999999999994</v>
          </cell>
        </row>
        <row r="837">
          <cell r="AG837">
            <v>39573</v>
          </cell>
          <cell r="AH837">
            <v>73.72</v>
          </cell>
        </row>
        <row r="838">
          <cell r="AG838">
            <v>39574</v>
          </cell>
          <cell r="AH838">
            <v>73.81</v>
          </cell>
        </row>
        <row r="839">
          <cell r="AG839">
            <v>39575</v>
          </cell>
          <cell r="AH839">
            <v>73.95</v>
          </cell>
        </row>
        <row r="840">
          <cell r="AG840">
            <v>39576</v>
          </cell>
          <cell r="AH840">
            <v>73.92</v>
          </cell>
        </row>
        <row r="841">
          <cell r="AG841">
            <v>39577</v>
          </cell>
          <cell r="AH841">
            <v>73.92</v>
          </cell>
        </row>
        <row r="842">
          <cell r="AG842">
            <v>39580</v>
          </cell>
          <cell r="AH842">
            <v>73.94</v>
          </cell>
        </row>
        <row r="843">
          <cell r="AG843">
            <v>39581</v>
          </cell>
          <cell r="AH843">
            <v>74.12</v>
          </cell>
        </row>
        <row r="844">
          <cell r="AG844">
            <v>39582</v>
          </cell>
          <cell r="AH844">
            <v>74.28</v>
          </cell>
        </row>
        <row r="845">
          <cell r="AG845">
            <v>39583</v>
          </cell>
          <cell r="AH845">
            <v>74.34</v>
          </cell>
        </row>
        <row r="846">
          <cell r="AG846">
            <v>39584</v>
          </cell>
          <cell r="AH846">
            <v>74.489999999999995</v>
          </cell>
        </row>
        <row r="847">
          <cell r="AG847">
            <v>39587</v>
          </cell>
          <cell r="AH847">
            <v>74.61</v>
          </cell>
        </row>
        <row r="848">
          <cell r="AG848">
            <v>39588</v>
          </cell>
          <cell r="AH848">
            <v>74.599999999999994</v>
          </cell>
        </row>
        <row r="849">
          <cell r="AG849">
            <v>39589</v>
          </cell>
          <cell r="AH849">
            <v>74.59</v>
          </cell>
        </row>
        <row r="850">
          <cell r="AG850">
            <v>39590</v>
          </cell>
          <cell r="AH850">
            <v>74.52</v>
          </cell>
        </row>
        <row r="851">
          <cell r="AG851">
            <v>39591</v>
          </cell>
          <cell r="AH851">
            <v>74.48</v>
          </cell>
        </row>
        <row r="852">
          <cell r="AG852">
            <v>39594</v>
          </cell>
          <cell r="AH852">
            <v>74.47</v>
          </cell>
        </row>
        <row r="853">
          <cell r="AG853">
            <v>39595</v>
          </cell>
          <cell r="AH853">
            <v>74.47</v>
          </cell>
        </row>
        <row r="854">
          <cell r="AG854">
            <v>39596</v>
          </cell>
          <cell r="AH854">
            <v>74.709999999999994</v>
          </cell>
        </row>
        <row r="855">
          <cell r="AG855">
            <v>39597</v>
          </cell>
          <cell r="AH855">
            <v>74.98</v>
          </cell>
        </row>
        <row r="856">
          <cell r="AG856">
            <v>39598</v>
          </cell>
          <cell r="AH856">
            <v>75.17</v>
          </cell>
        </row>
        <row r="857">
          <cell r="AG857">
            <v>39601</v>
          </cell>
          <cell r="AH857">
            <v>75.28</v>
          </cell>
        </row>
        <row r="858">
          <cell r="AG858">
            <v>39602</v>
          </cell>
          <cell r="AH858">
            <v>75.290000000000006</v>
          </cell>
        </row>
        <row r="859">
          <cell r="AG859">
            <v>39603</v>
          </cell>
          <cell r="AH859">
            <v>75.290000000000006</v>
          </cell>
        </row>
        <row r="860">
          <cell r="AG860">
            <v>39604</v>
          </cell>
          <cell r="AH860">
            <v>75.290000000000006</v>
          </cell>
        </row>
        <row r="861">
          <cell r="AG861">
            <v>39605</v>
          </cell>
          <cell r="AH861">
            <v>75.39</v>
          </cell>
        </row>
        <row r="862">
          <cell r="AG862">
            <v>39608</v>
          </cell>
          <cell r="AH862">
            <v>75.150000000000006</v>
          </cell>
        </row>
        <row r="863">
          <cell r="AG863">
            <v>39609</v>
          </cell>
          <cell r="AH863">
            <v>74.930000000000007</v>
          </cell>
        </row>
        <row r="864">
          <cell r="AG864">
            <v>39610</v>
          </cell>
          <cell r="AH864">
            <v>74.95</v>
          </cell>
        </row>
        <row r="865">
          <cell r="AG865">
            <v>39611</v>
          </cell>
          <cell r="AH865">
            <v>74.87</v>
          </cell>
        </row>
        <row r="866">
          <cell r="AG866">
            <v>39612</v>
          </cell>
          <cell r="AH866">
            <v>74.89</v>
          </cell>
        </row>
        <row r="867">
          <cell r="AG867">
            <v>39615</v>
          </cell>
          <cell r="AH867">
            <v>74.91</v>
          </cell>
        </row>
        <row r="868">
          <cell r="AG868">
            <v>39616</v>
          </cell>
          <cell r="AH868">
            <v>74.91</v>
          </cell>
        </row>
        <row r="869">
          <cell r="AG869">
            <v>39617</v>
          </cell>
          <cell r="AH869">
            <v>74.89</v>
          </cell>
        </row>
        <row r="870">
          <cell r="AG870">
            <v>39618</v>
          </cell>
          <cell r="AH870">
            <v>74.77</v>
          </cell>
        </row>
        <row r="871">
          <cell r="AG871">
            <v>39619</v>
          </cell>
          <cell r="AH871">
            <v>74.680000000000007</v>
          </cell>
        </row>
        <row r="872">
          <cell r="AG872">
            <v>39622</v>
          </cell>
          <cell r="AH872">
            <v>74.59</v>
          </cell>
        </row>
        <row r="873">
          <cell r="AG873">
            <v>39623</v>
          </cell>
          <cell r="AH873">
            <v>74.569999999999993</v>
          </cell>
        </row>
        <row r="874">
          <cell r="AG874">
            <v>39624</v>
          </cell>
          <cell r="AH874">
            <v>74.599999999999994</v>
          </cell>
        </row>
        <row r="875">
          <cell r="AG875">
            <v>39625</v>
          </cell>
          <cell r="AH875">
            <v>74.58</v>
          </cell>
        </row>
        <row r="876">
          <cell r="AG876">
            <v>39626</v>
          </cell>
          <cell r="AH876">
            <v>74.19</v>
          </cell>
        </row>
        <row r="877">
          <cell r="AG877">
            <v>39629</v>
          </cell>
          <cell r="AH877">
            <v>74.03</v>
          </cell>
        </row>
        <row r="878">
          <cell r="AG878">
            <v>39630</v>
          </cell>
          <cell r="AH878">
            <v>74.03</v>
          </cell>
        </row>
        <row r="879">
          <cell r="AG879">
            <v>39631</v>
          </cell>
          <cell r="AH879">
            <v>73.84</v>
          </cell>
        </row>
        <row r="880">
          <cell r="AG880">
            <v>39632</v>
          </cell>
          <cell r="AH880">
            <v>73.69</v>
          </cell>
        </row>
        <row r="881">
          <cell r="AG881">
            <v>39633</v>
          </cell>
          <cell r="AH881">
            <v>73.61</v>
          </cell>
        </row>
        <row r="882">
          <cell r="AG882">
            <v>39636</v>
          </cell>
          <cell r="AH882">
            <v>73.599999999999994</v>
          </cell>
        </row>
        <row r="883">
          <cell r="AG883">
            <v>39637</v>
          </cell>
          <cell r="AH883">
            <v>73.5</v>
          </cell>
        </row>
        <row r="884">
          <cell r="AG884">
            <v>39638</v>
          </cell>
          <cell r="AH884">
            <v>73.52</v>
          </cell>
        </row>
        <row r="885">
          <cell r="AG885">
            <v>39639</v>
          </cell>
          <cell r="AH885">
            <v>73.510000000000005</v>
          </cell>
        </row>
        <row r="886">
          <cell r="AG886">
            <v>39640</v>
          </cell>
          <cell r="AH886">
            <v>73.569999999999993</v>
          </cell>
        </row>
        <row r="887">
          <cell r="AG887">
            <v>39643</v>
          </cell>
          <cell r="AH887">
            <v>73.55</v>
          </cell>
        </row>
        <row r="888">
          <cell r="AG888">
            <v>39644</v>
          </cell>
          <cell r="AH888">
            <v>73.5</v>
          </cell>
        </row>
        <row r="889">
          <cell r="AG889">
            <v>39645</v>
          </cell>
          <cell r="AH889">
            <v>73.42</v>
          </cell>
        </row>
        <row r="890">
          <cell r="AG890">
            <v>39646</v>
          </cell>
          <cell r="AH890">
            <v>73.47</v>
          </cell>
        </row>
        <row r="891">
          <cell r="AG891">
            <v>39647</v>
          </cell>
          <cell r="AH891">
            <v>73.489999999999995</v>
          </cell>
        </row>
        <row r="892">
          <cell r="AG892">
            <v>39650</v>
          </cell>
          <cell r="AH892">
            <v>73.52</v>
          </cell>
        </row>
        <row r="893">
          <cell r="AG893">
            <v>39651</v>
          </cell>
          <cell r="AH893">
            <v>73.430000000000007</v>
          </cell>
        </row>
        <row r="894">
          <cell r="AG894">
            <v>39652</v>
          </cell>
          <cell r="AH894">
            <v>73.38</v>
          </cell>
        </row>
        <row r="895">
          <cell r="AG895">
            <v>39653</v>
          </cell>
          <cell r="AH895">
            <v>73.41</v>
          </cell>
        </row>
        <row r="896">
          <cell r="AG896">
            <v>39654</v>
          </cell>
          <cell r="AH896">
            <v>73.430000000000007</v>
          </cell>
        </row>
        <row r="897">
          <cell r="AG897">
            <v>39658</v>
          </cell>
          <cell r="AH897">
            <v>73.290000000000006</v>
          </cell>
        </row>
        <row r="898">
          <cell r="AG898">
            <v>39659</v>
          </cell>
          <cell r="AH898">
            <v>73.349999999999994</v>
          </cell>
        </row>
        <row r="899">
          <cell r="AG899">
            <v>39660</v>
          </cell>
          <cell r="AH899">
            <v>73.319999999999993</v>
          </cell>
        </row>
        <row r="900">
          <cell r="AG900">
            <v>39661</v>
          </cell>
          <cell r="AH900">
            <v>73.319999999999993</v>
          </cell>
        </row>
        <row r="901">
          <cell r="AG901">
            <v>39664</v>
          </cell>
          <cell r="AH901">
            <v>73.3</v>
          </cell>
        </row>
        <row r="902">
          <cell r="AG902">
            <v>39665</v>
          </cell>
          <cell r="AH902">
            <v>73.27</v>
          </cell>
        </row>
        <row r="903">
          <cell r="AG903">
            <v>39666</v>
          </cell>
          <cell r="AH903">
            <v>73.400000000000006</v>
          </cell>
        </row>
        <row r="904">
          <cell r="AG904">
            <v>39667</v>
          </cell>
          <cell r="AH904">
            <v>73.47</v>
          </cell>
        </row>
        <row r="905">
          <cell r="AG905">
            <v>39668</v>
          </cell>
          <cell r="AH905">
            <v>71.17</v>
          </cell>
        </row>
        <row r="906">
          <cell r="AG906">
            <v>39671</v>
          </cell>
          <cell r="AH906">
            <v>71.2</v>
          </cell>
        </row>
        <row r="907">
          <cell r="AG907">
            <v>39672</v>
          </cell>
          <cell r="AH907">
            <v>71.290000000000006</v>
          </cell>
        </row>
        <row r="908">
          <cell r="AG908">
            <v>39673</v>
          </cell>
          <cell r="AH908">
            <v>71.400000000000006</v>
          </cell>
        </row>
        <row r="909">
          <cell r="AG909">
            <v>39674</v>
          </cell>
          <cell r="AH909">
            <v>70.91</v>
          </cell>
        </row>
        <row r="910">
          <cell r="AG910">
            <v>39675</v>
          </cell>
          <cell r="AH910">
            <v>70.87</v>
          </cell>
        </row>
        <row r="911">
          <cell r="AG911">
            <v>39678</v>
          </cell>
          <cell r="AH911">
            <v>70.819999999999993</v>
          </cell>
        </row>
        <row r="912">
          <cell r="AG912">
            <v>39679</v>
          </cell>
          <cell r="AH912">
            <v>70.78</v>
          </cell>
        </row>
        <row r="913">
          <cell r="AG913">
            <v>39680</v>
          </cell>
          <cell r="AH913">
            <v>70.75</v>
          </cell>
        </row>
        <row r="914">
          <cell r="AG914">
            <v>39681</v>
          </cell>
          <cell r="AH914">
            <v>70.680000000000007</v>
          </cell>
        </row>
        <row r="915">
          <cell r="AG915">
            <v>39682</v>
          </cell>
          <cell r="AH915">
            <v>70.650000000000006</v>
          </cell>
        </row>
        <row r="916">
          <cell r="AG916">
            <v>39685</v>
          </cell>
          <cell r="AH916">
            <v>70.62</v>
          </cell>
        </row>
        <row r="917">
          <cell r="AG917">
            <v>39686</v>
          </cell>
          <cell r="AH917">
            <v>70.55</v>
          </cell>
        </row>
        <row r="918">
          <cell r="AG918">
            <v>39687</v>
          </cell>
          <cell r="AH918">
            <v>70.540000000000006</v>
          </cell>
        </row>
        <row r="919">
          <cell r="AG919">
            <v>39688</v>
          </cell>
          <cell r="AH919">
            <v>70.430000000000007</v>
          </cell>
        </row>
        <row r="920">
          <cell r="AG920">
            <v>39689</v>
          </cell>
          <cell r="AH920">
            <v>70.290000000000006</v>
          </cell>
        </row>
        <row r="921">
          <cell r="AG921">
            <v>39692</v>
          </cell>
          <cell r="AH921">
            <v>70.010000000000005</v>
          </cell>
        </row>
        <row r="922">
          <cell r="AG922">
            <v>39693</v>
          </cell>
          <cell r="AH922">
            <v>69.77</v>
          </cell>
        </row>
        <row r="923">
          <cell r="AG923">
            <v>39694</v>
          </cell>
          <cell r="AH923">
            <v>69.72</v>
          </cell>
        </row>
        <row r="924">
          <cell r="AG924">
            <v>39695</v>
          </cell>
          <cell r="AH924">
            <v>69.650000000000006</v>
          </cell>
        </row>
        <row r="925">
          <cell r="AG925">
            <v>39696</v>
          </cell>
          <cell r="AH925">
            <v>69.55</v>
          </cell>
        </row>
        <row r="926">
          <cell r="AG926">
            <v>39699</v>
          </cell>
          <cell r="AH926">
            <v>69.63</v>
          </cell>
        </row>
        <row r="927">
          <cell r="AG927">
            <v>39700</v>
          </cell>
          <cell r="AH927">
            <v>69.56</v>
          </cell>
        </row>
        <row r="928">
          <cell r="AG928">
            <v>39701</v>
          </cell>
          <cell r="AH928">
            <v>69.48</v>
          </cell>
        </row>
        <row r="929">
          <cell r="AG929">
            <v>39702</v>
          </cell>
          <cell r="AH929">
            <v>69.41</v>
          </cell>
        </row>
        <row r="930">
          <cell r="AG930">
            <v>39703</v>
          </cell>
          <cell r="AH930">
            <v>69.959999999999994</v>
          </cell>
        </row>
        <row r="931">
          <cell r="AG931">
            <v>39706</v>
          </cell>
          <cell r="AH931">
            <v>69.930000000000007</v>
          </cell>
        </row>
        <row r="932">
          <cell r="AG932">
            <v>39707</v>
          </cell>
          <cell r="AH932">
            <v>70</v>
          </cell>
        </row>
        <row r="933">
          <cell r="AG933">
            <v>39708</v>
          </cell>
          <cell r="AH933">
            <v>70.08</v>
          </cell>
        </row>
        <row r="934">
          <cell r="AG934">
            <v>39709</v>
          </cell>
          <cell r="AH934">
            <v>70.099999999999994</v>
          </cell>
        </row>
        <row r="935">
          <cell r="AG935">
            <v>39710</v>
          </cell>
          <cell r="AH935">
            <v>70.33</v>
          </cell>
        </row>
        <row r="936">
          <cell r="AG936">
            <v>39713</v>
          </cell>
          <cell r="AH936">
            <v>70.42</v>
          </cell>
        </row>
        <row r="937">
          <cell r="AG937">
            <v>39714</v>
          </cell>
          <cell r="AH937">
            <v>70.41</v>
          </cell>
        </row>
        <row r="938">
          <cell r="AG938">
            <v>39715</v>
          </cell>
          <cell r="AH938">
            <v>70.48</v>
          </cell>
        </row>
        <row r="939">
          <cell r="AG939">
            <v>39716</v>
          </cell>
          <cell r="AH939">
            <v>70.48</v>
          </cell>
        </row>
        <row r="940">
          <cell r="AG940">
            <v>39717</v>
          </cell>
          <cell r="AH940">
            <v>70.47</v>
          </cell>
        </row>
        <row r="941">
          <cell r="AG941">
            <v>39721</v>
          </cell>
          <cell r="AH941">
            <v>70.459999999999994</v>
          </cell>
        </row>
        <row r="942">
          <cell r="AG942">
            <v>39722</v>
          </cell>
          <cell r="AH942">
            <v>70.47</v>
          </cell>
        </row>
        <row r="943">
          <cell r="AG943">
            <v>39723</v>
          </cell>
          <cell r="AH943">
            <v>70.400000000000006</v>
          </cell>
        </row>
        <row r="944">
          <cell r="AG944">
            <v>39724</v>
          </cell>
          <cell r="AH944">
            <v>70.36</v>
          </cell>
        </row>
        <row r="945">
          <cell r="AG945">
            <v>39727</v>
          </cell>
          <cell r="AH945">
            <v>70.3</v>
          </cell>
        </row>
        <row r="946">
          <cell r="AG946">
            <v>39728</v>
          </cell>
          <cell r="AH946">
            <v>70.290000000000006</v>
          </cell>
        </row>
        <row r="947">
          <cell r="AG947">
            <v>39729</v>
          </cell>
          <cell r="AH947">
            <v>70.150000000000006</v>
          </cell>
        </row>
        <row r="948">
          <cell r="AG948">
            <v>39730</v>
          </cell>
          <cell r="AH948">
            <v>70.17</v>
          </cell>
        </row>
        <row r="949">
          <cell r="AG949">
            <v>39734</v>
          </cell>
          <cell r="AH949">
            <v>70.16</v>
          </cell>
        </row>
        <row r="950">
          <cell r="AG950">
            <v>39735</v>
          </cell>
          <cell r="AH950">
            <v>70.239999999999995</v>
          </cell>
        </row>
        <row r="951">
          <cell r="AG951">
            <v>39736</v>
          </cell>
          <cell r="AH951">
            <v>70.23</v>
          </cell>
        </row>
        <row r="952">
          <cell r="AG952">
            <v>39737</v>
          </cell>
          <cell r="AH952">
            <v>70.209999999999994</v>
          </cell>
        </row>
        <row r="953">
          <cell r="AG953">
            <v>39738</v>
          </cell>
          <cell r="AH953">
            <v>70.16</v>
          </cell>
        </row>
        <row r="954">
          <cell r="AG954">
            <v>39741</v>
          </cell>
          <cell r="AH954">
            <v>70.08</v>
          </cell>
        </row>
        <row r="955">
          <cell r="AG955">
            <v>39742</v>
          </cell>
          <cell r="AH955">
            <v>70.06</v>
          </cell>
        </row>
        <row r="956">
          <cell r="AG956">
            <v>39743</v>
          </cell>
          <cell r="AH956">
            <v>70.05</v>
          </cell>
        </row>
        <row r="957">
          <cell r="AG957">
            <v>39744</v>
          </cell>
          <cell r="AH957">
            <v>70.06</v>
          </cell>
        </row>
        <row r="958">
          <cell r="AG958">
            <v>39745</v>
          </cell>
          <cell r="AH958">
            <v>70.08</v>
          </cell>
        </row>
        <row r="959">
          <cell r="AG959">
            <v>39748</v>
          </cell>
          <cell r="AH959">
            <v>70.08</v>
          </cell>
        </row>
        <row r="960">
          <cell r="AG960">
            <v>39749</v>
          </cell>
          <cell r="AH960">
            <v>70.03</v>
          </cell>
        </row>
        <row r="961">
          <cell r="AG961">
            <v>39750</v>
          </cell>
          <cell r="AH961">
            <v>70.13</v>
          </cell>
        </row>
        <row r="962">
          <cell r="AG962">
            <v>39751</v>
          </cell>
          <cell r="AH962">
            <v>70.25</v>
          </cell>
        </row>
        <row r="963">
          <cell r="AG963">
            <v>39752</v>
          </cell>
          <cell r="AH963">
            <v>70.44</v>
          </cell>
        </row>
        <row r="964">
          <cell r="AG964">
            <v>39755</v>
          </cell>
          <cell r="AH964">
            <v>70.459999999999994</v>
          </cell>
        </row>
        <row r="965">
          <cell r="AG965">
            <v>39756</v>
          </cell>
          <cell r="AH965">
            <v>70.569999999999993</v>
          </cell>
        </row>
        <row r="966">
          <cell r="AG966">
            <v>39757</v>
          </cell>
          <cell r="AH966">
            <v>70.62</v>
          </cell>
        </row>
        <row r="967">
          <cell r="AG967">
            <v>39758</v>
          </cell>
          <cell r="AH967">
            <v>70.540000000000006</v>
          </cell>
        </row>
        <row r="968">
          <cell r="AG968">
            <v>39759</v>
          </cell>
          <cell r="AH968">
            <v>70.349999999999994</v>
          </cell>
        </row>
        <row r="969">
          <cell r="AG969">
            <v>39762</v>
          </cell>
          <cell r="AH969">
            <v>70.36</v>
          </cell>
        </row>
        <row r="970">
          <cell r="AG970">
            <v>39763</v>
          </cell>
          <cell r="AH970">
            <v>70.400000000000006</v>
          </cell>
        </row>
        <row r="971">
          <cell r="AG971">
            <v>39764</v>
          </cell>
          <cell r="AH971">
            <v>70.37</v>
          </cell>
        </row>
        <row r="972">
          <cell r="AG972">
            <v>39765</v>
          </cell>
          <cell r="AH972">
            <v>70.260000000000005</v>
          </cell>
        </row>
        <row r="973">
          <cell r="AG973">
            <v>39766</v>
          </cell>
          <cell r="AH973">
            <v>70.260000000000005</v>
          </cell>
        </row>
        <row r="974">
          <cell r="AG974">
            <v>39769</v>
          </cell>
          <cell r="AH974">
            <v>70.239999999999995</v>
          </cell>
        </row>
        <row r="975">
          <cell r="AG975">
            <v>39770</v>
          </cell>
          <cell r="AH975">
            <v>70.150000000000006</v>
          </cell>
        </row>
        <row r="976">
          <cell r="AG976">
            <v>39771</v>
          </cell>
          <cell r="AH976">
            <v>70.06</v>
          </cell>
        </row>
        <row r="977">
          <cell r="AG977">
            <v>39772</v>
          </cell>
          <cell r="AH977">
            <v>70</v>
          </cell>
        </row>
        <row r="978">
          <cell r="AG978">
            <v>39773</v>
          </cell>
          <cell r="AH978">
            <v>69.97</v>
          </cell>
        </row>
        <row r="979">
          <cell r="AG979">
            <v>39776</v>
          </cell>
          <cell r="AH979">
            <v>69.92</v>
          </cell>
        </row>
        <row r="980">
          <cell r="AG980">
            <v>39777</v>
          </cell>
          <cell r="AH980">
            <v>70.03</v>
          </cell>
        </row>
        <row r="981">
          <cell r="AG981">
            <v>39778</v>
          </cell>
          <cell r="AH981">
            <v>70.02</v>
          </cell>
        </row>
        <row r="982">
          <cell r="AG982">
            <v>39779</v>
          </cell>
          <cell r="AH982">
            <v>70.02</v>
          </cell>
        </row>
        <row r="983">
          <cell r="AG983">
            <v>39780</v>
          </cell>
          <cell r="AH983">
            <v>70.02</v>
          </cell>
        </row>
        <row r="984">
          <cell r="AG984">
            <v>39783</v>
          </cell>
          <cell r="AH984">
            <v>70.03</v>
          </cell>
        </row>
        <row r="985">
          <cell r="AG985">
            <v>39784</v>
          </cell>
          <cell r="AH985">
            <v>69.959999999999994</v>
          </cell>
        </row>
        <row r="986">
          <cell r="AG986">
            <v>39785</v>
          </cell>
          <cell r="AH986">
            <v>69.87</v>
          </cell>
        </row>
        <row r="987">
          <cell r="AG987">
            <v>39786</v>
          </cell>
          <cell r="AH987">
            <v>69.81</v>
          </cell>
        </row>
        <row r="988">
          <cell r="AG988">
            <v>39787</v>
          </cell>
          <cell r="AH988">
            <v>69.84</v>
          </cell>
        </row>
        <row r="989">
          <cell r="AG989">
            <v>39790</v>
          </cell>
          <cell r="AH989">
            <v>69.88</v>
          </cell>
        </row>
        <row r="990">
          <cell r="AG990">
            <v>39791</v>
          </cell>
          <cell r="AH990">
            <v>69.989999999999995</v>
          </cell>
        </row>
        <row r="991">
          <cell r="AG991">
            <v>39792</v>
          </cell>
          <cell r="AH991">
            <v>70.25</v>
          </cell>
        </row>
        <row r="992">
          <cell r="AG992">
            <v>39793</v>
          </cell>
          <cell r="AH992">
            <v>70.41</v>
          </cell>
        </row>
        <row r="993">
          <cell r="AG993">
            <v>39794</v>
          </cell>
          <cell r="AH993">
            <v>70.38</v>
          </cell>
        </row>
        <row r="994">
          <cell r="AG994">
            <v>39797</v>
          </cell>
          <cell r="AH994">
            <v>70.48</v>
          </cell>
        </row>
        <row r="995">
          <cell r="AG995">
            <v>39798</v>
          </cell>
          <cell r="AH995">
            <v>70.62</v>
          </cell>
        </row>
        <row r="996">
          <cell r="AG996">
            <v>39799</v>
          </cell>
          <cell r="AH996">
            <v>70.849999999999994</v>
          </cell>
        </row>
        <row r="997">
          <cell r="AG997">
            <v>39800</v>
          </cell>
          <cell r="AH997">
            <v>70.84</v>
          </cell>
        </row>
        <row r="998">
          <cell r="AG998">
            <v>39801</v>
          </cell>
          <cell r="AH998">
            <v>70.87</v>
          </cell>
        </row>
        <row r="999">
          <cell r="AG999">
            <v>39804</v>
          </cell>
          <cell r="AH999">
            <v>71.67</v>
          </cell>
        </row>
        <row r="1000">
          <cell r="AG1000">
            <v>39805</v>
          </cell>
          <cell r="AH1000">
            <v>71.69</v>
          </cell>
        </row>
        <row r="1001">
          <cell r="AG1001">
            <v>39806</v>
          </cell>
          <cell r="AH1001">
            <v>71.680000000000007</v>
          </cell>
        </row>
        <row r="1002">
          <cell r="AG1002">
            <v>39807</v>
          </cell>
          <cell r="AH1002">
            <v>71.67</v>
          </cell>
        </row>
        <row r="1003">
          <cell r="AG1003">
            <v>39808</v>
          </cell>
          <cell r="AH1003">
            <v>71.67</v>
          </cell>
        </row>
        <row r="1004">
          <cell r="AG1004">
            <v>39811</v>
          </cell>
          <cell r="AH1004">
            <v>71.66</v>
          </cell>
        </row>
        <row r="1005">
          <cell r="AG1005">
            <v>39812</v>
          </cell>
          <cell r="AH1005">
            <v>71.739999999999995</v>
          </cell>
        </row>
        <row r="1006">
          <cell r="AG1006">
            <v>39813</v>
          </cell>
          <cell r="AH1006">
            <v>71.73</v>
          </cell>
        </row>
        <row r="1007">
          <cell r="AG1007">
            <v>39818</v>
          </cell>
          <cell r="AH1007">
            <v>71.790000000000006</v>
          </cell>
        </row>
        <row r="1008">
          <cell r="AG1008">
            <v>39819</v>
          </cell>
          <cell r="AH1008">
            <v>71.790000000000006</v>
          </cell>
        </row>
        <row r="1009">
          <cell r="AG1009">
            <v>39820</v>
          </cell>
          <cell r="AH1009">
            <v>71.760000000000005</v>
          </cell>
        </row>
        <row r="1010">
          <cell r="AG1010">
            <v>39821</v>
          </cell>
          <cell r="AH1010">
            <v>71.62</v>
          </cell>
        </row>
        <row r="1011">
          <cell r="AG1011">
            <v>39822</v>
          </cell>
          <cell r="AH1011">
            <v>71.53</v>
          </cell>
        </row>
        <row r="1012">
          <cell r="AG1012">
            <v>39823</v>
          </cell>
          <cell r="AH1012">
            <v>71.5</v>
          </cell>
        </row>
        <row r="1013">
          <cell r="AG1013">
            <v>39825</v>
          </cell>
          <cell r="AH1013">
            <v>71.47</v>
          </cell>
        </row>
        <row r="1014">
          <cell r="AG1014">
            <v>39826</v>
          </cell>
          <cell r="AH1014">
            <v>71.540000000000006</v>
          </cell>
        </row>
        <row r="1015">
          <cell r="AG1015">
            <v>39827</v>
          </cell>
          <cell r="AH1015">
            <v>71.540000000000006</v>
          </cell>
        </row>
        <row r="1016">
          <cell r="AG1016">
            <v>39828</v>
          </cell>
          <cell r="AH1016">
            <v>71.39</v>
          </cell>
        </row>
        <row r="1017">
          <cell r="AG1017">
            <v>39829</v>
          </cell>
          <cell r="AH1017">
            <v>71.39</v>
          </cell>
        </row>
        <row r="1018">
          <cell r="AG1018">
            <v>39830</v>
          </cell>
          <cell r="AH1018">
            <v>71.38</v>
          </cell>
        </row>
        <row r="1019">
          <cell r="AG1019">
            <v>39832</v>
          </cell>
          <cell r="AH1019">
            <v>71.34</v>
          </cell>
        </row>
        <row r="1020">
          <cell r="AG1020">
            <v>39833</v>
          </cell>
          <cell r="AH1020">
            <v>71.180000000000007</v>
          </cell>
        </row>
        <row r="1021">
          <cell r="AG1021">
            <v>39834</v>
          </cell>
          <cell r="AH1021">
            <v>71.19</v>
          </cell>
        </row>
        <row r="1022">
          <cell r="AG1022">
            <v>39846</v>
          </cell>
          <cell r="AH1022">
            <v>71.3</v>
          </cell>
        </row>
        <row r="1023">
          <cell r="AG1023">
            <v>39847</v>
          </cell>
          <cell r="AH1023">
            <v>71.36</v>
          </cell>
        </row>
        <row r="1024">
          <cell r="AG1024">
            <v>39848</v>
          </cell>
          <cell r="AH1024">
            <v>71.37</v>
          </cell>
        </row>
        <row r="1025">
          <cell r="AG1025">
            <v>39849</v>
          </cell>
          <cell r="AH1025">
            <v>71.400000000000006</v>
          </cell>
        </row>
        <row r="1026">
          <cell r="AG1026">
            <v>39850</v>
          </cell>
          <cell r="AH1026">
            <v>71.59</v>
          </cell>
        </row>
        <row r="1027">
          <cell r="AG1027">
            <v>39853</v>
          </cell>
          <cell r="AH1027">
            <v>71.760000000000005</v>
          </cell>
        </row>
        <row r="1028">
          <cell r="AG1028">
            <v>39854</v>
          </cell>
          <cell r="AH1028">
            <v>71.77</v>
          </cell>
        </row>
        <row r="1029">
          <cell r="AG1029">
            <v>39855</v>
          </cell>
          <cell r="AH1029">
            <v>71.83</v>
          </cell>
        </row>
        <row r="1030">
          <cell r="AG1030">
            <v>39856</v>
          </cell>
          <cell r="AH1030">
            <v>71.89</v>
          </cell>
        </row>
        <row r="1031">
          <cell r="AG1031">
            <v>39857</v>
          </cell>
          <cell r="AH1031">
            <v>71.94</v>
          </cell>
        </row>
        <row r="1032">
          <cell r="AG1032">
            <v>39860</v>
          </cell>
          <cell r="AH1032">
            <v>71.92</v>
          </cell>
        </row>
        <row r="1033">
          <cell r="AG1033">
            <v>39861</v>
          </cell>
          <cell r="AH1033">
            <v>71.790000000000006</v>
          </cell>
        </row>
        <row r="1034">
          <cell r="AG1034">
            <v>39862</v>
          </cell>
          <cell r="AH1034">
            <v>71.87</v>
          </cell>
        </row>
        <row r="1035">
          <cell r="AG1035">
            <v>39863</v>
          </cell>
          <cell r="AH1035">
            <v>71.930000000000007</v>
          </cell>
        </row>
        <row r="1036">
          <cell r="AG1036">
            <v>39864</v>
          </cell>
          <cell r="AH1036">
            <v>71.78</v>
          </cell>
        </row>
        <row r="1037">
          <cell r="AG1037">
            <v>39867</v>
          </cell>
          <cell r="AH1037">
            <v>71.8</v>
          </cell>
        </row>
        <row r="1038">
          <cell r="AG1038">
            <v>39868</v>
          </cell>
          <cell r="AH1038">
            <v>71.7</v>
          </cell>
        </row>
        <row r="1039">
          <cell r="AG1039">
            <v>39869</v>
          </cell>
          <cell r="AH1039">
            <v>71.75</v>
          </cell>
        </row>
        <row r="1040">
          <cell r="AG1040">
            <v>39870</v>
          </cell>
          <cell r="AH1040">
            <v>71.75</v>
          </cell>
        </row>
        <row r="1041">
          <cell r="AG1041">
            <v>39871</v>
          </cell>
          <cell r="AH1041">
            <v>71.739999999999995</v>
          </cell>
        </row>
        <row r="1042">
          <cell r="AG1042">
            <v>39874</v>
          </cell>
          <cell r="AH1042">
            <v>71.59</v>
          </cell>
        </row>
        <row r="1043">
          <cell r="AG1043">
            <v>39875</v>
          </cell>
          <cell r="AH1043">
            <v>71.53</v>
          </cell>
        </row>
        <row r="1044">
          <cell r="AG1044">
            <v>39876</v>
          </cell>
          <cell r="AH1044">
            <v>71.59</v>
          </cell>
        </row>
        <row r="1045">
          <cell r="AG1045">
            <v>39877</v>
          </cell>
          <cell r="AH1045">
            <v>71.7</v>
          </cell>
        </row>
        <row r="1046">
          <cell r="AG1046">
            <v>39878</v>
          </cell>
          <cell r="AH1046">
            <v>71.87</v>
          </cell>
        </row>
        <row r="1047">
          <cell r="AG1047">
            <v>39881</v>
          </cell>
          <cell r="AH1047">
            <v>71.89</v>
          </cell>
        </row>
        <row r="1048">
          <cell r="AG1048">
            <v>39882</v>
          </cell>
          <cell r="AH1048">
            <v>71.8</v>
          </cell>
        </row>
        <row r="1049">
          <cell r="AG1049">
            <v>39883</v>
          </cell>
          <cell r="AH1049">
            <v>71.97</v>
          </cell>
        </row>
        <row r="1050">
          <cell r="AG1050">
            <v>39884</v>
          </cell>
          <cell r="AH1050">
            <v>71.959999999999994</v>
          </cell>
        </row>
        <row r="1051">
          <cell r="AG1051">
            <v>39885</v>
          </cell>
          <cell r="AH1051">
            <v>72.09</v>
          </cell>
        </row>
        <row r="1052">
          <cell r="AG1052">
            <v>39888</v>
          </cell>
          <cell r="AH1052">
            <v>72.17</v>
          </cell>
        </row>
        <row r="1053">
          <cell r="AG1053">
            <v>39889</v>
          </cell>
          <cell r="AH1053">
            <v>72.209999999999994</v>
          </cell>
        </row>
        <row r="1054">
          <cell r="AG1054">
            <v>39890</v>
          </cell>
          <cell r="AH1054">
            <v>72.260000000000005</v>
          </cell>
        </row>
        <row r="1055">
          <cell r="AG1055">
            <v>39891</v>
          </cell>
          <cell r="AH1055">
            <v>72.180000000000007</v>
          </cell>
        </row>
        <row r="1056">
          <cell r="AG1056">
            <v>39892</v>
          </cell>
          <cell r="AH1056">
            <v>72.13</v>
          </cell>
        </row>
        <row r="1057">
          <cell r="AG1057">
            <v>39895</v>
          </cell>
          <cell r="AH1057">
            <v>72.180000000000007</v>
          </cell>
        </row>
        <row r="1058">
          <cell r="AG1058">
            <v>39896</v>
          </cell>
          <cell r="AH1058">
            <v>72.25</v>
          </cell>
        </row>
        <row r="1059">
          <cell r="AG1059">
            <v>39897</v>
          </cell>
          <cell r="AH1059">
            <v>72.209999999999994</v>
          </cell>
        </row>
        <row r="1060">
          <cell r="AG1060">
            <v>39898</v>
          </cell>
          <cell r="AH1060">
            <v>72.16</v>
          </cell>
        </row>
        <row r="1061">
          <cell r="AG1061">
            <v>39899</v>
          </cell>
          <cell r="AH1061">
            <v>72.2</v>
          </cell>
        </row>
        <row r="1062">
          <cell r="AG1062">
            <v>39902</v>
          </cell>
          <cell r="AH1062">
            <v>72.239999999999995</v>
          </cell>
        </row>
        <row r="1063">
          <cell r="AG1063">
            <v>39903</v>
          </cell>
          <cell r="AH1063">
            <v>72.34</v>
          </cell>
        </row>
        <row r="1064">
          <cell r="AG1064">
            <v>39904</v>
          </cell>
          <cell r="AH1064">
            <v>72.22</v>
          </cell>
        </row>
        <row r="1065">
          <cell r="AG1065">
            <v>39905</v>
          </cell>
          <cell r="AH1065">
            <v>72.33</v>
          </cell>
        </row>
        <row r="1066">
          <cell r="AG1066">
            <v>39906</v>
          </cell>
          <cell r="AH1066">
            <v>72.34</v>
          </cell>
        </row>
        <row r="1067">
          <cell r="AG1067">
            <v>39909</v>
          </cell>
          <cell r="AH1067">
            <v>72.349999999999994</v>
          </cell>
        </row>
        <row r="1068">
          <cell r="AG1068">
            <v>39910</v>
          </cell>
          <cell r="AH1068">
            <v>72.319999999999993</v>
          </cell>
        </row>
        <row r="1069">
          <cell r="AG1069">
            <v>39911</v>
          </cell>
          <cell r="AH1069">
            <v>72.17</v>
          </cell>
        </row>
        <row r="1070">
          <cell r="AG1070">
            <v>39912</v>
          </cell>
          <cell r="AH1070">
            <v>72.319999999999993</v>
          </cell>
        </row>
        <row r="1071">
          <cell r="AG1071">
            <v>39913</v>
          </cell>
          <cell r="AH1071">
            <v>72.41</v>
          </cell>
        </row>
        <row r="1072">
          <cell r="AG1072">
            <v>39916</v>
          </cell>
          <cell r="AH1072">
            <v>72.52</v>
          </cell>
        </row>
        <row r="1073">
          <cell r="AG1073">
            <v>39917</v>
          </cell>
          <cell r="AH1073">
            <v>72.52</v>
          </cell>
        </row>
        <row r="1074">
          <cell r="AG1074">
            <v>39918</v>
          </cell>
          <cell r="AH1074">
            <v>72.42</v>
          </cell>
        </row>
        <row r="1075">
          <cell r="AG1075">
            <v>39919</v>
          </cell>
          <cell r="AH1075">
            <v>72.28</v>
          </cell>
        </row>
        <row r="1076">
          <cell r="AG1076">
            <v>39920</v>
          </cell>
          <cell r="AH1076">
            <v>72.14</v>
          </cell>
        </row>
        <row r="1077">
          <cell r="AG1077">
            <v>39923</v>
          </cell>
          <cell r="AH1077">
            <v>72.260000000000005</v>
          </cell>
        </row>
        <row r="1078">
          <cell r="AG1078">
            <v>39924</v>
          </cell>
          <cell r="AH1078">
            <v>72.16</v>
          </cell>
        </row>
        <row r="1079">
          <cell r="AG1079">
            <v>39925</v>
          </cell>
          <cell r="AH1079">
            <v>72.06</v>
          </cell>
        </row>
        <row r="1080">
          <cell r="AG1080">
            <v>39926</v>
          </cell>
          <cell r="AH1080">
            <v>72.06</v>
          </cell>
        </row>
        <row r="1081">
          <cell r="AG1081">
            <v>39927</v>
          </cell>
          <cell r="AH1081">
            <v>72.03</v>
          </cell>
        </row>
        <row r="1082">
          <cell r="AG1082">
            <v>39930</v>
          </cell>
          <cell r="AH1082">
            <v>72.05</v>
          </cell>
        </row>
        <row r="1083">
          <cell r="AG1083">
            <v>39931</v>
          </cell>
          <cell r="AH1083">
            <v>72.11</v>
          </cell>
        </row>
        <row r="1084">
          <cell r="AG1084">
            <v>39932</v>
          </cell>
          <cell r="AH1084">
            <v>72.209999999999994</v>
          </cell>
        </row>
        <row r="1085">
          <cell r="AG1085">
            <v>39933</v>
          </cell>
          <cell r="AH1085">
            <v>72.569999999999993</v>
          </cell>
        </row>
        <row r="1086">
          <cell r="AG1086">
            <v>39937</v>
          </cell>
          <cell r="AH1086">
            <v>72.790000000000006</v>
          </cell>
        </row>
        <row r="1087">
          <cell r="AG1087">
            <v>39938</v>
          </cell>
          <cell r="AH1087">
            <v>72.92</v>
          </cell>
        </row>
        <row r="1088">
          <cell r="AG1088">
            <v>39939</v>
          </cell>
          <cell r="AH1088">
            <v>72.92</v>
          </cell>
        </row>
        <row r="1089">
          <cell r="AG1089">
            <v>39940</v>
          </cell>
          <cell r="AH1089">
            <v>72.95</v>
          </cell>
        </row>
        <row r="1090">
          <cell r="AG1090">
            <v>39941</v>
          </cell>
          <cell r="AH1090">
            <v>72.900000000000006</v>
          </cell>
        </row>
        <row r="1091">
          <cell r="AG1091">
            <v>39944</v>
          </cell>
          <cell r="AH1091">
            <v>72.78</v>
          </cell>
        </row>
        <row r="1092">
          <cell r="AG1092">
            <v>39945</v>
          </cell>
          <cell r="AH1092">
            <v>72.8</v>
          </cell>
        </row>
        <row r="1093">
          <cell r="AG1093">
            <v>39946</v>
          </cell>
          <cell r="AH1093">
            <v>72.819999999999993</v>
          </cell>
        </row>
        <row r="1094">
          <cell r="AG1094">
            <v>39947</v>
          </cell>
          <cell r="AH1094">
            <v>72.67</v>
          </cell>
        </row>
        <row r="1095">
          <cell r="AG1095">
            <v>39948</v>
          </cell>
          <cell r="AH1095">
            <v>72.64</v>
          </cell>
        </row>
        <row r="1096">
          <cell r="AG1096">
            <v>39951</v>
          </cell>
          <cell r="AH1096">
            <v>72.58</v>
          </cell>
        </row>
        <row r="1097">
          <cell r="AG1097">
            <v>39952</v>
          </cell>
          <cell r="AH1097">
            <v>72.739999999999995</v>
          </cell>
        </row>
        <row r="1098">
          <cell r="AG1098">
            <v>39953</v>
          </cell>
          <cell r="AH1098">
            <v>72.680000000000007</v>
          </cell>
        </row>
        <row r="1099">
          <cell r="AG1099">
            <v>39954</v>
          </cell>
          <cell r="AH1099">
            <v>72.7</v>
          </cell>
        </row>
        <row r="1100">
          <cell r="AG1100">
            <v>39955</v>
          </cell>
          <cell r="AH1100">
            <v>72.760000000000005</v>
          </cell>
        </row>
        <row r="1101">
          <cell r="AG1101">
            <v>39958</v>
          </cell>
          <cell r="AH1101">
            <v>72.77</v>
          </cell>
        </row>
        <row r="1102">
          <cell r="AG1102">
            <v>39959</v>
          </cell>
          <cell r="AH1102">
            <v>72.849999999999994</v>
          </cell>
        </row>
        <row r="1103">
          <cell r="AG1103">
            <v>39960</v>
          </cell>
          <cell r="AH1103">
            <v>73.150000000000006</v>
          </cell>
        </row>
        <row r="1104">
          <cell r="AG1104">
            <v>39965</v>
          </cell>
          <cell r="AH1104">
            <v>73.209999999999994</v>
          </cell>
        </row>
        <row r="1105">
          <cell r="AG1105">
            <v>39966</v>
          </cell>
          <cell r="AH1105">
            <v>73.34</v>
          </cell>
        </row>
        <row r="1106">
          <cell r="AG1106">
            <v>39967</v>
          </cell>
          <cell r="AH1106">
            <v>73.47</v>
          </cell>
        </row>
        <row r="1107">
          <cell r="AG1107">
            <v>39968</v>
          </cell>
          <cell r="AH1107">
            <v>73.349999999999994</v>
          </cell>
        </row>
        <row r="1108">
          <cell r="AG1108">
            <v>39969</v>
          </cell>
          <cell r="AH1108">
            <v>73.34</v>
          </cell>
        </row>
        <row r="1109">
          <cell r="AG1109">
            <v>39970</v>
          </cell>
          <cell r="AH1109">
            <v>73.33</v>
          </cell>
        </row>
        <row r="1110">
          <cell r="AG1110">
            <v>39972</v>
          </cell>
          <cell r="AH1110">
            <v>73.349999999999994</v>
          </cell>
        </row>
        <row r="1111">
          <cell r="AG1111">
            <v>39973</v>
          </cell>
          <cell r="AH1111">
            <v>73.38</v>
          </cell>
        </row>
        <row r="1112">
          <cell r="AG1112">
            <v>39974</v>
          </cell>
          <cell r="AH1112">
            <v>73.48</v>
          </cell>
        </row>
        <row r="1113">
          <cell r="AG1113">
            <v>39975</v>
          </cell>
          <cell r="AH1113">
            <v>73.52</v>
          </cell>
        </row>
        <row r="1114">
          <cell r="AG1114">
            <v>39976</v>
          </cell>
          <cell r="AH1114">
            <v>73.33</v>
          </cell>
        </row>
        <row r="1115">
          <cell r="AG1115">
            <v>39979</v>
          </cell>
          <cell r="AH1115">
            <v>73.2</v>
          </cell>
        </row>
        <row r="1116">
          <cell r="AG1116">
            <v>39980</v>
          </cell>
          <cell r="AH1116">
            <v>73.23</v>
          </cell>
        </row>
        <row r="1117">
          <cell r="AG1117">
            <v>39981</v>
          </cell>
          <cell r="AH1117">
            <v>73.05</v>
          </cell>
        </row>
        <row r="1118">
          <cell r="AG1118">
            <v>39982</v>
          </cell>
          <cell r="AH1118">
            <v>73.03</v>
          </cell>
        </row>
        <row r="1119">
          <cell r="AG1119">
            <v>39983</v>
          </cell>
          <cell r="AH1119">
            <v>72.89</v>
          </cell>
        </row>
        <row r="1120">
          <cell r="AG1120">
            <v>39986</v>
          </cell>
          <cell r="AH1120">
            <v>72.86</v>
          </cell>
        </row>
        <row r="1121">
          <cell r="AG1121">
            <v>39987</v>
          </cell>
          <cell r="AH1121">
            <v>72.709999999999994</v>
          </cell>
        </row>
        <row r="1122">
          <cell r="AG1122">
            <v>39988</v>
          </cell>
          <cell r="AH1122">
            <v>72.790000000000006</v>
          </cell>
        </row>
        <row r="1123">
          <cell r="AG1123">
            <v>39989</v>
          </cell>
          <cell r="AH1123">
            <v>72.8</v>
          </cell>
        </row>
        <row r="1124">
          <cell r="AG1124">
            <v>39990</v>
          </cell>
          <cell r="AH1124">
            <v>72.819999999999993</v>
          </cell>
        </row>
        <row r="1125">
          <cell r="AG1125">
            <v>39993</v>
          </cell>
          <cell r="AH1125">
            <v>72.81</v>
          </cell>
        </row>
        <row r="1126">
          <cell r="AG1126">
            <v>39994</v>
          </cell>
          <cell r="AH1126">
            <v>72.89</v>
          </cell>
        </row>
        <row r="1127">
          <cell r="AG1127">
            <v>39995</v>
          </cell>
          <cell r="AH1127">
            <v>72.930000000000007</v>
          </cell>
        </row>
        <row r="1128">
          <cell r="AG1128">
            <v>39996</v>
          </cell>
          <cell r="AH1128">
            <v>72.849999999999994</v>
          </cell>
        </row>
        <row r="1129">
          <cell r="AG1129">
            <v>39997</v>
          </cell>
          <cell r="AH1129">
            <v>72.819999999999993</v>
          </cell>
        </row>
        <row r="1130">
          <cell r="AG1130">
            <v>40000</v>
          </cell>
          <cell r="AH1130">
            <v>72.7</v>
          </cell>
        </row>
        <row r="1131">
          <cell r="AG1131">
            <v>40001</v>
          </cell>
          <cell r="AH1131">
            <v>72.73</v>
          </cell>
        </row>
        <row r="1132">
          <cell r="AG1132">
            <v>40002</v>
          </cell>
          <cell r="AH1132">
            <v>72.599999999999994</v>
          </cell>
        </row>
        <row r="1133">
          <cell r="AG1133">
            <v>40003</v>
          </cell>
          <cell r="AH1133">
            <v>72.61</v>
          </cell>
        </row>
        <row r="1134">
          <cell r="AG1134">
            <v>40004</v>
          </cell>
          <cell r="AH1134">
            <v>72.59</v>
          </cell>
        </row>
        <row r="1135">
          <cell r="AG1135">
            <v>40007</v>
          </cell>
          <cell r="AH1135">
            <v>72.569999999999993</v>
          </cell>
        </row>
        <row r="1136">
          <cell r="AG1136">
            <v>40008</v>
          </cell>
          <cell r="AH1136">
            <v>72.59</v>
          </cell>
        </row>
        <row r="1137">
          <cell r="AG1137">
            <v>40009</v>
          </cell>
          <cell r="AH1137">
            <v>72.64</v>
          </cell>
        </row>
        <row r="1138">
          <cell r="AG1138">
            <v>40010</v>
          </cell>
          <cell r="AH1138">
            <v>72.67</v>
          </cell>
        </row>
        <row r="1139">
          <cell r="AG1139">
            <v>40011</v>
          </cell>
          <cell r="AH1139">
            <v>72.66</v>
          </cell>
        </row>
        <row r="1140">
          <cell r="AG1140">
            <v>40014</v>
          </cell>
          <cell r="AH1140">
            <v>72.73</v>
          </cell>
        </row>
        <row r="1141">
          <cell r="AG1141">
            <v>40015</v>
          </cell>
          <cell r="AH1141">
            <v>72.78</v>
          </cell>
        </row>
        <row r="1142">
          <cell r="AG1142">
            <v>40016</v>
          </cell>
          <cell r="AH1142">
            <v>72.790000000000006</v>
          </cell>
        </row>
        <row r="1143">
          <cell r="AG1143">
            <v>40017</v>
          </cell>
          <cell r="AH1143">
            <v>72.91</v>
          </cell>
        </row>
        <row r="1144">
          <cell r="AG1144">
            <v>40018</v>
          </cell>
          <cell r="AH1144">
            <v>73.06</v>
          </cell>
        </row>
        <row r="1145">
          <cell r="AG1145">
            <v>40021</v>
          </cell>
          <cell r="AH1145">
            <v>73.13</v>
          </cell>
        </row>
        <row r="1146">
          <cell r="AG1146">
            <v>40022</v>
          </cell>
          <cell r="AH1146">
            <v>73.19</v>
          </cell>
        </row>
        <row r="1147">
          <cell r="AG1147">
            <v>40023</v>
          </cell>
          <cell r="AH1147">
            <v>73.180000000000007</v>
          </cell>
        </row>
        <row r="1148">
          <cell r="AG1148">
            <v>40024</v>
          </cell>
          <cell r="AH1148">
            <v>73.14</v>
          </cell>
        </row>
        <row r="1149">
          <cell r="AG1149">
            <v>40025</v>
          </cell>
          <cell r="AH1149">
            <v>73.47</v>
          </cell>
        </row>
        <row r="1150">
          <cell r="AG1150">
            <v>40028</v>
          </cell>
          <cell r="AH1150">
            <v>73.58</v>
          </cell>
        </row>
        <row r="1151">
          <cell r="AG1151">
            <v>40029</v>
          </cell>
          <cell r="AH1151">
            <v>73.650000000000006</v>
          </cell>
        </row>
        <row r="1152">
          <cell r="AG1152">
            <v>40030</v>
          </cell>
          <cell r="AH1152">
            <v>73.17</v>
          </cell>
        </row>
        <row r="1153">
          <cell r="AG1153">
            <v>40031</v>
          </cell>
          <cell r="AH1153">
            <v>73.19</v>
          </cell>
        </row>
        <row r="1154">
          <cell r="AG1154">
            <v>40035</v>
          </cell>
          <cell r="AH1154">
            <v>73.319999999999993</v>
          </cell>
        </row>
        <row r="1155">
          <cell r="AG1155">
            <v>40036</v>
          </cell>
          <cell r="AH1155">
            <v>73.45</v>
          </cell>
        </row>
        <row r="1156">
          <cell r="AG1156">
            <v>40037</v>
          </cell>
          <cell r="AH1156">
            <v>73.52</v>
          </cell>
        </row>
        <row r="1157">
          <cell r="AG1157">
            <v>40038</v>
          </cell>
          <cell r="AH1157">
            <v>73.66</v>
          </cell>
        </row>
        <row r="1158">
          <cell r="AG1158">
            <v>40039</v>
          </cell>
          <cell r="AH1158">
            <v>73.739999999999995</v>
          </cell>
        </row>
        <row r="1159">
          <cell r="AG1159">
            <v>40042</v>
          </cell>
          <cell r="AH1159">
            <v>73.73</v>
          </cell>
        </row>
        <row r="1160">
          <cell r="AG1160">
            <v>40043</v>
          </cell>
          <cell r="AH1160">
            <v>73.680000000000007</v>
          </cell>
        </row>
        <row r="1161">
          <cell r="AG1161">
            <v>40044</v>
          </cell>
          <cell r="AH1161">
            <v>73.73</v>
          </cell>
        </row>
        <row r="1162">
          <cell r="AG1162">
            <v>40045</v>
          </cell>
          <cell r="AH1162">
            <v>73.739999999999995</v>
          </cell>
        </row>
        <row r="1163">
          <cell r="AG1163">
            <v>40046</v>
          </cell>
          <cell r="AH1163">
            <v>73.66</v>
          </cell>
        </row>
        <row r="1164">
          <cell r="AG1164">
            <v>40049</v>
          </cell>
          <cell r="AH1164">
            <v>73.73</v>
          </cell>
        </row>
        <row r="1165">
          <cell r="AG1165">
            <v>40050</v>
          </cell>
          <cell r="AH1165">
            <v>73.77</v>
          </cell>
        </row>
        <row r="1166">
          <cell r="AG1166">
            <v>40051</v>
          </cell>
          <cell r="AH1166">
            <v>73.92</v>
          </cell>
        </row>
        <row r="1167">
          <cell r="AG1167">
            <v>40052</v>
          </cell>
          <cell r="AH1167">
            <v>73.959999999999994</v>
          </cell>
        </row>
        <row r="1168">
          <cell r="AG1168">
            <v>40053</v>
          </cell>
          <cell r="AH1168">
            <v>74.09</v>
          </cell>
        </row>
        <row r="1169">
          <cell r="AG1169">
            <v>40056</v>
          </cell>
          <cell r="AH1169">
            <v>74.099999999999994</v>
          </cell>
        </row>
        <row r="1170">
          <cell r="AG1170">
            <v>40057</v>
          </cell>
          <cell r="AH1170">
            <v>74.16</v>
          </cell>
        </row>
        <row r="1171">
          <cell r="AG1171">
            <v>40058</v>
          </cell>
          <cell r="AH1171">
            <v>74.14</v>
          </cell>
        </row>
        <row r="1172">
          <cell r="AG1172">
            <v>40059</v>
          </cell>
          <cell r="AH1172">
            <v>74.11</v>
          </cell>
        </row>
        <row r="1173">
          <cell r="AG1173">
            <v>40060</v>
          </cell>
          <cell r="AH1173">
            <v>74.12</v>
          </cell>
        </row>
        <row r="1174">
          <cell r="AG1174">
            <v>40063</v>
          </cell>
          <cell r="AH1174">
            <v>74.23</v>
          </cell>
        </row>
        <row r="1175">
          <cell r="AG1175">
            <v>40064</v>
          </cell>
          <cell r="AH1175">
            <v>74.33</v>
          </cell>
        </row>
        <row r="1176">
          <cell r="AG1176">
            <v>40065</v>
          </cell>
          <cell r="AH1176">
            <v>74.400000000000006</v>
          </cell>
        </row>
        <row r="1177">
          <cell r="AG1177">
            <v>40066</v>
          </cell>
          <cell r="AH1177">
            <v>74.63</v>
          </cell>
        </row>
        <row r="1178">
          <cell r="AG1178">
            <v>40067</v>
          </cell>
          <cell r="AH1178">
            <v>74.599999999999994</v>
          </cell>
        </row>
        <row r="1179">
          <cell r="AG1179">
            <v>40070</v>
          </cell>
          <cell r="AH1179">
            <v>74.55</v>
          </cell>
        </row>
        <row r="1180">
          <cell r="AG1180">
            <v>40071</v>
          </cell>
          <cell r="AH1180">
            <v>74.55</v>
          </cell>
        </row>
        <row r="1181">
          <cell r="AG1181">
            <v>40072</v>
          </cell>
          <cell r="AH1181">
            <v>74.56</v>
          </cell>
        </row>
        <row r="1182">
          <cell r="AG1182">
            <v>40073</v>
          </cell>
          <cell r="AH1182">
            <v>74.540000000000006</v>
          </cell>
        </row>
        <row r="1183">
          <cell r="AG1183">
            <v>40074</v>
          </cell>
          <cell r="AH1183">
            <v>74.56</v>
          </cell>
        </row>
        <row r="1184">
          <cell r="AG1184">
            <v>40077</v>
          </cell>
          <cell r="AH1184">
            <v>74.540000000000006</v>
          </cell>
        </row>
        <row r="1185">
          <cell r="AG1185">
            <v>40078</v>
          </cell>
          <cell r="AH1185">
            <v>74.56</v>
          </cell>
        </row>
        <row r="1186">
          <cell r="AG1186">
            <v>40079</v>
          </cell>
          <cell r="AH1186">
            <v>74.569999999999993</v>
          </cell>
        </row>
        <row r="1187">
          <cell r="AG1187">
            <v>40080</v>
          </cell>
          <cell r="AH1187">
            <v>74.459999999999994</v>
          </cell>
        </row>
        <row r="1188">
          <cell r="AG1188">
            <v>40081</v>
          </cell>
          <cell r="AH1188">
            <v>74.44</v>
          </cell>
        </row>
        <row r="1189">
          <cell r="AG1189">
            <v>40084</v>
          </cell>
          <cell r="AH1189">
            <v>74.42</v>
          </cell>
        </row>
        <row r="1190">
          <cell r="AG1190">
            <v>40085</v>
          </cell>
          <cell r="AH1190">
            <v>74.64</v>
          </cell>
        </row>
        <row r="1191">
          <cell r="AG1191">
            <v>40086</v>
          </cell>
          <cell r="AH1191">
            <v>74.86</v>
          </cell>
        </row>
        <row r="1192">
          <cell r="AG1192">
            <v>40087</v>
          </cell>
          <cell r="AH1192">
            <v>74.94</v>
          </cell>
        </row>
        <row r="1193">
          <cell r="AG1193">
            <v>40088</v>
          </cell>
          <cell r="AH1193">
            <v>74.8</v>
          </cell>
        </row>
        <row r="1194">
          <cell r="AG1194">
            <v>40091</v>
          </cell>
          <cell r="AH1194">
            <v>74.64</v>
          </cell>
        </row>
        <row r="1195">
          <cell r="AG1195">
            <v>40092</v>
          </cell>
          <cell r="AH1195">
            <v>74.56</v>
          </cell>
        </row>
        <row r="1196">
          <cell r="AG1196">
            <v>40093</v>
          </cell>
          <cell r="AH1196">
            <v>74.459999999999994</v>
          </cell>
        </row>
        <row r="1197">
          <cell r="AG1197">
            <v>40094</v>
          </cell>
          <cell r="AH1197">
            <v>74.3</v>
          </cell>
        </row>
        <row r="1198">
          <cell r="AG1198">
            <v>40095</v>
          </cell>
          <cell r="AH1198">
            <v>74.2</v>
          </cell>
        </row>
        <row r="1199">
          <cell r="AG1199">
            <v>40098</v>
          </cell>
          <cell r="AH1199">
            <v>74.150000000000006</v>
          </cell>
        </row>
        <row r="1200">
          <cell r="AG1200">
            <v>40099</v>
          </cell>
          <cell r="AH1200">
            <v>74.12</v>
          </cell>
        </row>
        <row r="1201">
          <cell r="AG1201">
            <v>40100</v>
          </cell>
          <cell r="AH1201">
            <v>74.27</v>
          </cell>
        </row>
        <row r="1202">
          <cell r="AG1202">
            <v>40101</v>
          </cell>
          <cell r="AH1202">
            <v>74.38</v>
          </cell>
        </row>
        <row r="1203">
          <cell r="AG1203">
            <v>40102</v>
          </cell>
          <cell r="AH1203">
            <v>74.2</v>
          </cell>
        </row>
        <row r="1204">
          <cell r="AG1204">
            <v>40105</v>
          </cell>
          <cell r="AH1204">
            <v>73.959999999999994</v>
          </cell>
        </row>
        <row r="1205">
          <cell r="AG1205">
            <v>40106</v>
          </cell>
          <cell r="AH1205">
            <v>73.97</v>
          </cell>
        </row>
        <row r="1206">
          <cell r="AG1206">
            <v>40107</v>
          </cell>
          <cell r="AH1206">
            <v>73.930000000000007</v>
          </cell>
        </row>
        <row r="1207">
          <cell r="AG1207">
            <v>40108</v>
          </cell>
          <cell r="AH1207">
            <v>73.86</v>
          </cell>
        </row>
        <row r="1208">
          <cell r="AG1208">
            <v>40109</v>
          </cell>
          <cell r="AH1208">
            <v>73.849999999999994</v>
          </cell>
        </row>
        <row r="1209">
          <cell r="AG1209">
            <v>40112</v>
          </cell>
          <cell r="AH1209">
            <v>73.87</v>
          </cell>
        </row>
        <row r="1210">
          <cell r="AG1210">
            <v>40113</v>
          </cell>
          <cell r="AH1210">
            <v>73.81</v>
          </cell>
        </row>
        <row r="1211">
          <cell r="AG1211">
            <v>40114</v>
          </cell>
          <cell r="AH1211">
            <v>73.709999999999994</v>
          </cell>
        </row>
        <row r="1212">
          <cell r="AG1212">
            <v>40115</v>
          </cell>
          <cell r="AH1212">
            <v>73.59</v>
          </cell>
        </row>
        <row r="1213">
          <cell r="AG1213">
            <v>40116</v>
          </cell>
          <cell r="AH1213">
            <v>73.540000000000006</v>
          </cell>
        </row>
        <row r="1214">
          <cell r="AG1214">
            <v>40119</v>
          </cell>
          <cell r="AH1214">
            <v>73.48</v>
          </cell>
        </row>
        <row r="1215">
          <cell r="AG1215">
            <v>40120</v>
          </cell>
          <cell r="AH1215">
            <v>73.33</v>
          </cell>
        </row>
        <row r="1216">
          <cell r="AG1216">
            <v>40121</v>
          </cell>
          <cell r="AH1216">
            <v>73.19</v>
          </cell>
        </row>
        <row r="1217">
          <cell r="AG1217">
            <v>40122</v>
          </cell>
          <cell r="AH1217">
            <v>73.180000000000007</v>
          </cell>
        </row>
        <row r="1218">
          <cell r="AG1218">
            <v>40123</v>
          </cell>
          <cell r="AH1218">
            <v>73.16</v>
          </cell>
        </row>
        <row r="1219">
          <cell r="AG1219">
            <v>40126</v>
          </cell>
          <cell r="AH1219">
            <v>73.16</v>
          </cell>
        </row>
        <row r="1220">
          <cell r="AG1220">
            <v>40127</v>
          </cell>
          <cell r="AH1220">
            <v>73.16</v>
          </cell>
        </row>
        <row r="1221">
          <cell r="AG1221">
            <v>40128</v>
          </cell>
          <cell r="AH1221">
            <v>73.22</v>
          </cell>
        </row>
        <row r="1222">
          <cell r="AG1222">
            <v>40129</v>
          </cell>
          <cell r="AH1222">
            <v>73.28</v>
          </cell>
        </row>
        <row r="1223">
          <cell r="AG1223">
            <v>40130</v>
          </cell>
          <cell r="AH1223">
            <v>73.28</v>
          </cell>
        </row>
        <row r="1224">
          <cell r="AG1224">
            <v>40133</v>
          </cell>
          <cell r="AH1224">
            <v>73.34</v>
          </cell>
        </row>
        <row r="1225">
          <cell r="AG1225">
            <v>40134</v>
          </cell>
          <cell r="AH1225">
            <v>73.459999999999994</v>
          </cell>
        </row>
        <row r="1226">
          <cell r="AG1226">
            <v>40135</v>
          </cell>
          <cell r="AH1226">
            <v>73.58</v>
          </cell>
        </row>
        <row r="1227">
          <cell r="AG1227">
            <v>40136</v>
          </cell>
          <cell r="AH1227">
            <v>73.61</v>
          </cell>
        </row>
        <row r="1228">
          <cell r="AG1228">
            <v>40137</v>
          </cell>
          <cell r="AH1228">
            <v>73.540000000000006</v>
          </cell>
        </row>
        <row r="1229">
          <cell r="AG1229">
            <v>40140</v>
          </cell>
          <cell r="AH1229">
            <v>73.540000000000006</v>
          </cell>
        </row>
        <row r="1230">
          <cell r="AG1230">
            <v>40141</v>
          </cell>
          <cell r="AH1230">
            <v>73.55</v>
          </cell>
        </row>
        <row r="1231">
          <cell r="AG1231">
            <v>40142</v>
          </cell>
          <cell r="AH1231">
            <v>73.59</v>
          </cell>
        </row>
        <row r="1232">
          <cell r="AG1232">
            <v>40143</v>
          </cell>
          <cell r="AH1232">
            <v>73.56</v>
          </cell>
        </row>
        <row r="1233">
          <cell r="AG1233">
            <v>40144</v>
          </cell>
          <cell r="AH1233">
            <v>73.31</v>
          </cell>
        </row>
        <row r="1234">
          <cell r="AG1234">
            <v>40147</v>
          </cell>
          <cell r="AH1234">
            <v>73.33</v>
          </cell>
        </row>
        <row r="1235">
          <cell r="AG1235">
            <v>40148</v>
          </cell>
          <cell r="AH1235">
            <v>73.28</v>
          </cell>
        </row>
        <row r="1236">
          <cell r="AG1236">
            <v>40149</v>
          </cell>
          <cell r="AH1236">
            <v>73.25</v>
          </cell>
        </row>
        <row r="1237">
          <cell r="AG1237">
            <v>40150</v>
          </cell>
          <cell r="AH1237">
            <v>73.28</v>
          </cell>
        </row>
        <row r="1238">
          <cell r="AG1238">
            <v>40151</v>
          </cell>
          <cell r="AH1238">
            <v>73.3</v>
          </cell>
        </row>
        <row r="1239">
          <cell r="AG1239">
            <v>40154</v>
          </cell>
          <cell r="AH1239">
            <v>73.400000000000006</v>
          </cell>
        </row>
        <row r="1240">
          <cell r="AG1240">
            <v>40155</v>
          </cell>
          <cell r="AH1240">
            <v>73.41</v>
          </cell>
        </row>
        <row r="1241">
          <cell r="AG1241">
            <v>40156</v>
          </cell>
          <cell r="AH1241">
            <v>73.41</v>
          </cell>
        </row>
        <row r="1242">
          <cell r="AG1242">
            <v>40157</v>
          </cell>
          <cell r="AH1242">
            <v>73.349999999999994</v>
          </cell>
        </row>
        <row r="1243">
          <cell r="AG1243">
            <v>40158</v>
          </cell>
          <cell r="AH1243">
            <v>73.430000000000007</v>
          </cell>
        </row>
        <row r="1244">
          <cell r="AG1244">
            <v>40161</v>
          </cell>
          <cell r="AH1244">
            <v>73.47</v>
          </cell>
        </row>
        <row r="1245">
          <cell r="AG1245">
            <v>40162</v>
          </cell>
          <cell r="AH1245">
            <v>73.489999999999995</v>
          </cell>
        </row>
        <row r="1246">
          <cell r="AG1246">
            <v>40163</v>
          </cell>
          <cell r="AH1246">
            <v>73.44</v>
          </cell>
        </row>
        <row r="1247">
          <cell r="AG1247">
            <v>40164</v>
          </cell>
          <cell r="AH1247">
            <v>73.44</v>
          </cell>
        </row>
        <row r="1248">
          <cell r="AG1248">
            <v>40165</v>
          </cell>
          <cell r="AH1248">
            <v>73.400000000000006</v>
          </cell>
        </row>
        <row r="1249">
          <cell r="AG1249">
            <v>40168</v>
          </cell>
          <cell r="AH1249">
            <v>73.47</v>
          </cell>
        </row>
        <row r="1250">
          <cell r="AG1250">
            <v>40169</v>
          </cell>
          <cell r="AH1250">
            <v>73.5</v>
          </cell>
        </row>
        <row r="1251">
          <cell r="AG1251">
            <v>40170</v>
          </cell>
          <cell r="AH1251">
            <v>73.599999999999994</v>
          </cell>
        </row>
        <row r="1252">
          <cell r="AG1252">
            <v>40171</v>
          </cell>
          <cell r="AH1252">
            <v>73.72</v>
          </cell>
        </row>
        <row r="1253">
          <cell r="AG1253">
            <v>40172</v>
          </cell>
          <cell r="AH1253">
            <v>73.75</v>
          </cell>
        </row>
        <row r="1254">
          <cell r="AG1254">
            <v>40175</v>
          </cell>
          <cell r="AH1254">
            <v>73.790000000000006</v>
          </cell>
        </row>
        <row r="1255">
          <cell r="AG1255">
            <v>40176</v>
          </cell>
          <cell r="AH1255">
            <v>73.760000000000005</v>
          </cell>
        </row>
        <row r="1256">
          <cell r="AG1256">
            <v>40177</v>
          </cell>
          <cell r="AH1256">
            <v>73.81</v>
          </cell>
        </row>
        <row r="1257">
          <cell r="AG1257">
            <v>40178</v>
          </cell>
          <cell r="AH1257">
            <v>73.900000000000006</v>
          </cell>
        </row>
        <row r="1258">
          <cell r="AG1258">
            <v>40182</v>
          </cell>
          <cell r="AH1258">
            <v>73.98</v>
          </cell>
        </row>
        <row r="1259">
          <cell r="AG1259">
            <v>40183</v>
          </cell>
          <cell r="AH1259">
            <v>73.95</v>
          </cell>
        </row>
        <row r="1260">
          <cell r="AG1260">
            <v>40184</v>
          </cell>
          <cell r="AH1260">
            <v>73.959999999999994</v>
          </cell>
        </row>
        <row r="1261">
          <cell r="AG1261">
            <v>40185</v>
          </cell>
          <cell r="AH1261">
            <v>73.97</v>
          </cell>
        </row>
        <row r="1262">
          <cell r="AG1262">
            <v>40186</v>
          </cell>
          <cell r="AH1262">
            <v>73.94</v>
          </cell>
        </row>
        <row r="1263">
          <cell r="AG1263">
            <v>40189</v>
          </cell>
          <cell r="AH1263">
            <v>73.97</v>
          </cell>
        </row>
        <row r="1264">
          <cell r="AG1264">
            <v>40190</v>
          </cell>
          <cell r="AH1264">
            <v>73.86</v>
          </cell>
        </row>
        <row r="1265">
          <cell r="AG1265">
            <v>40191</v>
          </cell>
          <cell r="AH1265">
            <v>73.790000000000006</v>
          </cell>
        </row>
        <row r="1266">
          <cell r="AG1266">
            <v>40192</v>
          </cell>
          <cell r="AH1266">
            <v>73.790000000000006</v>
          </cell>
        </row>
        <row r="1267">
          <cell r="AG1267">
            <v>40193</v>
          </cell>
          <cell r="AH1267">
            <v>73.75</v>
          </cell>
        </row>
        <row r="1268">
          <cell r="AG1268">
            <v>40196</v>
          </cell>
          <cell r="AH1268">
            <v>73.73</v>
          </cell>
        </row>
        <row r="1269">
          <cell r="AG1269">
            <v>40197</v>
          </cell>
          <cell r="AH1269">
            <v>73.62</v>
          </cell>
        </row>
        <row r="1270">
          <cell r="AG1270">
            <v>40198</v>
          </cell>
          <cell r="AH1270">
            <v>73.63</v>
          </cell>
        </row>
        <row r="1271">
          <cell r="AG1271">
            <v>40199</v>
          </cell>
          <cell r="AH1271">
            <v>73.62</v>
          </cell>
        </row>
        <row r="1272">
          <cell r="AG1272">
            <v>40200</v>
          </cell>
          <cell r="AH1272">
            <v>73.47</v>
          </cell>
        </row>
        <row r="1273">
          <cell r="AG1273">
            <v>40203</v>
          </cell>
          <cell r="AH1273">
            <v>73.36</v>
          </cell>
        </row>
        <row r="1274">
          <cell r="AG1274">
            <v>40204</v>
          </cell>
          <cell r="AH1274">
            <v>73.290000000000006</v>
          </cell>
        </row>
        <row r="1275">
          <cell r="AG1275">
            <v>40205</v>
          </cell>
          <cell r="AH1275">
            <v>73.209999999999994</v>
          </cell>
        </row>
        <row r="1276">
          <cell r="AG1276">
            <v>40206</v>
          </cell>
          <cell r="AH1276">
            <v>73.2</v>
          </cell>
        </row>
        <row r="1277">
          <cell r="AG1277">
            <v>40207</v>
          </cell>
          <cell r="AH1277">
            <v>73.16</v>
          </cell>
        </row>
        <row r="1278">
          <cell r="AG1278">
            <v>40210</v>
          </cell>
          <cell r="AH1278">
            <v>73</v>
          </cell>
        </row>
        <row r="1279">
          <cell r="AG1279">
            <v>40211</v>
          </cell>
          <cell r="AH1279">
            <v>72.91</v>
          </cell>
        </row>
        <row r="1280">
          <cell r="AG1280">
            <v>40212</v>
          </cell>
          <cell r="AH1280">
            <v>72.84</v>
          </cell>
        </row>
        <row r="1281">
          <cell r="AG1281">
            <v>40213</v>
          </cell>
          <cell r="AH1281">
            <v>72.760000000000005</v>
          </cell>
        </row>
        <row r="1282">
          <cell r="AG1282">
            <v>40214</v>
          </cell>
          <cell r="AH1282">
            <v>72.66</v>
          </cell>
        </row>
        <row r="1283">
          <cell r="AG1283">
            <v>40215</v>
          </cell>
          <cell r="AH1283">
            <v>72.650000000000006</v>
          </cell>
        </row>
        <row r="1284">
          <cell r="AG1284">
            <v>40217</v>
          </cell>
          <cell r="AH1284">
            <v>72.56</v>
          </cell>
        </row>
        <row r="1285">
          <cell r="AG1285">
            <v>40218</v>
          </cell>
          <cell r="AH1285">
            <v>72.569999999999993</v>
          </cell>
        </row>
        <row r="1286">
          <cell r="AG1286">
            <v>40219</v>
          </cell>
          <cell r="AH1286">
            <v>72.489999999999995</v>
          </cell>
        </row>
        <row r="1287">
          <cell r="AG1287">
            <v>40231</v>
          </cell>
          <cell r="AH1287">
            <v>72.5</v>
          </cell>
        </row>
        <row r="1288">
          <cell r="AG1288">
            <v>40232</v>
          </cell>
          <cell r="AH1288">
            <v>72.55</v>
          </cell>
        </row>
        <row r="1289">
          <cell r="AG1289">
            <v>40233</v>
          </cell>
          <cell r="AH1289">
            <v>72.48</v>
          </cell>
        </row>
        <row r="1290">
          <cell r="AG1290">
            <v>40234</v>
          </cell>
          <cell r="AH1290">
            <v>72.44</v>
          </cell>
        </row>
        <row r="1291">
          <cell r="AG1291">
            <v>40235</v>
          </cell>
          <cell r="AH1291">
            <v>72.44</v>
          </cell>
        </row>
        <row r="1292">
          <cell r="AG1292">
            <v>40238</v>
          </cell>
          <cell r="AH1292">
            <v>72.44</v>
          </cell>
        </row>
        <row r="1293">
          <cell r="AG1293">
            <v>40239</v>
          </cell>
          <cell r="AH1293">
            <v>72.5</v>
          </cell>
        </row>
        <row r="1294">
          <cell r="AG1294">
            <v>40240</v>
          </cell>
          <cell r="AH1294">
            <v>72.53</v>
          </cell>
        </row>
        <row r="1295">
          <cell r="AG1295">
            <v>40241</v>
          </cell>
          <cell r="AH1295">
            <v>72.45</v>
          </cell>
        </row>
        <row r="1296">
          <cell r="AG1296">
            <v>40242</v>
          </cell>
          <cell r="AH1296">
            <v>72.56</v>
          </cell>
        </row>
        <row r="1297">
          <cell r="AG1297">
            <v>40245</v>
          </cell>
          <cell r="AH1297">
            <v>72.680000000000007</v>
          </cell>
        </row>
        <row r="1298">
          <cell r="AG1298">
            <v>40246</v>
          </cell>
          <cell r="AH1298">
            <v>72.75</v>
          </cell>
        </row>
        <row r="1299">
          <cell r="AG1299">
            <v>40247</v>
          </cell>
          <cell r="AH1299">
            <v>72.760000000000005</v>
          </cell>
        </row>
        <row r="1300">
          <cell r="AG1300">
            <v>40248</v>
          </cell>
          <cell r="AH1300">
            <v>72.790000000000006</v>
          </cell>
        </row>
        <row r="1301">
          <cell r="AG1301">
            <v>40249</v>
          </cell>
          <cell r="AH1301">
            <v>72.78</v>
          </cell>
        </row>
        <row r="1302">
          <cell r="AG1302">
            <v>40252</v>
          </cell>
          <cell r="AH1302">
            <v>72.760000000000005</v>
          </cell>
        </row>
        <row r="1303">
          <cell r="AG1303">
            <v>40253</v>
          </cell>
          <cell r="AH1303">
            <v>72.73</v>
          </cell>
        </row>
        <row r="1304">
          <cell r="AG1304">
            <v>40254</v>
          </cell>
          <cell r="AH1304">
            <v>72.75</v>
          </cell>
        </row>
        <row r="1305">
          <cell r="AG1305">
            <v>40255</v>
          </cell>
          <cell r="AH1305">
            <v>72.72</v>
          </cell>
        </row>
        <row r="1306">
          <cell r="AG1306">
            <v>40256</v>
          </cell>
          <cell r="AH1306">
            <v>72.650000000000006</v>
          </cell>
        </row>
        <row r="1307">
          <cell r="AG1307">
            <v>40259</v>
          </cell>
          <cell r="AH1307">
            <v>72.55</v>
          </cell>
        </row>
        <row r="1308">
          <cell r="AG1308">
            <v>40260</v>
          </cell>
          <cell r="AH1308">
            <v>72.540000000000006</v>
          </cell>
        </row>
        <row r="1309">
          <cell r="AG1309">
            <v>40261</v>
          </cell>
          <cell r="AH1309">
            <v>72.62</v>
          </cell>
        </row>
        <row r="1310">
          <cell r="AG1310">
            <v>40262</v>
          </cell>
          <cell r="AH1310">
            <v>72.72</v>
          </cell>
        </row>
        <row r="1311">
          <cell r="AG1311">
            <v>40263</v>
          </cell>
          <cell r="AH1311">
            <v>72.84</v>
          </cell>
        </row>
        <row r="1312">
          <cell r="AG1312">
            <v>40266</v>
          </cell>
          <cell r="AH1312">
            <v>72.930000000000007</v>
          </cell>
        </row>
        <row r="1313">
          <cell r="AG1313">
            <v>40267</v>
          </cell>
          <cell r="AH1313">
            <v>72.97</v>
          </cell>
        </row>
        <row r="1314">
          <cell r="AG1314">
            <v>40268</v>
          </cell>
          <cell r="AH1314">
            <v>72.98</v>
          </cell>
        </row>
        <row r="1315">
          <cell r="AG1315">
            <v>40269</v>
          </cell>
          <cell r="AH1315">
            <v>73.02</v>
          </cell>
        </row>
        <row r="1316">
          <cell r="AG1316">
            <v>40270</v>
          </cell>
          <cell r="AH1316">
            <v>73.069999999999993</v>
          </cell>
        </row>
        <row r="1317">
          <cell r="AG1317">
            <v>40274</v>
          </cell>
          <cell r="AH1317">
            <v>73.2</v>
          </cell>
        </row>
        <row r="1318">
          <cell r="AG1318">
            <v>40275</v>
          </cell>
          <cell r="AH1318">
            <v>73.290000000000006</v>
          </cell>
        </row>
        <row r="1319">
          <cell r="AG1319">
            <v>40276</v>
          </cell>
          <cell r="AH1319">
            <v>73.260000000000005</v>
          </cell>
        </row>
        <row r="1320">
          <cell r="AG1320">
            <v>40277</v>
          </cell>
          <cell r="AH1320">
            <v>73.27</v>
          </cell>
        </row>
        <row r="1321">
          <cell r="AG1321">
            <v>40280</v>
          </cell>
          <cell r="AH1321">
            <v>73.319999999999993</v>
          </cell>
        </row>
        <row r="1322">
          <cell r="AG1322">
            <v>40281</v>
          </cell>
          <cell r="AH1322">
            <v>73.39</v>
          </cell>
        </row>
        <row r="1323">
          <cell r="AG1323">
            <v>40282</v>
          </cell>
          <cell r="AH1323">
            <v>73.53</v>
          </cell>
        </row>
        <row r="1324">
          <cell r="AG1324">
            <v>40283</v>
          </cell>
          <cell r="AH1324">
            <v>73.680000000000007</v>
          </cell>
        </row>
        <row r="1325">
          <cell r="AG1325">
            <v>40284</v>
          </cell>
          <cell r="AH1325">
            <v>73.650000000000006</v>
          </cell>
        </row>
        <row r="1326">
          <cell r="AG1326">
            <v>40287</v>
          </cell>
          <cell r="AH1326">
            <v>73.67</v>
          </cell>
        </row>
        <row r="1327">
          <cell r="AG1327">
            <v>40288</v>
          </cell>
          <cell r="AH1327">
            <v>73.650000000000006</v>
          </cell>
        </row>
        <row r="1328">
          <cell r="AG1328">
            <v>40289</v>
          </cell>
          <cell r="AH1328">
            <v>73.56</v>
          </cell>
        </row>
        <row r="1329">
          <cell r="AG1329">
            <v>40290</v>
          </cell>
          <cell r="AH1329">
            <v>73.31</v>
          </cell>
        </row>
        <row r="1330">
          <cell r="AG1330">
            <v>40291</v>
          </cell>
          <cell r="AH1330">
            <v>73.28</v>
          </cell>
        </row>
        <row r="1331">
          <cell r="AG1331">
            <v>40294</v>
          </cell>
          <cell r="AH1331">
            <v>73.37</v>
          </cell>
        </row>
        <row r="1332">
          <cell r="AG1332">
            <v>40295</v>
          </cell>
          <cell r="AH1332">
            <v>73.400000000000006</v>
          </cell>
        </row>
        <row r="1333">
          <cell r="AG1333">
            <v>40296</v>
          </cell>
          <cell r="AH1333">
            <v>73.239999999999995</v>
          </cell>
        </row>
        <row r="1334">
          <cell r="AG1334">
            <v>40297</v>
          </cell>
          <cell r="AH1334">
            <v>73.13</v>
          </cell>
        </row>
        <row r="1335">
          <cell r="AG1335">
            <v>40298</v>
          </cell>
          <cell r="AH1335">
            <v>73.180000000000007</v>
          </cell>
        </row>
        <row r="1336">
          <cell r="AG1336">
            <v>40301</v>
          </cell>
          <cell r="AH1336">
            <v>73.150000000000006</v>
          </cell>
        </row>
        <row r="1337">
          <cell r="AG1337">
            <v>40302</v>
          </cell>
          <cell r="AH1337">
            <v>73.08</v>
          </cell>
        </row>
        <row r="1338">
          <cell r="AG1338">
            <v>40303</v>
          </cell>
          <cell r="AH1338">
            <v>72.94</v>
          </cell>
        </row>
        <row r="1339">
          <cell r="AG1339">
            <v>40304</v>
          </cell>
          <cell r="AH1339">
            <v>72.849999999999994</v>
          </cell>
        </row>
        <row r="1340">
          <cell r="AG1340">
            <v>40305</v>
          </cell>
          <cell r="AH1340">
            <v>72.78</v>
          </cell>
        </row>
        <row r="1341">
          <cell r="AG1341">
            <v>40308</v>
          </cell>
          <cell r="AH1341">
            <v>72.73</v>
          </cell>
        </row>
        <row r="1342">
          <cell r="AG1342">
            <v>40309</v>
          </cell>
          <cell r="AH1342">
            <v>72.709999999999994</v>
          </cell>
        </row>
        <row r="1343">
          <cell r="AG1343">
            <v>40310</v>
          </cell>
          <cell r="AH1343">
            <v>72.709999999999994</v>
          </cell>
        </row>
        <row r="1344">
          <cell r="AG1344">
            <v>40311</v>
          </cell>
          <cell r="AH1344">
            <v>72.760000000000005</v>
          </cell>
        </row>
        <row r="1345">
          <cell r="AG1345">
            <v>40312</v>
          </cell>
          <cell r="AH1345">
            <v>72.760000000000005</v>
          </cell>
        </row>
        <row r="1346">
          <cell r="AG1346">
            <v>40315</v>
          </cell>
          <cell r="AH1346">
            <v>72.61</v>
          </cell>
        </row>
        <row r="1347">
          <cell r="AG1347">
            <v>40316</v>
          </cell>
          <cell r="AH1347">
            <v>72.61</v>
          </cell>
        </row>
        <row r="1348">
          <cell r="AG1348">
            <v>40317</v>
          </cell>
          <cell r="AH1348">
            <v>72.52</v>
          </cell>
        </row>
        <row r="1349">
          <cell r="AG1349">
            <v>40318</v>
          </cell>
          <cell r="AH1349">
            <v>72.5</v>
          </cell>
        </row>
        <row r="1350">
          <cell r="AG1350">
            <v>40319</v>
          </cell>
          <cell r="AH1350">
            <v>72.47</v>
          </cell>
        </row>
        <row r="1351">
          <cell r="AG1351">
            <v>40322</v>
          </cell>
          <cell r="AH1351">
            <v>72.48</v>
          </cell>
        </row>
        <row r="1352">
          <cell r="AG1352">
            <v>40323</v>
          </cell>
          <cell r="AH1352">
            <v>72.48</v>
          </cell>
        </row>
        <row r="1353">
          <cell r="AG1353">
            <v>40324</v>
          </cell>
          <cell r="AH1353">
            <v>72.47</v>
          </cell>
        </row>
        <row r="1354">
          <cell r="AG1354">
            <v>40325</v>
          </cell>
          <cell r="AH1354">
            <v>72.42</v>
          </cell>
        </row>
        <row r="1355">
          <cell r="AG1355">
            <v>40326</v>
          </cell>
          <cell r="AH1355">
            <v>72.34</v>
          </cell>
        </row>
        <row r="1356">
          <cell r="AG1356">
            <v>40329</v>
          </cell>
          <cell r="AH1356">
            <v>72.39</v>
          </cell>
        </row>
        <row r="1357">
          <cell r="AG1357">
            <v>40330</v>
          </cell>
          <cell r="AH1357">
            <v>72.39</v>
          </cell>
        </row>
        <row r="1358">
          <cell r="AG1358">
            <v>40331</v>
          </cell>
          <cell r="AH1358">
            <v>72.400000000000006</v>
          </cell>
        </row>
        <row r="1359">
          <cell r="AG1359">
            <v>40332</v>
          </cell>
          <cell r="AH1359">
            <v>72.489999999999995</v>
          </cell>
        </row>
        <row r="1360">
          <cell r="AG1360">
            <v>40333</v>
          </cell>
          <cell r="AH1360">
            <v>72.53</v>
          </cell>
        </row>
        <row r="1361">
          <cell r="AG1361">
            <v>40336</v>
          </cell>
          <cell r="AH1361">
            <v>72.73</v>
          </cell>
        </row>
        <row r="1362">
          <cell r="AG1362">
            <v>40337</v>
          </cell>
          <cell r="AH1362">
            <v>72.67</v>
          </cell>
        </row>
        <row r="1363">
          <cell r="AG1363">
            <v>40338</v>
          </cell>
          <cell r="AH1363">
            <v>72.64</v>
          </cell>
        </row>
        <row r="1364">
          <cell r="AG1364">
            <v>40339</v>
          </cell>
          <cell r="AH1364">
            <v>72.69</v>
          </cell>
        </row>
        <row r="1365">
          <cell r="AG1365">
            <v>40340</v>
          </cell>
          <cell r="AH1365">
            <v>72.739999999999995</v>
          </cell>
        </row>
        <row r="1366">
          <cell r="AG1366">
            <v>40343</v>
          </cell>
          <cell r="AH1366">
            <v>72.78</v>
          </cell>
        </row>
        <row r="1367">
          <cell r="AG1367">
            <v>40344</v>
          </cell>
          <cell r="AH1367">
            <v>72.86</v>
          </cell>
        </row>
        <row r="1368">
          <cell r="AG1368">
            <v>40346</v>
          </cell>
          <cell r="AH1368">
            <v>72.930000000000007</v>
          </cell>
        </row>
        <row r="1369">
          <cell r="AG1369">
            <v>40347</v>
          </cell>
          <cell r="AH1369">
            <v>73.05</v>
          </cell>
        </row>
        <row r="1370">
          <cell r="AG1370">
            <v>40350</v>
          </cell>
          <cell r="AH1370">
            <v>73.2</v>
          </cell>
        </row>
        <row r="1371">
          <cell r="AG1371">
            <v>40351</v>
          </cell>
          <cell r="AH1371">
            <v>73.209999999999994</v>
          </cell>
        </row>
        <row r="1372">
          <cell r="AG1372">
            <v>40352</v>
          </cell>
          <cell r="AH1372">
            <v>73.19</v>
          </cell>
        </row>
        <row r="1373">
          <cell r="AG1373">
            <v>40353</v>
          </cell>
          <cell r="AH1373">
            <v>73.11</v>
          </cell>
        </row>
        <row r="1374">
          <cell r="AG1374">
            <v>40354</v>
          </cell>
          <cell r="AH1374">
            <v>73.06</v>
          </cell>
        </row>
        <row r="1375">
          <cell r="AG1375">
            <v>40357</v>
          </cell>
          <cell r="AH1375">
            <v>73.03</v>
          </cell>
        </row>
        <row r="1376">
          <cell r="AG1376">
            <v>40358</v>
          </cell>
          <cell r="AH1376">
            <v>72.98</v>
          </cell>
        </row>
        <row r="1377">
          <cell r="AG1377">
            <v>40359</v>
          </cell>
          <cell r="AH1377">
            <v>72.87</v>
          </cell>
        </row>
        <row r="1378">
          <cell r="AG1378">
            <v>40360</v>
          </cell>
          <cell r="AH1378">
            <v>72.69</v>
          </cell>
        </row>
        <row r="1379">
          <cell r="AG1379">
            <v>40361</v>
          </cell>
          <cell r="AH1379">
            <v>72.599999999999994</v>
          </cell>
        </row>
        <row r="1380">
          <cell r="AG1380">
            <v>40364</v>
          </cell>
          <cell r="AH1380">
            <v>72.63</v>
          </cell>
        </row>
        <row r="1381">
          <cell r="AG1381">
            <v>40365</v>
          </cell>
          <cell r="AH1381">
            <v>72.58</v>
          </cell>
        </row>
        <row r="1382">
          <cell r="AG1382">
            <v>40366</v>
          </cell>
          <cell r="AH1382">
            <v>72.56</v>
          </cell>
        </row>
        <row r="1383">
          <cell r="AG1383">
            <v>40367</v>
          </cell>
          <cell r="AH1383">
            <v>72.64</v>
          </cell>
        </row>
        <row r="1384">
          <cell r="AG1384">
            <v>40368</v>
          </cell>
          <cell r="AH1384">
            <v>72.67</v>
          </cell>
        </row>
        <row r="1385">
          <cell r="AG1385">
            <v>40371</v>
          </cell>
          <cell r="AH1385">
            <v>72.650000000000006</v>
          </cell>
        </row>
        <row r="1386">
          <cell r="AG1386">
            <v>40372</v>
          </cell>
          <cell r="AH1386">
            <v>72.64</v>
          </cell>
        </row>
        <row r="1387">
          <cell r="AG1387">
            <v>40373</v>
          </cell>
          <cell r="AH1387">
            <v>72.69</v>
          </cell>
        </row>
        <row r="1388">
          <cell r="AG1388">
            <v>40374</v>
          </cell>
          <cell r="AH1388">
            <v>72.709999999999994</v>
          </cell>
        </row>
        <row r="1389">
          <cell r="AG1389">
            <v>40375</v>
          </cell>
          <cell r="AH1389">
            <v>72.75</v>
          </cell>
        </row>
        <row r="1390">
          <cell r="AG1390">
            <v>40378</v>
          </cell>
          <cell r="AH1390">
            <v>72.87</v>
          </cell>
        </row>
        <row r="1391">
          <cell r="AG1391">
            <v>40379</v>
          </cell>
          <cell r="AH1391">
            <v>72.94</v>
          </cell>
        </row>
      </sheetData>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User base"/>
      <sheetName val="Handsets - workings"/>
      <sheetName val="Revenue"/>
      <sheetName val="Traffic"/>
      <sheetName val="Revenue workings"/>
      <sheetName val="Churn"/>
      <sheetName val="Handset Sales By Country"/>
      <sheetName val="Handset Summary"/>
      <sheetName val="Region Pub Tables - Handsets"/>
      <sheetName val="Country Pub Tables - Handsets"/>
      <sheetName val="Module1"/>
      <sheetName val="US"/>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id="1" name="BMCodes73" displayName="BMCodes73" ref="B64:C115" headerRowCount="1" totalsRowShown="0" headerRowDxfId="4" dataDxfId="3" tableBorderDxfId="2" headerRowCellStyle="Normal 7">
  <sortState ref="B65:C115">
    <sortCondition ref="B65:B115"/>
  </sortState>
  <tableColumns count="2">
    <tableColumn id="1" name="BM_NAME" dataDxfId="1"/>
    <tableColumn id="2" name="BM_COD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CBTheme">
      <a:dk1>
        <a:srgbClr val="000000"/>
      </a:dk1>
      <a:lt1>
        <a:srgbClr val="FFFFFF"/>
      </a:lt1>
      <a:dk2>
        <a:srgbClr val="C0C0C0"/>
      </a:dk2>
      <a:lt2>
        <a:srgbClr val="F0F0F0"/>
      </a:lt2>
      <a:accent1>
        <a:srgbClr val="50BEAF"/>
      </a:accent1>
      <a:accent2>
        <a:srgbClr val="37736B"/>
      </a:accent2>
      <a:accent3>
        <a:srgbClr val="78E6DA"/>
      </a:accent3>
      <a:accent4>
        <a:srgbClr val="B1C424"/>
      </a:accent4>
      <a:accent5>
        <a:srgbClr val="6E7E23"/>
      </a:accent5>
      <a:accent6>
        <a:srgbClr val="C9DF49"/>
      </a:accent6>
      <a:hlink>
        <a:srgbClr val="FFC000"/>
      </a:hlink>
      <a:folHlink>
        <a:srgbClr val="00000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7.xml.rels><Relationships xmlns="http://schemas.openxmlformats.org/package/2006/relationships"><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_rels/sheet8.xml.rels><Relationships xmlns="http://schemas.openxmlformats.org/package/2006/relationships"><Relationship Type="http://schemas.openxmlformats.org/officeDocument/2006/relationships/comments" Target="/xl/comments/comment3.xml" Id="comments"/><Relationship Type="http://schemas.openxmlformats.org/officeDocument/2006/relationships/vmlDrawing" Target="/xl/drawings/commentsDrawing3.vml" Id="anysvml"/></Relationships>
</file>

<file path=xl/worksheets/_rels/sheet9.xml.rels><Relationships xmlns="http://schemas.openxmlformats.org/package/2006/relationships"><Relationship Type="http://schemas.openxmlformats.org/officeDocument/2006/relationships/comments" Target="/xl/comments/comment4.xml" Id="comments"/><Relationship Type="http://schemas.openxmlformats.org/officeDocument/2006/relationships/vmlDrawing" Target="/xl/drawings/commentsDrawing4.vml" Id="anysvml"/></Relationships>
</file>

<file path=xl/worksheets/_rels/sheet12.xml.rels><Relationships xmlns="http://schemas.openxmlformats.org/package/2006/relationships"><Relationship Type="http://schemas.openxmlformats.org/officeDocument/2006/relationships/table" Target="/xl/tables/table1.xml" Id="rId1"/></Relationships>
</file>

<file path=xl/worksheets/_rels/sheet14.xml.rels><Relationships xmlns="http://schemas.openxmlformats.org/package/2006/relationships"><Relationship Type="http://schemas.openxmlformats.org/officeDocument/2006/relationships/comments" Target="/xl/comments/comment5.xml" Id="comments"/><Relationship Type="http://schemas.openxmlformats.org/officeDocument/2006/relationships/vmlDrawing" Target="/xl/drawings/commentsDrawing5.vml" Id="anysvml"/></Relationships>
</file>

<file path=xl/worksheets/_rels/sheet15.xml.rels><Relationships xmlns="http://schemas.openxmlformats.org/package/2006/relationships"><Relationship Type="http://schemas.openxmlformats.org/officeDocument/2006/relationships/drawing" Target="/xl/drawings/drawing1.xml" Id="rId1"/></Relationships>
</file>

<file path=xl/worksheets/_rels/sheet1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codeName="Sheet2">
    <tabColor theme="3"/>
    <outlinePr summaryBelow="1" summaryRight="1"/>
    <pageSetUpPr fitToPage="1"/>
  </sheetPr>
  <dimension ref="B2:AA31"/>
  <sheetViews>
    <sheetView topLeftCell="A4" zoomScale="85" zoomScaleNormal="85" workbookViewId="0">
      <selection activeCell="AC35" sqref="AC35"/>
    </sheetView>
  </sheetViews>
  <sheetFormatPr baseColWidth="10" defaultColWidth="9.33203125" defaultRowHeight="13.25" customHeight="1"/>
  <cols>
    <col width="2.6640625" customWidth="1" min="1" max="1"/>
    <col width="29.5" customWidth="1" min="2" max="2"/>
    <col hidden="1" width="10.6640625" customWidth="1" min="3" max="3"/>
    <col hidden="1" outlineLevel="2" width="12.6640625" customWidth="1" min="4" max="6"/>
    <col hidden="1" outlineLevel="2" width="10.5" customWidth="1" min="7" max="8"/>
    <col hidden="1" outlineLevel="1" width="10.5" customWidth="1" min="9" max="9"/>
    <col hidden="1" collapsed="1" width="10.5" customWidth="1" min="10" max="10"/>
    <col hidden="1" width="10.5" customWidth="1" min="11" max="12"/>
    <col width="10.5" customWidth="1" min="13" max="19"/>
    <col width="10" customWidth="1" min="20" max="20"/>
    <col width="10.5" customWidth="1" min="21" max="21"/>
    <col width="9.6640625" customWidth="1" min="22" max="22"/>
    <col width="2.6640625" customWidth="1" min="23" max="23"/>
    <col width="23.5" customWidth="1" min="24" max="24"/>
    <col width="12.33203125" bestFit="1" customWidth="1" min="25" max="25"/>
    <col width="2.6640625" customWidth="1" min="26" max="26"/>
  </cols>
  <sheetData>
    <row r="2" ht="13" customHeight="1">
      <c r="B2" s="22" t="inlineStr">
        <is>
          <t>Company Model</t>
        </is>
      </c>
      <c r="Y2" s="26" t="n"/>
    </row>
    <row r="3" ht="13" customHeight="1">
      <c r="B3" s="22" t="inlineStr">
        <is>
          <t>Bernstein - Asian Industrial Technology</t>
        </is>
      </c>
      <c r="Y3" s="26" t="n"/>
    </row>
    <row r="4" ht="13" customHeight="1">
      <c r="X4" t="inlineStr">
        <is>
          <t>Jay Huang, Ph.D., Senior Research Analyst</t>
        </is>
      </c>
      <c r="Y4" s="25" t="n"/>
    </row>
    <row r="5" ht="13" customHeight="1">
      <c r="B5" s="22">
        <f>Financials!A1</f>
        <v/>
      </c>
      <c r="X5" t="inlineStr">
        <is>
          <t>Dien Wang, Senior Research Associate</t>
        </is>
      </c>
      <c r="Y5" s="25" t="n"/>
    </row>
    <row r="6" ht="13" customHeight="1">
      <c r="B6" t="inlineStr">
        <is>
          <t>Summary</t>
        </is>
      </c>
      <c r="X6" t="inlineStr">
        <is>
          <t>Weibin Liang, Research Associate</t>
        </is>
      </c>
      <c r="Y6" s="25" t="n"/>
    </row>
    <row r="7" ht="13.25" customHeight="1">
      <c r="H7" s="283" t="inlineStr">
        <is>
          <t>Fiscal Year Ending December 31</t>
        </is>
      </c>
    </row>
    <row r="8" ht="13" customFormat="1" customHeight="1" s="25">
      <c r="B8" s="189" t="inlineStr">
        <is>
          <t>(USD Thousand)</t>
        </is>
      </c>
      <c r="C8" s="844" t="n"/>
      <c r="D8" s="844" t="n">
        <v>2010</v>
      </c>
      <c r="E8" s="844" t="n">
        <v>2011</v>
      </c>
      <c r="F8" s="844" t="n">
        <v>2012</v>
      </c>
      <c r="G8" s="844" t="n">
        <v>2013</v>
      </c>
      <c r="H8" s="844">
        <f>G8+1</f>
        <v/>
      </c>
      <c r="I8" s="844">
        <f>H8+1</f>
        <v/>
      </c>
      <c r="J8" s="844">
        <f>I8+1</f>
        <v/>
      </c>
      <c r="K8" s="563">
        <f>J8+1</f>
        <v/>
      </c>
      <c r="L8" s="563">
        <f>K8+1</f>
        <v/>
      </c>
      <c r="M8" s="563">
        <f>L8+1</f>
        <v/>
      </c>
      <c r="N8" s="563">
        <f>M8+1</f>
        <v/>
      </c>
      <c r="O8" s="563">
        <f>N8+1</f>
        <v/>
      </c>
      <c r="P8" s="563">
        <f>O8+1</f>
        <v/>
      </c>
      <c r="Q8" s="563">
        <f>P8+1</f>
        <v/>
      </c>
      <c r="R8" s="845">
        <f>Q8+1</f>
        <v/>
      </c>
      <c r="S8" s="845">
        <f>R8+1</f>
        <v/>
      </c>
      <c r="T8" s="845">
        <f>S8+1</f>
        <v/>
      </c>
      <c r="U8" s="845">
        <f>T8+1</f>
        <v/>
      </c>
      <c r="V8" s="845">
        <f>U8+1</f>
        <v/>
      </c>
      <c r="X8" s="184" t="inlineStr">
        <is>
          <t>Trading Information</t>
        </is>
      </c>
      <c r="Y8" s="184" t="n"/>
    </row>
    <row r="9" ht="13" customHeight="1">
      <c r="B9" s="31" t="inlineStr">
        <is>
          <t>Revenue</t>
        </is>
      </c>
      <c r="C9" s="140" t="n"/>
      <c r="D9" s="140">
        <f>(INDEX(FS_Y!11:11,MATCH(D$8,FS_Y!5:5,0)))</f>
        <v/>
      </c>
      <c r="E9" s="140">
        <f>(INDEX(FS_Y!11:11,MATCH(E$8,FS_Y!5:5,0)))</f>
        <v/>
      </c>
      <c r="F9" s="140">
        <f>(INDEX(FS_Y!11:11,MATCH(F$8,FS_Y!5:5,0)))</f>
        <v/>
      </c>
      <c r="G9" s="140">
        <f>(INDEX(FS_Y!11:11,MATCH(G$8,FS_Y!5:5,0)))</f>
        <v/>
      </c>
      <c r="H9" s="140">
        <f>(INDEX(FS_Y!11:11,MATCH(H$8,FS_Y!5:5,0)))</f>
        <v/>
      </c>
      <c r="I9" s="140">
        <f>(INDEX(FS_Y!11:11,MATCH(I$8,FS_Y!5:5,0)))</f>
        <v/>
      </c>
      <c r="J9" s="140">
        <f>(INDEX(FS_Y!11:11,MATCH(J$8,FS_Y!5:5,0)))</f>
        <v/>
      </c>
      <c r="K9" s="140">
        <f>(INDEX(FS_Y!11:11,MATCH(K$8,FS_Y!5:5,0)))</f>
        <v/>
      </c>
      <c r="L9" s="140">
        <f>(INDEX(FS_Y!11:11,MATCH(L$8,FS_Y!5:5,0)))</f>
        <v/>
      </c>
      <c r="M9" s="140">
        <f>(INDEX(FS_Y!11:11,MATCH(M$8,FS_Y!5:5,0)))</f>
        <v/>
      </c>
      <c r="N9" s="140">
        <f>(INDEX(FS_Y!11:11,MATCH(N$8,FS_Y!5:5,0)))</f>
        <v/>
      </c>
      <c r="O9" s="140">
        <f>(INDEX(FS_Y!11:11,MATCH(O$8,FS_Y!5:5,0)))</f>
        <v/>
      </c>
      <c r="P9" s="140">
        <f>(INDEX(FS_Y!11:11,MATCH(P$8,FS_Y!5:5,0)))</f>
        <v/>
      </c>
      <c r="Q9" s="140">
        <f>(INDEX(FS_Y!11:11,MATCH(Q$8,FS_Y!5:5,0)))</f>
        <v/>
      </c>
      <c r="R9" s="140">
        <f>(INDEX(FS_Y!11:11,MATCH(R$8,FS_Y!5:5,0)))</f>
        <v/>
      </c>
      <c r="S9" s="140">
        <f>(INDEX(FS_Y!11:11,MATCH(S$8,FS_Y!5:5,0)))</f>
        <v/>
      </c>
      <c r="T9" s="140">
        <f>(INDEX(FS_Y!11:11,MATCH(T$8,FS_Y!5:5,0)))</f>
        <v/>
      </c>
      <c r="U9" s="140">
        <f>(INDEX(FS_Y!11:11,MATCH(U$8,FS_Y!5:5,0)))</f>
        <v/>
      </c>
      <c r="V9" s="140">
        <f>(INDEX(FS_Y!11:11,MATCH(V$8,FS_Y!5:5,0)))</f>
        <v/>
      </c>
      <c r="X9" t="inlineStr">
        <is>
          <t>Stock Code (Bloomberg)</t>
        </is>
      </c>
      <c r="Y9" s="25" t="inlineStr">
        <is>
          <t>IPGP.US</t>
        </is>
      </c>
    </row>
    <row r="10" ht="13" customHeight="1">
      <c r="B10" s="31" t="inlineStr">
        <is>
          <t>Gross profit</t>
        </is>
      </c>
      <c r="C10" s="140" t="n"/>
      <c r="D10" s="140">
        <f>(INDEX(FS_Y!13:13,MATCH(D$8,FS_Y!5:5,0)))</f>
        <v/>
      </c>
      <c r="E10" s="140">
        <f>(INDEX(FS_Y!13:13,MATCH(E$8,FS_Y!5:5,0)))</f>
        <v/>
      </c>
      <c r="F10" s="140">
        <f>(INDEX(FS_Y!13:13,MATCH(F$8,FS_Y!5:5,0)))</f>
        <v/>
      </c>
      <c r="G10" s="140">
        <f>(INDEX(FS_Y!13:13,MATCH(G$8,FS_Y!5:5,0)))</f>
        <v/>
      </c>
      <c r="H10" s="140">
        <f>(INDEX(FS_Y!13:13,MATCH(H$8,FS_Y!5:5,0)))</f>
        <v/>
      </c>
      <c r="I10" s="140">
        <f>(INDEX(FS_Y!13:13,MATCH(I$8,FS_Y!5:5,0)))</f>
        <v/>
      </c>
      <c r="J10" s="140">
        <f>(INDEX(FS_Y!13:13,MATCH(J$8,FS_Y!5:5,0)))</f>
        <v/>
      </c>
      <c r="K10" s="140">
        <f>(INDEX(FS_Y!13:13,MATCH(K$8,FS_Y!5:5,0)))</f>
        <v/>
      </c>
      <c r="L10" s="140">
        <f>(INDEX(FS_Y!13:13,MATCH(L$8,FS_Y!5:5,0)))</f>
        <v/>
      </c>
      <c r="M10" s="140">
        <f>(INDEX(FS_Y!13:13,MATCH(M$8,FS_Y!5:5,0)))</f>
        <v/>
      </c>
      <c r="N10" s="140">
        <f>(INDEX(FS_Y!13:13,MATCH(N$8,FS_Y!5:5,0)))</f>
        <v/>
      </c>
      <c r="O10" s="140">
        <f>(INDEX(FS_Y!13:13,MATCH(O$8,FS_Y!5:5,0)))</f>
        <v/>
      </c>
      <c r="P10" s="140">
        <f>(INDEX(FS_Y!13:13,MATCH(P$8,FS_Y!5:5,0)))</f>
        <v/>
      </c>
      <c r="Q10" s="140">
        <f>(INDEX(FS_Y!13:13,MATCH(Q$8,FS_Y!5:5,0)))</f>
        <v/>
      </c>
      <c r="R10" s="140">
        <f>(INDEX(FS_Y!13:13,MATCH(R$8,FS_Y!5:5,0)))</f>
        <v/>
      </c>
      <c r="S10" s="140">
        <f>(INDEX(FS_Y!13:13,MATCH(S$8,FS_Y!5:5,0)))</f>
        <v/>
      </c>
      <c r="T10" s="140">
        <f>(INDEX(FS_Y!13:13,MATCH(T$8,FS_Y!5:5,0)))</f>
        <v/>
      </c>
      <c r="U10" s="140">
        <f>(INDEX(FS_Y!13:13,MATCH(U$8,FS_Y!5:5,0)))</f>
        <v/>
      </c>
      <c r="V10" s="140">
        <f>(INDEX(FS_Y!13:13,MATCH(V$8,FS_Y!5:5,0)))</f>
        <v/>
      </c>
      <c r="X10" t="inlineStr">
        <is>
          <t>Share Price (USD)</t>
        </is>
      </c>
      <c r="Y10" s="751">
        <f>Valuation!B7</f>
        <v/>
      </c>
    </row>
    <row r="11" ht="13" customHeight="1">
      <c r="B11" s="31" t="inlineStr">
        <is>
          <t>EBIT</t>
        </is>
      </c>
      <c r="C11" s="140" t="n"/>
      <c r="D11" s="140">
        <f>(INDEX(FS_Y!19:19,MATCH(D$8,FS_Y!5:5,0)))</f>
        <v/>
      </c>
      <c r="E11" s="140">
        <f>(INDEX(FS_Y!19:19,MATCH(E$8,FS_Y!5:5,0)))</f>
        <v/>
      </c>
      <c r="F11" s="140">
        <f>(INDEX(FS_Y!19:19,MATCH(F$8,FS_Y!5:5,0)))</f>
        <v/>
      </c>
      <c r="G11" s="140">
        <f>(INDEX(FS_Y!19:19,MATCH(G$8,FS_Y!5:5,0)))</f>
        <v/>
      </c>
      <c r="H11" s="140">
        <f>(INDEX(FS_Y!19:19,MATCH(H$8,FS_Y!5:5,0)))</f>
        <v/>
      </c>
      <c r="I11" s="140">
        <f>(INDEX(FS_Y!19:19,MATCH(I$8,FS_Y!5:5,0)))</f>
        <v/>
      </c>
      <c r="J11" s="140">
        <f>(INDEX(FS_Y!19:19,MATCH(J$8,FS_Y!5:5,0)))</f>
        <v/>
      </c>
      <c r="K11" s="140">
        <f>(INDEX(FS_Y!19:19,MATCH(K$8,FS_Y!5:5,0)))</f>
        <v/>
      </c>
      <c r="L11" s="140">
        <f>(INDEX(FS_Y!19:19,MATCH(L$8,FS_Y!5:5,0)))</f>
        <v/>
      </c>
      <c r="M11" s="140">
        <f>(INDEX(FS_Y!19:19,MATCH(M$8,FS_Y!5:5,0)))</f>
        <v/>
      </c>
      <c r="N11" s="140">
        <f>(INDEX(FS_Y!19:19,MATCH(N$8,FS_Y!5:5,0)))</f>
        <v/>
      </c>
      <c r="O11" s="140">
        <f>(INDEX(FS_Y!19:19,MATCH(O$8,FS_Y!5:5,0)))</f>
        <v/>
      </c>
      <c r="P11" s="140">
        <f>(INDEX(FS_Y!19:19,MATCH(P$8,FS_Y!5:5,0)))</f>
        <v/>
      </c>
      <c r="Q11" s="140">
        <f>(INDEX(FS_Y!19:19,MATCH(Q$8,FS_Y!5:5,0)))</f>
        <v/>
      </c>
      <c r="R11" s="140">
        <f>(INDEX(FS_Y!19:19,MATCH(R$8,FS_Y!5:5,0)))</f>
        <v/>
      </c>
      <c r="S11" s="140">
        <f>(INDEX(FS_Y!19:19,MATCH(S$8,FS_Y!5:5,0)))</f>
        <v/>
      </c>
      <c r="T11" s="140">
        <f>(INDEX(FS_Y!19:19,MATCH(T$8,FS_Y!5:5,0)))</f>
        <v/>
      </c>
      <c r="U11" s="140">
        <f>(INDEX(FS_Y!19:19,MATCH(U$8,FS_Y!5:5,0)))</f>
        <v/>
      </c>
      <c r="V11" s="140">
        <f>(INDEX(FS_Y!19:19,MATCH(V$8,FS_Y!5:5,0)))</f>
        <v/>
      </c>
      <c r="X11" t="inlineStr">
        <is>
          <t>Pricing Date</t>
        </is>
      </c>
      <c r="Y11" s="846">
        <f>Valuation!B8</f>
        <v/>
      </c>
    </row>
    <row r="12" ht="13" customHeight="1">
      <c r="B12" s="31" t="inlineStr">
        <is>
          <t>Pre-tax Profit</t>
        </is>
      </c>
      <c r="C12" s="140" t="n"/>
      <c r="D12" s="140">
        <f>(INDEX(FS_Y!23:23,MATCH(D$8,FS_Y!5:5,0)))</f>
        <v/>
      </c>
      <c r="E12" s="140">
        <f>(INDEX(FS_Y!23:23,MATCH(E$8,FS_Y!5:5,0)))</f>
        <v/>
      </c>
      <c r="F12" s="140">
        <f>(INDEX(FS_Y!23:23,MATCH(F$8,FS_Y!5:5,0)))</f>
        <v/>
      </c>
      <c r="G12" s="140">
        <f>(INDEX(FS_Y!23:23,MATCH(G$8,FS_Y!5:5,0)))</f>
        <v/>
      </c>
      <c r="H12" s="140">
        <f>(INDEX(FS_Y!23:23,MATCH(H$8,FS_Y!5:5,0)))</f>
        <v/>
      </c>
      <c r="I12" s="140">
        <f>(INDEX(FS_Y!23:23,MATCH(I$8,FS_Y!5:5,0)))</f>
        <v/>
      </c>
      <c r="J12" s="140">
        <f>(INDEX(FS_Y!23:23,MATCH(J$8,FS_Y!5:5,0)))</f>
        <v/>
      </c>
      <c r="K12" s="140">
        <f>(INDEX(FS_Y!23:23,MATCH(K$8,FS_Y!5:5,0)))</f>
        <v/>
      </c>
      <c r="L12" s="140">
        <f>(INDEX(FS_Y!23:23,MATCH(L$8,FS_Y!5:5,0)))</f>
        <v/>
      </c>
      <c r="M12" s="140">
        <f>(INDEX(FS_Y!23:23,MATCH(M$8,FS_Y!5:5,0)))</f>
        <v/>
      </c>
      <c r="N12" s="140">
        <f>(INDEX(FS_Y!23:23,MATCH(N$8,FS_Y!5:5,0)))</f>
        <v/>
      </c>
      <c r="O12" s="140">
        <f>(INDEX(FS_Y!23:23,MATCH(O$8,FS_Y!5:5,0)))</f>
        <v/>
      </c>
      <c r="P12" s="140">
        <f>(INDEX(FS_Y!23:23,MATCH(P$8,FS_Y!5:5,0)))</f>
        <v/>
      </c>
      <c r="Q12" s="140">
        <f>(INDEX(FS_Y!23:23,MATCH(Q$8,FS_Y!5:5,0)))</f>
        <v/>
      </c>
      <c r="R12" s="140">
        <f>(INDEX(FS_Y!23:23,MATCH(R$8,FS_Y!5:5,0)))</f>
        <v/>
      </c>
      <c r="S12" s="140">
        <f>(INDEX(FS_Y!23:23,MATCH(S$8,FS_Y!5:5,0)))</f>
        <v/>
      </c>
      <c r="T12" s="140">
        <f>(INDEX(FS_Y!23:23,MATCH(T$8,FS_Y!5:5,0)))</f>
        <v/>
      </c>
      <c r="U12" s="140">
        <f>(INDEX(FS_Y!23:23,MATCH(U$8,FS_Y!5:5,0)))</f>
        <v/>
      </c>
      <c r="V12" s="140">
        <f>(INDEX(FS_Y!23:23,MATCH(V$8,FS_Y!5:5,0)))</f>
        <v/>
      </c>
      <c r="X12" t="inlineStr">
        <is>
          <t>Shares Outstanding (Mn)</t>
        </is>
      </c>
      <c r="Y12" s="847">
        <f>Valuation!M30</f>
        <v/>
      </c>
      <c r="AA12" s="401" t="n"/>
    </row>
    <row r="13" ht="13" customHeight="1">
      <c r="B13" s="31" t="inlineStr">
        <is>
          <t>Attributable Net Income</t>
        </is>
      </c>
      <c r="C13" s="140" t="n"/>
      <c r="D13" s="140">
        <f>(INDEX(FS_Y!27:27,MATCH(D$8,FS_Y!5:5,0)))</f>
        <v/>
      </c>
      <c r="E13" s="140">
        <f>(INDEX(FS_Y!27:27,MATCH(E$8,FS_Y!5:5,0)))</f>
        <v/>
      </c>
      <c r="F13" s="140">
        <f>(INDEX(FS_Y!27:27,MATCH(F$8,FS_Y!5:5,0)))</f>
        <v/>
      </c>
      <c r="G13" s="140">
        <f>(INDEX(FS_Y!27:27,MATCH(G$8,FS_Y!5:5,0)))</f>
        <v/>
      </c>
      <c r="H13" s="140">
        <f>(INDEX(FS_Y!27:27,MATCH(H$8,FS_Y!5:5,0)))</f>
        <v/>
      </c>
      <c r="I13" s="140">
        <f>(INDEX(FS_Y!27:27,MATCH(I$8,FS_Y!5:5,0)))</f>
        <v/>
      </c>
      <c r="J13" s="140">
        <f>(INDEX(FS_Y!27:27,MATCH(J$8,FS_Y!5:5,0)))</f>
        <v/>
      </c>
      <c r="K13" s="140">
        <f>(INDEX(FS_Y!27:27,MATCH(K$8,FS_Y!5:5,0)))</f>
        <v/>
      </c>
      <c r="L13" s="140">
        <f>(INDEX(FS_Y!27:27,MATCH(L$8,FS_Y!5:5,0)))</f>
        <v/>
      </c>
      <c r="M13" s="140">
        <f>(INDEX(FS_Y!27:27,MATCH(M$8,FS_Y!5:5,0)))</f>
        <v/>
      </c>
      <c r="N13" s="140">
        <f>(INDEX(FS_Y!27:27,MATCH(N$8,FS_Y!5:5,0)))</f>
        <v/>
      </c>
      <c r="O13" s="140">
        <f>(INDEX(FS_Y!27:27,MATCH(O$8,FS_Y!5:5,0)))</f>
        <v/>
      </c>
      <c r="P13" s="140">
        <f>(INDEX(FS_Y!27:27,MATCH(P$8,FS_Y!5:5,0)))</f>
        <v/>
      </c>
      <c r="Q13" s="140">
        <f>(INDEX(FS_Y!27:27,MATCH(Q$8,FS_Y!5:5,0)))</f>
        <v/>
      </c>
      <c r="R13" s="140">
        <f>(INDEX(FS_Y!27:27,MATCH(R$8,FS_Y!5:5,0)))</f>
        <v/>
      </c>
      <c r="S13" s="140">
        <f>(INDEX(FS_Y!27:27,MATCH(S$8,FS_Y!5:5,0)))</f>
        <v/>
      </c>
      <c r="T13" s="140">
        <f>(INDEX(FS_Y!27:27,MATCH(T$8,FS_Y!5:5,0)))</f>
        <v/>
      </c>
      <c r="U13" s="140">
        <f>(INDEX(FS_Y!27:27,MATCH(U$8,FS_Y!5:5,0)))</f>
        <v/>
      </c>
      <c r="V13" s="140">
        <f>(INDEX(FS_Y!27:27,MATCH(V$8,FS_Y!5:5,0)))</f>
        <v/>
      </c>
      <c r="X13" t="inlineStr">
        <is>
          <t>Market cap (USD Mn)</t>
        </is>
      </c>
      <c r="Y13" s="848">
        <f>Y12*Y10</f>
        <v/>
      </c>
    </row>
    <row r="14" ht="13" customHeight="1">
      <c r="B14" s="31" t="inlineStr">
        <is>
          <t>EBITDA</t>
        </is>
      </c>
      <c r="C14" s="140" t="n"/>
      <c r="D14" s="140">
        <f>INDEX(FS_Y!$137:$137,MATCH(Summary!D$8,FS_Y!$5:$5,0))</f>
        <v/>
      </c>
      <c r="E14" s="140">
        <f>INDEX(FS_Y!$137:$137,MATCH(Summary!E$8,FS_Y!$5:$5,0))</f>
        <v/>
      </c>
      <c r="F14" s="140">
        <f>INDEX(FS_Y!$137:$137,MATCH(Summary!F$8,FS_Y!$5:$5,0))</f>
        <v/>
      </c>
      <c r="G14" s="140">
        <f>INDEX(FS_Y!$137:$137,MATCH(Summary!G$8,FS_Y!$5:$5,0))</f>
        <v/>
      </c>
      <c r="H14" s="140">
        <f>INDEX(FS_Y!$137:$137,MATCH(Summary!H$8,FS_Y!$5:$5,0))</f>
        <v/>
      </c>
      <c r="I14" s="140">
        <f>INDEX(FS_Y!$137:$137,MATCH(Summary!I$8,FS_Y!$5:$5,0))</f>
        <v/>
      </c>
      <c r="J14" s="140">
        <f>INDEX(FS_Y!$137:$137,MATCH(Summary!J$8,FS_Y!$5:$5,0))</f>
        <v/>
      </c>
      <c r="K14" s="140">
        <f>INDEX(FS_Y!$137:$137,MATCH(Summary!K$8,FS_Y!$5:$5,0))</f>
        <v/>
      </c>
      <c r="L14" s="140">
        <f>INDEX(FS_Y!$137:$137,MATCH(Summary!L$8,FS_Y!$5:$5,0))</f>
        <v/>
      </c>
      <c r="M14" s="140">
        <f>INDEX(FS_Y!$137:$137,MATCH(Summary!M$8,FS_Y!$5:$5,0))</f>
        <v/>
      </c>
      <c r="N14" s="140">
        <f>INDEX(FS_Y!$137:$137,MATCH(Summary!N$8,FS_Y!$5:$5,0))</f>
        <v/>
      </c>
      <c r="O14" s="140">
        <f>INDEX(FS_Y!$137:$137,MATCH(Summary!O$8,FS_Y!$5:$5,0))</f>
        <v/>
      </c>
      <c r="P14" s="140">
        <f>INDEX(FS_Y!$137:$137,MATCH(Summary!P$8,FS_Y!$5:$5,0))</f>
        <v/>
      </c>
      <c r="Q14" s="140">
        <f>INDEX(FS_Y!$137:$137,MATCH(Summary!Q$8,FS_Y!$5:$5,0))</f>
        <v/>
      </c>
      <c r="R14" s="140">
        <f>INDEX(FS_Y!$137:$137,MATCH(Summary!R$8,FS_Y!$5:$5,0))</f>
        <v/>
      </c>
      <c r="S14" s="140">
        <f>INDEX(FS_Y!$137:$137,MATCH(Summary!S$8,FS_Y!$5:$5,0))</f>
        <v/>
      </c>
      <c r="T14" s="140">
        <f>INDEX(FS_Y!$137:$137,MATCH(Summary!T$8,FS_Y!$5:$5,0))</f>
        <v/>
      </c>
      <c r="U14" s="140">
        <f>INDEX(FS_Y!$137:$137,MATCH(Summary!U$8,FS_Y!$5:$5,0))</f>
        <v/>
      </c>
      <c r="V14" s="140">
        <f>INDEX(FS_Y!$137:$137,MATCH(Summary!V$8,FS_Y!$5:$5,0))</f>
        <v/>
      </c>
      <c r="Y14" s="849" t="n"/>
    </row>
    <row r="15" ht="13" customHeight="1">
      <c r="B15" s="183" t="inlineStr">
        <is>
          <t>EPS (Basic) (USD)</t>
        </is>
      </c>
      <c r="C15" s="187" t="n"/>
      <c r="D15" s="187">
        <f>(INDEX(FS_Y!29:29,,MATCH(D$8,FS_Y!5:5,0)))</f>
        <v/>
      </c>
      <c r="E15" s="187">
        <f>(INDEX(FS_Y!29:29,,MATCH(E$8,FS_Y!5:5,0)))</f>
        <v/>
      </c>
      <c r="F15" s="187">
        <f>(INDEX(FS_Y!29:29,,MATCH(F$8,FS_Y!5:5,0)))</f>
        <v/>
      </c>
      <c r="G15" s="187">
        <f>(INDEX(FS_Y!29:29,,MATCH(G$8,FS_Y!5:5,0)))</f>
        <v/>
      </c>
      <c r="H15" s="187">
        <f>(INDEX(FS_Y!29:29,,MATCH(H$8,FS_Y!5:5,0)))</f>
        <v/>
      </c>
      <c r="I15" s="187">
        <f>(INDEX(FS_Y!29:29,,MATCH(I$8,FS_Y!5:5,0)))</f>
        <v/>
      </c>
      <c r="J15" s="187">
        <f>(INDEX(FS_Y!29:29,,MATCH(J$8,FS_Y!5:5,0)))</f>
        <v/>
      </c>
      <c r="K15" s="187">
        <f>(INDEX(FS_Y!29:29,,MATCH(K$8,FS_Y!5:5,0)))</f>
        <v/>
      </c>
      <c r="L15" s="187">
        <f>(INDEX(FS_Y!29:29,,MATCH(L$8,FS_Y!5:5,0)))</f>
        <v/>
      </c>
      <c r="M15" s="187">
        <f>(INDEX(FS_Y!29:29,,MATCH(M$8,FS_Y!5:5,0)))</f>
        <v/>
      </c>
      <c r="N15" s="187">
        <f>(INDEX(FS_Y!29:29,,MATCH(N$8,FS_Y!5:5,0)))</f>
        <v/>
      </c>
      <c r="O15" s="187">
        <f>(INDEX(FS_Y!29:29,,MATCH(O$8,FS_Y!5:5,0)))</f>
        <v/>
      </c>
      <c r="P15" s="187">
        <f>(INDEX(FS_Y!29:29,,MATCH(P$8,FS_Y!5:5,0)))</f>
        <v/>
      </c>
      <c r="Q15" s="187">
        <f>(INDEX(FS_Y!29:29,,MATCH(Q$8,FS_Y!5:5,0)))</f>
        <v/>
      </c>
      <c r="R15" s="187">
        <f>(INDEX(FS_Y!29:29,,MATCH(R$8,FS_Y!5:5,0)))</f>
        <v/>
      </c>
      <c r="S15" s="187">
        <f>(INDEX(FS_Y!29:29,,MATCH(S$8,FS_Y!5:5,0)))</f>
        <v/>
      </c>
      <c r="T15" s="187">
        <f>(INDEX(FS_Y!29:29,,MATCH(T$8,FS_Y!5:5,0)))</f>
        <v/>
      </c>
      <c r="U15" s="187">
        <f>(INDEX(FS_Y!29:29,,MATCH(U$8,FS_Y!5:5,0)))</f>
        <v/>
      </c>
      <c r="V15" s="187">
        <f>(INDEX(FS_Y!29:29,,MATCH(V$8,FS_Y!5:5,0)))</f>
        <v/>
      </c>
      <c r="X15" t="inlineStr">
        <is>
          <t>Float</t>
        </is>
      </c>
      <c r="Y15" s="850">
        <f>45.3/(Y12/1000)</f>
        <v/>
      </c>
    </row>
    <row r="16" ht="13" customHeight="1">
      <c r="B16" s="176" t="inlineStr">
        <is>
          <t>EPS (Diluted) (USD)</t>
        </is>
      </c>
      <c r="C16" s="185" t="n"/>
      <c r="D16" s="185">
        <f>(INDEX(FS_Y!30:30,MATCH(D$8,FS_Y!5:5,0)))</f>
        <v/>
      </c>
      <c r="E16" s="185">
        <f>(INDEX(FS_Y!30:30,MATCH(E$8,FS_Y!5:5,0)))</f>
        <v/>
      </c>
      <c r="F16" s="185">
        <f>(INDEX(FS_Y!30:30,MATCH(F$8,FS_Y!5:5,0)))</f>
        <v/>
      </c>
      <c r="G16" s="185">
        <f>(INDEX(FS_Y!30:30,MATCH(G$8,FS_Y!5:5,0)))</f>
        <v/>
      </c>
      <c r="H16" s="185">
        <f>(INDEX(FS_Y!30:30,MATCH(H$8,FS_Y!5:5,0)))</f>
        <v/>
      </c>
      <c r="I16" s="185">
        <f>(INDEX(FS_Y!30:30,MATCH(I$8,FS_Y!5:5,0)))</f>
        <v/>
      </c>
      <c r="J16" s="185">
        <f>(INDEX(FS_Y!30:30,MATCH(J$8,FS_Y!5:5,0)))</f>
        <v/>
      </c>
      <c r="K16" s="185">
        <f>(INDEX(FS_Y!30:30,MATCH(K$8,FS_Y!5:5,0)))</f>
        <v/>
      </c>
      <c r="L16" s="185">
        <f>(INDEX(FS_Y!30:30,MATCH(L$8,FS_Y!5:5,0)))</f>
        <v/>
      </c>
      <c r="M16" s="185">
        <f>(INDEX(FS_Y!30:30,MATCH(M$8,FS_Y!5:5,0)))</f>
        <v/>
      </c>
      <c r="N16" s="185">
        <f>(INDEX(FS_Y!30:30,MATCH(N$8,FS_Y!5:5,0)))</f>
        <v/>
      </c>
      <c r="O16" s="185">
        <f>(INDEX(FS_Y!30:30,MATCH(O$8,FS_Y!5:5,0)))</f>
        <v/>
      </c>
      <c r="P16" s="185">
        <f>(INDEX(FS_Y!30:30,MATCH(P$8,FS_Y!5:5,0)))</f>
        <v/>
      </c>
      <c r="Q16" s="185">
        <f>(INDEX(FS_Y!30:30,MATCH(Q$8,FS_Y!5:5,0)))</f>
        <v/>
      </c>
      <c r="R16" s="185">
        <f>(INDEX(FS_Y!30:30,MATCH(R$8,FS_Y!5:5,0)))</f>
        <v/>
      </c>
      <c r="S16" s="185">
        <f>(INDEX(FS_Y!30:30,MATCH(S$8,FS_Y!5:5,0)))</f>
        <v/>
      </c>
      <c r="T16" s="185">
        <f>(INDEX(FS_Y!30:30,MATCH(T$8,FS_Y!5:5,0)))</f>
        <v/>
      </c>
      <c r="U16" s="185">
        <f>(INDEX(FS_Y!30:30,MATCH(U$8,FS_Y!5:5,0)))</f>
        <v/>
      </c>
      <c r="V16" s="185">
        <f>(INDEX(FS_Y!30:30,MATCH(V$8,FS_Y!5:5,0)))</f>
        <v/>
      </c>
      <c r="X16" t="inlineStr">
        <is>
          <t>Avg. Volume (Mil Shares)</t>
        </is>
      </c>
      <c r="Y16" s="558" t="n">
        <v>0.59</v>
      </c>
    </row>
    <row r="17" ht="13" customHeight="1">
      <c r="B17" s="31" t="inlineStr">
        <is>
          <t>P/B (x)</t>
        </is>
      </c>
      <c r="C17" s="851" t="n"/>
      <c r="D17" s="851">
        <f>$Y$10/INDEX(FS_Y!181:181,MATCH(D8,FS_Y!5:5,0))</f>
        <v/>
      </c>
      <c r="E17" s="851">
        <f>$Y$10/INDEX(FS_Y!181:181,MATCH(E8,FS_Y!5:5,0))</f>
        <v/>
      </c>
      <c r="F17" s="851">
        <f>$Y$10/INDEX(FS_Y!181:181,MATCH(F8,FS_Y!5:5,0))</f>
        <v/>
      </c>
      <c r="G17" s="851">
        <f>$Y$10/INDEX(FS_Y!$182:$182,MATCH(G$8,FS_Y!$5:$5,0))</f>
        <v/>
      </c>
      <c r="H17" s="851">
        <f>$Y$10/INDEX(FS_Y!$182:$182,MATCH(H$8,FS_Y!$5:$5,0))</f>
        <v/>
      </c>
      <c r="I17" s="851">
        <f>$Y$10/INDEX(FS_Y!$182:$182,MATCH(I$8,FS_Y!$5:$5,0))</f>
        <v/>
      </c>
      <c r="J17" s="851">
        <f>$Y$10/INDEX(FS_Y!$182:$182,MATCH(J$8,FS_Y!$5:$5,0))</f>
        <v/>
      </c>
      <c r="K17" s="851">
        <f>$Y$10/INDEX(FS_Y!$182:$182,MATCH(K$8,FS_Y!$5:$5,0))</f>
        <v/>
      </c>
      <c r="L17" s="851">
        <f>$Y$10/INDEX(FS_Y!$182:$182,MATCH(L$8,FS_Y!$5:$5,0))</f>
        <v/>
      </c>
      <c r="M17" s="851">
        <f>$Y$10/INDEX(FS_Y!$182:$182,MATCH(M$8,FS_Y!$5:$5,0))</f>
        <v/>
      </c>
      <c r="N17" s="851">
        <f>$Y$10/INDEX(FS_Y!$182:$182,MATCH(N$8,FS_Y!$5:$5,0))</f>
        <v/>
      </c>
      <c r="O17" s="851">
        <f>$Y$10/INDEX(FS_Y!$182:$182,MATCH(O$8,FS_Y!$5:$5,0))</f>
        <v/>
      </c>
      <c r="P17" s="851">
        <f>$Y$10/INDEX(FS_Y!$182:$182,MATCH(P$8,FS_Y!$5:$5,0))</f>
        <v/>
      </c>
      <c r="Q17" s="851">
        <f>$Y$10/INDEX(FS_Y!$182:$182,MATCH(Q$8,FS_Y!$5:$5,0))</f>
        <v/>
      </c>
      <c r="R17" s="851">
        <f>$Y$10/INDEX(FS_Y!$182:$182,MATCH(R$8,FS_Y!$5:$5,0))</f>
        <v/>
      </c>
      <c r="S17" s="851">
        <f>$Y$10/INDEX(FS_Y!$182:$182,MATCH(S$8,FS_Y!$5:$5,0))</f>
        <v/>
      </c>
      <c r="T17" s="851">
        <f>$Y$10/INDEX(FS_Y!$182:$182,MATCH(T$8,FS_Y!$5:$5,0))</f>
        <v/>
      </c>
      <c r="U17" s="851">
        <f>$Y$10/INDEX(FS_Y!$182:$182,MATCH(U$8,FS_Y!$5:$5,0))</f>
        <v/>
      </c>
      <c r="V17" s="851">
        <f>$Y$10/INDEX(FS_Y!$182:$182,MATCH(V$8,FS_Y!$5:$5,0))</f>
        <v/>
      </c>
      <c r="X17" t="inlineStr">
        <is>
          <t>Fiscal Year End</t>
        </is>
      </c>
      <c r="Y17" s="852" t="inlineStr">
        <is>
          <t>December</t>
        </is>
      </c>
    </row>
    <row r="18" ht="13" customHeight="1">
      <c r="B18" s="31" t="inlineStr">
        <is>
          <t>P/E (x)</t>
        </is>
      </c>
      <c r="C18" s="851" t="n"/>
      <c r="D18" s="851">
        <f>$Y$10/INDEX(FS_Y!29:29,MATCH(D8,FS_Y!5:5,0))</f>
        <v/>
      </c>
      <c r="E18" s="851">
        <f>$Y$10/INDEX(FS_Y!29:29,MATCH(E8,FS_Y!5:5,0))</f>
        <v/>
      </c>
      <c r="F18" s="851">
        <f>$Y$10/INDEX(FS_Y!29:29,MATCH(F8,FS_Y!5:5,0))</f>
        <v/>
      </c>
      <c r="G18" s="851">
        <f>$Y$10/INDEX(FS_Y!29:29,MATCH(G8,FS_Y!5:5,0))</f>
        <v/>
      </c>
      <c r="H18" s="851">
        <f>$Y$10/H16</f>
        <v/>
      </c>
      <c r="I18" s="851">
        <f>$Y$10/I16</f>
        <v/>
      </c>
      <c r="J18" s="851">
        <f>$Y$10/J16</f>
        <v/>
      </c>
      <c r="K18" s="851">
        <f>$Y$10/K16</f>
        <v/>
      </c>
      <c r="L18" s="851">
        <f>$Y$10/L16</f>
        <v/>
      </c>
      <c r="M18" s="851">
        <f>$Y$10/M16</f>
        <v/>
      </c>
      <c r="N18" s="851">
        <f>$Y$10/N16</f>
        <v/>
      </c>
      <c r="O18" s="851">
        <f>$Y$10/O16</f>
        <v/>
      </c>
      <c r="P18" s="851">
        <f>$Y$10/P16</f>
        <v/>
      </c>
      <c r="Q18" s="851">
        <f>$Y$10/Q16</f>
        <v/>
      </c>
      <c r="R18" s="851">
        <f>$Y$10/R16</f>
        <v/>
      </c>
      <c r="S18" s="851">
        <f>$Y$10/S16</f>
        <v/>
      </c>
      <c r="T18" s="851">
        <f>$Y$10/T16</f>
        <v/>
      </c>
      <c r="U18" s="851">
        <f>$Y$10/U16</f>
        <v/>
      </c>
      <c r="V18" s="851">
        <f>$Y$10/V16</f>
        <v/>
      </c>
      <c r="X18" s="184" t="n"/>
      <c r="Y18" s="184" t="n"/>
    </row>
    <row r="19" ht="13" customHeight="1">
      <c r="B19" t="inlineStr">
        <is>
          <t>EV/IC (x)</t>
        </is>
      </c>
      <c r="C19" s="851" t="n"/>
      <c r="D19" s="851">
        <f>(Valuation!$M$35)/INDEX(FS_Y!161:161,MATCH(D8,FS_Y!5:5,0))</f>
        <v/>
      </c>
      <c r="E19" s="851">
        <f>(Valuation!$M$35)/INDEX(FS_Y!161:161,MATCH(E8,FS_Y!5:5,0))</f>
        <v/>
      </c>
      <c r="F19" s="851">
        <f>(Valuation!$M$35)/INDEX(FS_Y!161:161,MATCH(F8,FS_Y!5:5,0))</f>
        <v/>
      </c>
      <c r="G19" s="851">
        <f>(Valuation!$M$35)/INDEX(FS_Y!161:161,MATCH(G8,FS_Y!5:5,0))</f>
        <v/>
      </c>
      <c r="H19" s="851">
        <f>(Valuation!$M$35)/INDEX(FS_Y!161:161,MATCH(H8,FS_Y!5:5,0))</f>
        <v/>
      </c>
      <c r="I19" s="851">
        <f>(Valuation!$M$35)/INDEX(FS_Y!161:161,MATCH(I8,FS_Y!5:5,0))</f>
        <v/>
      </c>
      <c r="J19" s="851">
        <f>(Valuation!$M$35)/INDEX(FS_Y!161:161,MATCH(J8,FS_Y!5:5,0))</f>
        <v/>
      </c>
      <c r="K19" s="851">
        <f>(Valuation!$M$35)/INDEX(FS_Y!161:161,MATCH(K8,FS_Y!5:5,0))</f>
        <v/>
      </c>
      <c r="L19" s="851">
        <f>(Valuation!$M$35)/INDEX(FS_Y!161:161,MATCH(L8,FS_Y!5:5,0))</f>
        <v/>
      </c>
      <c r="M19" s="851">
        <f>(Valuation!$M$35)/INDEX(FS_Y!161:161,MATCH(M8,FS_Y!5:5,0))</f>
        <v/>
      </c>
      <c r="N19" s="851">
        <f>(Valuation!$M$35)/INDEX(FS_Y!161:161,MATCH(N8,FS_Y!5:5,0))</f>
        <v/>
      </c>
      <c r="O19" s="851">
        <f>(Valuation!$M$35)/INDEX(FS_Y!161:161,MATCH(O8,FS_Y!5:5,0))</f>
        <v/>
      </c>
      <c r="P19" s="851">
        <f>(Valuation!$M$35)/INDEX(FS_Y!161:161,MATCH(P8,FS_Y!5:5,0))</f>
        <v/>
      </c>
      <c r="Q19" s="851">
        <f>(Valuation!$M$35)/INDEX(FS_Y!161:161,MATCH(Q8,FS_Y!5:5,0))</f>
        <v/>
      </c>
      <c r="R19" s="851">
        <f>(Valuation!$M$35)/INDEX(FS_Y!161:161,MATCH(R8,FS_Y!5:5,0))</f>
        <v/>
      </c>
      <c r="S19" s="851">
        <f>(Valuation!$M$35)/INDEX(FS_Y!161:161,MATCH(S8,FS_Y!5:5,0))</f>
        <v/>
      </c>
      <c r="T19" s="851">
        <f>(Valuation!$M$35)/INDEX(FS_Y!161:161,MATCH(T8,FS_Y!5:5,0))</f>
        <v/>
      </c>
      <c r="U19" s="851">
        <f>(Valuation!$M$35)/INDEX(FS_Y!161:161,MATCH(U8,FS_Y!5:5,0))</f>
        <v/>
      </c>
      <c r="V19" s="851">
        <f>(Valuation!$M$35)/INDEX(FS_Y!161:161,MATCH(V8,FS_Y!5:5,0))</f>
        <v/>
      </c>
      <c r="X19" s="181" t="n"/>
      <c r="Y19" s="853" t="n"/>
    </row>
    <row r="20" ht="13" customHeight="1">
      <c r="B20" s="31" t="inlineStr">
        <is>
          <t>EV/EBITDA (x)</t>
        </is>
      </c>
      <c r="C20" s="851" t="n"/>
      <c r="D20" s="851">
        <f>(Valuation!$M$35)/INDEX(FS_Y!137:137,MATCH(D8,FS_Y!5:5,0))</f>
        <v/>
      </c>
      <c r="E20" s="851">
        <f>(Valuation!$M$35)/INDEX(FS_Y!137:137,MATCH(E8,FS_Y!5:5,0))</f>
        <v/>
      </c>
      <c r="F20" s="851">
        <f>(Valuation!$M$35)/INDEX(FS_Y!137:137,MATCH(F8,FS_Y!5:5,0))</f>
        <v/>
      </c>
      <c r="G20" s="851">
        <f>(Valuation!$M$35)/INDEX(FS_Y!137:137,MATCH(G8,FS_Y!5:5,0))</f>
        <v/>
      </c>
      <c r="H20" s="851">
        <f>(Valuation!$M$35)/INDEX(FS_Y!137:137,MATCH(H8,FS_Y!5:5,0))</f>
        <v/>
      </c>
      <c r="I20" s="851">
        <f>(Valuation!$M$35)/INDEX(FS_Y!137:137,MATCH(I8,FS_Y!5:5,0))</f>
        <v/>
      </c>
      <c r="J20" s="851">
        <f>(Valuation!$M$35)/INDEX(FS_Y!137:137,MATCH(J8,FS_Y!5:5,0))</f>
        <v/>
      </c>
      <c r="K20" s="851">
        <f>(Valuation!$M$35)/INDEX(FS_Y!137:137,MATCH(K8,FS_Y!5:5,0))</f>
        <v/>
      </c>
      <c r="L20" s="851">
        <f>(Valuation!$M$35)/INDEX(FS_Y!137:137,MATCH(L8,FS_Y!5:5,0))</f>
        <v/>
      </c>
      <c r="M20" s="851">
        <f>(Valuation!$M$35)/INDEX(FS_Y!137:137,MATCH(M8,FS_Y!5:5,0))</f>
        <v/>
      </c>
      <c r="N20" s="851">
        <f>(Valuation!$M$35)/INDEX(FS_Y!137:137,MATCH(N8,FS_Y!5:5,0))</f>
        <v/>
      </c>
      <c r="O20" s="851">
        <f>(Valuation!$M$35)/INDEX(FS_Y!137:137,MATCH(O8,FS_Y!5:5,0))</f>
        <v/>
      </c>
      <c r="P20" s="851">
        <f>(Valuation!$M$35)/INDEX(FS_Y!137:137,MATCH(P8,FS_Y!5:5,0))</f>
        <v/>
      </c>
      <c r="Q20" s="851">
        <f>(Valuation!$M$35)/INDEX(FS_Y!137:137,MATCH(Q8,FS_Y!5:5,0))</f>
        <v/>
      </c>
      <c r="R20" s="851">
        <f>(Valuation!$M$35)/INDEX(FS_Y!137:137,MATCH(R8,FS_Y!5:5,0))</f>
        <v/>
      </c>
      <c r="S20" s="851">
        <f>(Valuation!$M$35)/INDEX(FS_Y!137:137,MATCH(S8,FS_Y!5:5,0))</f>
        <v/>
      </c>
      <c r="T20" s="851">
        <f>(Valuation!$M$35)/INDEX(FS_Y!137:137,MATCH(T8,FS_Y!5:5,0))</f>
        <v/>
      </c>
      <c r="U20" s="851">
        <f>(Valuation!$M$35)/INDEX(FS_Y!137:137,MATCH(U8,FS_Y!5:5,0))</f>
        <v/>
      </c>
      <c r="V20" s="851">
        <f>(Valuation!$M$35)/INDEX(FS_Y!137:137,MATCH(V8,FS_Y!5:5,0))</f>
        <v/>
      </c>
      <c r="Y20" s="854" t="n"/>
    </row>
    <row r="21" ht="13" customHeight="1">
      <c r="B21" s="183" t="inlineStr">
        <is>
          <t>ROIC (excl. investment)</t>
        </is>
      </c>
      <c r="C21" s="855" t="n"/>
      <c r="D21" s="855">
        <f>(INDEX(FS_Y!177:177,,MATCH(D$8,FS_Y!5:5,0)))</f>
        <v/>
      </c>
      <c r="E21" s="855">
        <f>(INDEX(FS_Y!177:177,,MATCH(E$8,FS_Y!5:5,0)))</f>
        <v/>
      </c>
      <c r="F21" s="855">
        <f>(INDEX(FS_Y!177:177,,MATCH(F$8,FS_Y!5:5,0)))</f>
        <v/>
      </c>
      <c r="G21" s="855">
        <f>(INDEX(FS_Y!177:177,,MATCH(G$8,FS_Y!5:5,0)))</f>
        <v/>
      </c>
      <c r="H21" s="855">
        <f>(INDEX(FS_Y!177:177,,MATCH(H$8,FS_Y!5:5,0)))</f>
        <v/>
      </c>
      <c r="I21" s="855">
        <f>(INDEX(FS_Y!177:177,,MATCH(I$8,FS_Y!5:5,0)))</f>
        <v/>
      </c>
      <c r="J21" s="855">
        <f>(INDEX(FS_Y!177:177,,MATCH(J$8,FS_Y!5:5,0)))</f>
        <v/>
      </c>
      <c r="K21" s="855">
        <f>(INDEX(FS_Y!177:177,,MATCH(K$8,FS_Y!5:5,0)))</f>
        <v/>
      </c>
      <c r="L21" s="855">
        <f>(INDEX(FS_Y!177:177,,MATCH(L$8,FS_Y!5:5,0)))</f>
        <v/>
      </c>
      <c r="M21" s="855">
        <f>(INDEX(FS_Y!177:177,,MATCH(M$8,FS_Y!5:5,0)))</f>
        <v/>
      </c>
      <c r="N21" s="855">
        <f>(INDEX(FS_Y!177:177,,MATCH(N$8,FS_Y!5:5,0)))</f>
        <v/>
      </c>
      <c r="O21" s="855">
        <f>(INDEX(FS_Y!177:177,,MATCH(O$8,FS_Y!5:5,0)))</f>
        <v/>
      </c>
      <c r="P21" s="855">
        <f>(INDEX(FS_Y!177:177,,MATCH(P$8,FS_Y!5:5,0)))</f>
        <v/>
      </c>
      <c r="Q21" s="855">
        <f>(INDEX(FS_Y!177:177,,MATCH(Q$8,FS_Y!5:5,0)))</f>
        <v/>
      </c>
      <c r="R21" s="855">
        <f>(INDEX(FS_Y!177:177,,MATCH(R$8,FS_Y!5:5,0)))</f>
        <v/>
      </c>
      <c r="S21" s="855">
        <f>(INDEX(FS_Y!177:177,,MATCH(S$8,FS_Y!5:5,0)))</f>
        <v/>
      </c>
      <c r="T21" s="855">
        <f>(INDEX(FS_Y!177:177,,MATCH(T$8,FS_Y!5:5,0)))</f>
        <v/>
      </c>
      <c r="U21" s="855">
        <f>(INDEX(FS_Y!177:177,,MATCH(U$8,FS_Y!5:5,0)))</f>
        <v/>
      </c>
      <c r="V21" s="855">
        <f>(INDEX(FS_Y!177:177,,MATCH(V$8,FS_Y!5:5,0)))</f>
        <v/>
      </c>
      <c r="Y21" s="854" t="n"/>
    </row>
    <row r="22" ht="13" customHeight="1">
      <c r="B22" s="178" t="inlineStr">
        <is>
          <t>ROE (excl. comprehensive income)</t>
        </is>
      </c>
      <c r="C22" s="856" t="n"/>
      <c r="D22" s="856">
        <f>(INDEX(FS_Y!178:178,,MATCH(D$8,FS_Y!5:5,0)))</f>
        <v/>
      </c>
      <c r="E22" s="856">
        <f>(INDEX(FS_Y!178:178,,MATCH(E$8,FS_Y!5:5,0)))</f>
        <v/>
      </c>
      <c r="F22" s="856">
        <f>(INDEX(FS_Y!178:178,,MATCH(F$8,FS_Y!5:5,0)))</f>
        <v/>
      </c>
      <c r="G22" s="856">
        <f>(INDEX(FS_Y!178:178,,MATCH(G$8,FS_Y!5:5,0)))</f>
        <v/>
      </c>
      <c r="H22" s="856">
        <f>(INDEX(FS_Y!178:178,,MATCH(H$8,FS_Y!5:5,0)))</f>
        <v/>
      </c>
      <c r="I22" s="856">
        <f>(INDEX(FS_Y!178:178,,MATCH(I$8,FS_Y!5:5,0)))</f>
        <v/>
      </c>
      <c r="J22" s="856">
        <f>(INDEX(FS_Y!178:178,,MATCH(J$8,FS_Y!5:5,0)))</f>
        <v/>
      </c>
      <c r="K22" s="856">
        <f>(INDEX(FS_Y!178:178,,MATCH(K$8,FS_Y!5:5,0)))</f>
        <v/>
      </c>
      <c r="L22" s="856">
        <f>(INDEX(FS_Y!178:178,,MATCH(L$8,FS_Y!5:5,0)))</f>
        <v/>
      </c>
      <c r="M22" s="856">
        <f>(INDEX(FS_Y!178:178,,MATCH(M$8,FS_Y!5:5,0)))</f>
        <v/>
      </c>
      <c r="N22" s="856">
        <f>(INDEX(FS_Y!178:178,,MATCH(N$8,FS_Y!5:5,0)))</f>
        <v/>
      </c>
      <c r="O22" s="856">
        <f>(INDEX(FS_Y!178:178,,MATCH(O$8,FS_Y!5:5,0)))</f>
        <v/>
      </c>
      <c r="P22" s="856">
        <f>(INDEX(FS_Y!178:178,,MATCH(P$8,FS_Y!5:5,0)))</f>
        <v/>
      </c>
      <c r="Q22" s="856">
        <f>(INDEX(FS_Y!178:178,,MATCH(Q$8,FS_Y!5:5,0)))</f>
        <v/>
      </c>
      <c r="R22" s="856">
        <f>(INDEX(FS_Y!178:178,,MATCH(R$8,FS_Y!5:5,0)))</f>
        <v/>
      </c>
      <c r="S22" s="856">
        <f>(INDEX(FS_Y!178:178,,MATCH(S$8,FS_Y!5:5,0)))</f>
        <v/>
      </c>
      <c r="T22" s="856">
        <f>(INDEX(FS_Y!178:178,,MATCH(T$8,FS_Y!5:5,0)))</f>
        <v/>
      </c>
      <c r="U22" s="856">
        <f>(INDEX(FS_Y!178:178,,MATCH(U$8,FS_Y!5:5,0)))</f>
        <v/>
      </c>
      <c r="V22" s="856">
        <f>(INDEX(FS_Y!178:178,,MATCH(V$8,FS_Y!5:5,0)))</f>
        <v/>
      </c>
      <c r="Y22" s="854" t="n"/>
    </row>
    <row r="23" ht="13" customHeight="1">
      <c r="B23" s="183" t="inlineStr">
        <is>
          <t>Gross Margin</t>
        </is>
      </c>
      <c r="C23" s="855" t="n"/>
      <c r="D23" s="855">
        <f>D10/D9</f>
        <v/>
      </c>
      <c r="E23" s="855">
        <f>E10/E9</f>
        <v/>
      </c>
      <c r="F23" s="855">
        <f>F10/F9</f>
        <v/>
      </c>
      <c r="G23" s="855">
        <f>G10/G9</f>
        <v/>
      </c>
      <c r="H23" s="855">
        <f>H10/H9</f>
        <v/>
      </c>
      <c r="I23" s="855">
        <f>I10/I9</f>
        <v/>
      </c>
      <c r="J23" s="855">
        <f>J10/J9</f>
        <v/>
      </c>
      <c r="K23" s="855">
        <f>K10/K9</f>
        <v/>
      </c>
      <c r="L23" s="855">
        <f>L10/L9</f>
        <v/>
      </c>
      <c r="M23" s="855">
        <f>M10/M9</f>
        <v/>
      </c>
      <c r="N23" s="855">
        <f>N10/N9</f>
        <v/>
      </c>
      <c r="O23" s="855">
        <f>O10/O9</f>
        <v/>
      </c>
      <c r="P23" s="855">
        <f>P10/P9</f>
        <v/>
      </c>
      <c r="Q23" s="855">
        <f>Q10/Q9</f>
        <v/>
      </c>
      <c r="R23" s="855">
        <f>R10/R9</f>
        <v/>
      </c>
      <c r="S23" s="855">
        <f>S10/S9</f>
        <v/>
      </c>
      <c r="T23" s="855">
        <f>T10/T9</f>
        <v/>
      </c>
      <c r="U23" s="855">
        <f>U10/U9</f>
        <v/>
      </c>
      <c r="V23" s="855">
        <f>V10/V9</f>
        <v/>
      </c>
      <c r="Y23" s="489" t="n"/>
    </row>
    <row r="24" ht="13" customHeight="1">
      <c r="B24" s="31" t="inlineStr">
        <is>
          <t>EBIT Margin</t>
        </is>
      </c>
      <c r="C24" s="857" t="n"/>
      <c r="D24" s="857">
        <f>D11/D9</f>
        <v/>
      </c>
      <c r="E24" s="857">
        <f>E11/E9</f>
        <v/>
      </c>
      <c r="F24" s="857">
        <f>F11/F9</f>
        <v/>
      </c>
      <c r="G24" s="857">
        <f>G11/G9</f>
        <v/>
      </c>
      <c r="H24" s="857">
        <f>H11/H9</f>
        <v/>
      </c>
      <c r="I24" s="857">
        <f>I11/I9</f>
        <v/>
      </c>
      <c r="J24" s="857">
        <f>J11/J9</f>
        <v/>
      </c>
      <c r="K24" s="857">
        <f>K11/K9</f>
        <v/>
      </c>
      <c r="L24" s="857">
        <f>L11/L9</f>
        <v/>
      </c>
      <c r="M24" s="857">
        <f>M11/M9</f>
        <v/>
      </c>
      <c r="N24" s="857">
        <f>N11/N9</f>
        <v/>
      </c>
      <c r="O24" s="857">
        <f>O11/O9</f>
        <v/>
      </c>
      <c r="P24" s="857">
        <f>P11/P9</f>
        <v/>
      </c>
      <c r="Q24" s="857">
        <f>Q11/Q9</f>
        <v/>
      </c>
      <c r="R24" s="857">
        <f>R11/R9</f>
        <v/>
      </c>
      <c r="S24" s="857">
        <f>S11/S9</f>
        <v/>
      </c>
      <c r="T24" s="857">
        <f>T11/T9</f>
        <v/>
      </c>
      <c r="U24" s="857">
        <f>U11/U9</f>
        <v/>
      </c>
      <c r="V24" s="857">
        <f>V11/V9</f>
        <v/>
      </c>
      <c r="Y24" s="489" t="n"/>
    </row>
    <row r="25" ht="13" customHeight="1">
      <c r="B25" s="31" t="inlineStr">
        <is>
          <t>Net Margin (attraibutable)</t>
        </is>
      </c>
      <c r="C25" s="857" t="n"/>
      <c r="D25" s="857">
        <f>D13/D9</f>
        <v/>
      </c>
      <c r="E25" s="857">
        <f>E13/E9</f>
        <v/>
      </c>
      <c r="F25" s="857">
        <f>F13/F9</f>
        <v/>
      </c>
      <c r="G25" s="857">
        <f>G13/G9</f>
        <v/>
      </c>
      <c r="H25" s="857">
        <f>H13/H9</f>
        <v/>
      </c>
      <c r="I25" s="857">
        <f>I13/I9</f>
        <v/>
      </c>
      <c r="J25" s="857">
        <f>J13/J9</f>
        <v/>
      </c>
      <c r="K25" s="857">
        <f>K13/K9</f>
        <v/>
      </c>
      <c r="L25" s="857">
        <f>L13/L9</f>
        <v/>
      </c>
      <c r="M25" s="857">
        <f>M13/M9</f>
        <v/>
      </c>
      <c r="N25" s="857">
        <f>N13/N9</f>
        <v/>
      </c>
      <c r="O25" s="857">
        <f>O13/O9</f>
        <v/>
      </c>
      <c r="P25" s="857">
        <f>P13/P9</f>
        <v/>
      </c>
      <c r="Q25" s="857">
        <f>Q13/Q9</f>
        <v/>
      </c>
      <c r="R25" s="857">
        <f>R13/R9</f>
        <v/>
      </c>
      <c r="S25" s="857">
        <f>S13/S9</f>
        <v/>
      </c>
      <c r="T25" s="857">
        <f>T13/T9</f>
        <v/>
      </c>
      <c r="U25" s="857">
        <f>U13/U9</f>
        <v/>
      </c>
      <c r="V25" s="857">
        <f>V13/V9</f>
        <v/>
      </c>
    </row>
    <row r="26" ht="13" customHeight="1">
      <c r="B26" s="178" t="inlineStr">
        <is>
          <t>EBITDA Margin</t>
        </is>
      </c>
      <c r="C26" s="856" t="n"/>
      <c r="D26" s="856" t="n"/>
      <c r="E26" s="856" t="n"/>
      <c r="F26" s="856" t="n"/>
      <c r="G26" s="856" t="n"/>
      <c r="H26" s="856">
        <f>H14/H9</f>
        <v/>
      </c>
      <c r="I26" s="856">
        <f>I14/I9</f>
        <v/>
      </c>
      <c r="J26" s="856">
        <f>J14/J9</f>
        <v/>
      </c>
      <c r="K26" s="856">
        <f>K14/K9</f>
        <v/>
      </c>
      <c r="L26" s="856">
        <f>L14/L9</f>
        <v/>
      </c>
      <c r="M26" s="856">
        <f>M14/M9</f>
        <v/>
      </c>
      <c r="N26" s="856">
        <f>N14/N9</f>
        <v/>
      </c>
      <c r="O26" s="856">
        <f>O14/O9</f>
        <v/>
      </c>
      <c r="P26" s="856">
        <f>P14/P9</f>
        <v/>
      </c>
      <c r="Q26" s="856">
        <f>Q14/Q9</f>
        <v/>
      </c>
      <c r="R26" s="856">
        <f>R14/R9</f>
        <v/>
      </c>
      <c r="S26" s="856">
        <f>S14/S9</f>
        <v/>
      </c>
      <c r="T26" s="856">
        <f>T14/T9</f>
        <v/>
      </c>
      <c r="U26" s="856">
        <f>U14/U9</f>
        <v/>
      </c>
      <c r="V26" s="856">
        <f>V14/V9</f>
        <v/>
      </c>
    </row>
    <row r="27" ht="13" customHeight="1">
      <c r="B27" s="31" t="inlineStr">
        <is>
          <t>Revenue Growth</t>
        </is>
      </c>
      <c r="C27" s="850" t="n"/>
      <c r="D27" s="850" t="n"/>
      <c r="E27" s="850">
        <f>IF(AND(E9&gt;0,D9&gt;0),+E9/D9-1,"n.a.")</f>
        <v/>
      </c>
      <c r="F27" s="850">
        <f>IF(AND(F9&gt;0,E9&gt;0),+F9/E9-1,"n.a.")</f>
        <v/>
      </c>
      <c r="G27" s="850">
        <f>IF(AND(G9&gt;0,F9&gt;0),+G9/F9-1,"n.a.")</f>
        <v/>
      </c>
      <c r="H27" s="850">
        <f>IF(AND(H9&gt;0,G9&gt;0),+H9/G9-1,"n.a.")</f>
        <v/>
      </c>
      <c r="I27" s="850">
        <f>IF(AND(I9&gt;0,H9&gt;0),+I9/H9-1,"n.a.")</f>
        <v/>
      </c>
      <c r="J27" s="850">
        <f>IF(AND(J9&gt;0,I9&gt;0),+J9/I9-1,"n.a.")</f>
        <v/>
      </c>
      <c r="K27" s="850">
        <f>IF(AND(K9&gt;0,J9&gt;0),+K9/J9-1,"n.a.")</f>
        <v/>
      </c>
      <c r="L27" s="850">
        <f>IF(AND(L9&gt;0,K9&gt;0),+L9/K9-1,"n.a.")</f>
        <v/>
      </c>
      <c r="M27" s="850">
        <f>IF(AND(M9&gt;0,L9&gt;0),+M9/L9-1,"n.a.")</f>
        <v/>
      </c>
      <c r="N27" s="850">
        <f>IF(AND(N9&gt;0,M9&gt;0),+N9/M9-1,"n.a.")</f>
        <v/>
      </c>
      <c r="O27" s="850">
        <f>IF(AND(O9&gt;0,N9&gt;0),+O9/N9-1,"n.a.")</f>
        <v/>
      </c>
      <c r="P27" s="850">
        <f>IF(AND(P9&gt;0,O9&gt;0),+P9/O9-1,"n.a.")</f>
        <v/>
      </c>
      <c r="Q27" s="850">
        <f>IF(AND(Q9&gt;0,P9&gt;0),+Q9/P9-1,"n.a.")</f>
        <v/>
      </c>
      <c r="R27" s="850">
        <f>IF(AND(R9&gt;0,Q9&gt;0),+R9/Q9-1,"n.a.")</f>
        <v/>
      </c>
      <c r="S27" s="850">
        <f>IF(AND(S9&gt;0,R9&gt;0),+S9/R9-1,"n.a.")</f>
        <v/>
      </c>
      <c r="T27" s="850">
        <f>IF(AND(T9&gt;0,S9&gt;0),+T9/S9-1,"n.a.")</f>
        <v/>
      </c>
      <c r="U27" s="850">
        <f>IF(AND(U9&gt;0,T9&gt;0),+U9/T9-1,"n.a.")</f>
        <v/>
      </c>
      <c r="V27" s="850">
        <f>IF(AND(V9&gt;0,U9&gt;0),+V9/U9-1,"n.a.")</f>
        <v/>
      </c>
    </row>
    <row r="28" ht="13" customHeight="1">
      <c r="B28" s="31" t="inlineStr">
        <is>
          <t>EBIT Growth</t>
        </is>
      </c>
      <c r="C28" s="850" t="n"/>
      <c r="D28" s="850" t="n"/>
      <c r="E28" s="850">
        <f>IF(AND(E11&gt;0,D11&gt;0),+E11/D11-1,"n.a.")</f>
        <v/>
      </c>
      <c r="F28" s="850">
        <f>IF(AND(F11&gt;0,E11&gt;0),+F11/E11-1,"n.a.")</f>
        <v/>
      </c>
      <c r="G28" s="850">
        <f>IF(AND(G11&gt;0,F11&gt;0),+G11/F11-1,"n.a.")</f>
        <v/>
      </c>
      <c r="H28" s="850">
        <f>IF(AND(H11&gt;0,G11&gt;0),+H11/G11-1,"n.a.")</f>
        <v/>
      </c>
      <c r="I28" s="850">
        <f>IF(AND(I11&gt;0,H11&gt;0),+I11/H11-1,"n.a.")</f>
        <v/>
      </c>
      <c r="J28" s="850">
        <f>IF(AND(J11&gt;0,I11&gt;0),+J11/I11-1,"n.a.")</f>
        <v/>
      </c>
      <c r="K28" s="850">
        <f>IF(AND(K11&gt;0,J11&gt;0),+K11/J11-1,"n.a.")</f>
        <v/>
      </c>
      <c r="L28" s="850">
        <f>IF(AND(L11&gt;0,K11&gt;0),+L11/K11-1,"n.a.")</f>
        <v/>
      </c>
      <c r="M28" s="850">
        <f>IF(AND(M11&gt;0,L11&gt;0),+M11/L11-1,"n.a.")</f>
        <v/>
      </c>
      <c r="N28" s="850">
        <f>IF(AND(N11&gt;0,M11&gt;0),+N11/M11-1,"n.a.")</f>
        <v/>
      </c>
      <c r="O28" s="850">
        <f>IF(AND(O11&gt;0,N11&gt;0),+O11/N11-1,"n.a.")</f>
        <v/>
      </c>
      <c r="P28" s="850">
        <f>IF(AND(P11&gt;0,O11&gt;0),+P11/O11-1,"n.a.")</f>
        <v/>
      </c>
      <c r="Q28" s="850">
        <f>IF(AND(Q11&gt;0,P11&gt;0),+Q11/P11-1,"n.a.")</f>
        <v/>
      </c>
      <c r="R28" s="850">
        <f>IF(AND(R11&gt;0,Q11&gt;0),+R11/Q11-1,"n.a.")</f>
        <v/>
      </c>
      <c r="S28" s="850">
        <f>IF(AND(S11&gt;0,R11&gt;0),+S11/R11-1,"n.a.")</f>
        <v/>
      </c>
      <c r="T28" s="850">
        <f>IF(AND(T11&gt;0,S11&gt;0),+T11/S11-1,"n.a.")</f>
        <v/>
      </c>
      <c r="U28" s="850">
        <f>IF(AND(U11&gt;0,T11&gt;0),+U11/T11-1,"n.a.")</f>
        <v/>
      </c>
      <c r="V28" s="850">
        <f>IF(AND(V11&gt;0,U11&gt;0),+V11/U11-1,"n.a.")</f>
        <v/>
      </c>
    </row>
    <row r="29" ht="13" customHeight="1">
      <c r="B29" s="31" t="inlineStr">
        <is>
          <t>Net Income Growth (attributable)</t>
        </is>
      </c>
      <c r="C29" s="850" t="n"/>
      <c r="D29" s="850" t="n"/>
      <c r="E29" s="850">
        <f>IF(AND(E13&gt;0,D13&gt;0),+E13/D13-1,"n.a.")</f>
        <v/>
      </c>
      <c r="F29" s="850">
        <f>IF(AND(F13&gt;0,E13&gt;0),+F13/E13-1,"n.a.")</f>
        <v/>
      </c>
      <c r="G29" s="850">
        <f>IF(AND(G13&gt;0,F13&gt;0),+G13/F13-1,"n.a.")</f>
        <v/>
      </c>
      <c r="H29" s="850">
        <f>IF(AND(H13&gt;0,G13&gt;0),+H13/G13-1,"n.a.")</f>
        <v/>
      </c>
      <c r="I29" s="850">
        <f>IF(AND(I13&gt;0,H13&gt;0),+I13/H13-1,"n.a.")</f>
        <v/>
      </c>
      <c r="J29" s="850">
        <f>IF(AND(J13&gt;0,I13&gt;0),+J13/I13-1,"n.a.")</f>
        <v/>
      </c>
      <c r="K29" s="850">
        <f>IF(AND(K13&gt;0,J13&gt;0),+K13/J13-1,"n.a.")</f>
        <v/>
      </c>
      <c r="L29" s="850">
        <f>IF(AND(L13&gt;0,K13&gt;0),+L13/K13-1,"n.a.")</f>
        <v/>
      </c>
      <c r="M29" s="850">
        <f>IF(AND(M13&gt;0,L13&gt;0),+M13/L13-1,"n.a.")</f>
        <v/>
      </c>
      <c r="N29" s="850">
        <f>IF(AND(N13&gt;0,M13&gt;0),+N13/M13-1,"n.a.")</f>
        <v/>
      </c>
      <c r="O29" s="850">
        <f>IF(AND(O13&gt;0,N13&gt;0),+O13/N13-1,"n.a.")</f>
        <v/>
      </c>
      <c r="P29" s="850">
        <f>IF(AND(P13&gt;0,O13&gt;0),+P13/O13-1,"n.a.")</f>
        <v/>
      </c>
      <c r="Q29" s="850">
        <f>IF(AND(Q13&gt;0,P13&gt;0),+Q13/P13-1,"n.a.")</f>
        <v/>
      </c>
      <c r="R29" s="850">
        <f>IF(AND(R13&gt;0,Q13&gt;0),+R13/Q13-1,"n.a.")</f>
        <v/>
      </c>
      <c r="S29" s="850">
        <f>IF(AND(S13&gt;0,R13&gt;0),+S13/R13-1,"n.a.")</f>
        <v/>
      </c>
      <c r="T29" s="850">
        <f>IF(AND(T13&gt;0,S13&gt;0),+T13/S13-1,"n.a.")</f>
        <v/>
      </c>
      <c r="U29" s="850">
        <f>IF(AND(U13&gt;0,T13&gt;0),+U13/T13-1,"n.a.")</f>
        <v/>
      </c>
      <c r="V29" s="850">
        <f>IF(AND(V13&gt;0,U13&gt;0),+V13/U13-1,"n.a.")</f>
        <v/>
      </c>
    </row>
    <row r="30" ht="13" customHeight="1">
      <c r="B30" s="178" t="inlineStr">
        <is>
          <t>EBITDA Growth</t>
        </is>
      </c>
      <c r="C30" s="176" t="n"/>
      <c r="D30" s="176" t="n"/>
      <c r="E30" s="858">
        <f>E14/D14-1</f>
        <v/>
      </c>
      <c r="F30" s="858">
        <f>F14/E14-1</f>
        <v/>
      </c>
      <c r="G30" s="858">
        <f>G14/F14-1</f>
        <v/>
      </c>
      <c r="H30" s="858">
        <f>H14/G14-1</f>
        <v/>
      </c>
      <c r="I30" s="858">
        <f>I14/H14-1</f>
        <v/>
      </c>
      <c r="J30" s="858">
        <f>J14/I14-1</f>
        <v/>
      </c>
      <c r="K30" s="858">
        <f>K14/J14-1</f>
        <v/>
      </c>
      <c r="L30" s="858">
        <f>L14/K14-1</f>
        <v/>
      </c>
      <c r="M30" s="858">
        <f>M14/L14-1</f>
        <v/>
      </c>
      <c r="N30" s="858">
        <f>N14/M14-1</f>
        <v/>
      </c>
      <c r="O30" s="858">
        <f>O14/N14-1</f>
        <v/>
      </c>
      <c r="P30" s="858">
        <f>P14/O14-1</f>
        <v/>
      </c>
      <c r="Q30" s="858">
        <f>Q14/P14-1</f>
        <v/>
      </c>
      <c r="R30" s="858">
        <f>R14/Q14-1</f>
        <v/>
      </c>
      <c r="S30" s="858">
        <f>S14/R14-1</f>
        <v/>
      </c>
      <c r="T30" s="858">
        <f>T14/S14-1</f>
        <v/>
      </c>
      <c r="U30" s="858">
        <f>U14/T14-1</f>
        <v/>
      </c>
      <c r="V30" s="858">
        <f>V14/U14-1</f>
        <v/>
      </c>
    </row>
    <row r="31" ht="13.25" customHeight="1">
      <c r="B31" s="31" t="n"/>
      <c r="K31" s="213" t="n"/>
    </row>
  </sheetData>
  <pageMargins left="0.7" right="0.7" top="0.2" bottom="0.2" header="0.3" footer="0.3"/>
  <pageSetup orientation="landscape" paperSize="9" scale="76" horizontalDpi="300" verticalDpi="300"/>
</worksheet>
</file>

<file path=xl/worksheets/sheet2.xml><?xml version="1.0" encoding="utf-8"?>
<worksheet xmlns="http://schemas.openxmlformats.org/spreadsheetml/2006/main">
  <sheetPr codeName="Sheet4">
    <tabColor theme="3"/>
    <outlinePr summaryBelow="1" summaryRight="1"/>
    <pageSetUpPr fitToPage="1"/>
  </sheetPr>
  <dimension ref="A1:U179"/>
  <sheetViews>
    <sheetView topLeftCell="A31" zoomScale="85" zoomScaleNormal="85" workbookViewId="0">
      <selection activeCell="E84" sqref="E84"/>
    </sheetView>
  </sheetViews>
  <sheetFormatPr baseColWidth="10" defaultColWidth="9.33203125" defaultRowHeight="13" outlineLevelRow="1"/>
  <cols>
    <col width="40.6640625" customWidth="1" style="20" min="1" max="1"/>
    <col width="14.6640625" customWidth="1" style="20" min="2" max="3"/>
    <col width="11.6640625" customWidth="1" style="20" min="4" max="6"/>
    <col width="9.6640625" customWidth="1" style="20" min="7" max="12"/>
    <col width="11.6640625" customWidth="1" style="20" min="13" max="13"/>
    <col width="9.6640625" customWidth="1" style="20" min="14" max="14"/>
    <col width="15.6640625" customWidth="1" style="20" min="15" max="15"/>
    <col width="9.33203125" customWidth="1" style="20" min="16" max="19"/>
    <col width="12.6640625" bestFit="1" customWidth="1" style="20" min="20" max="20"/>
    <col width="9.33203125" customWidth="1" style="20" min="21" max="16384"/>
  </cols>
  <sheetData>
    <row r="1">
      <c r="A1" s="21">
        <f>Summary!$B$5</f>
        <v/>
      </c>
    </row>
    <row r="2">
      <c r="A2" s="20" t="inlineStr">
        <is>
          <t>Valuation</t>
        </is>
      </c>
    </row>
    <row r="6">
      <c r="A6" s="81" t="inlineStr">
        <is>
          <t>Current Valuation</t>
        </is>
      </c>
      <c r="D6" s="20" t="inlineStr">
        <is>
          <t>BBG</t>
        </is>
      </c>
      <c r="J6" s="664" t="inlineStr">
        <is>
          <t>BETA</t>
        </is>
      </c>
      <c r="K6" s="665" t="n"/>
      <c r="L6" s="665" t="n"/>
      <c r="M6" s="664" t="n"/>
    </row>
    <row r="7">
      <c r="A7" s="32" t="inlineStr">
        <is>
          <t>Price (USD)</t>
        </is>
      </c>
      <c r="B7" s="666" t="n">
        <v>83.55</v>
      </c>
      <c r="D7" s="20">
        <f t="array" ref="D7">_xll.BDP("IPGP US EQUITY","PX_LAST")</f>
        <v/>
      </c>
      <c r="J7" s="63" t="inlineStr">
        <is>
          <t>Risk free rate</t>
        </is>
      </c>
      <c r="M7" s="859" t="n">
        <v>0.024</v>
      </c>
    </row>
    <row r="8" customFormat="1" s="57">
      <c r="A8" s="20" t="inlineStr">
        <is>
          <t>Price Date</t>
        </is>
      </c>
      <c r="B8" s="860" t="n">
        <v>45047</v>
      </c>
      <c r="J8" s="63" t="inlineStr">
        <is>
          <t>Beta (Adjusted)</t>
        </is>
      </c>
      <c r="M8" s="55" t="n">
        <v>1</v>
      </c>
    </row>
    <row r="9" customFormat="1" s="21">
      <c r="J9" s="63" t="inlineStr">
        <is>
          <t>Market risk premium</t>
        </is>
      </c>
      <c r="M9" s="859" t="n">
        <v>0.07099999999999999</v>
      </c>
    </row>
    <row r="10"/>
    <row r="11">
      <c r="J11" s="20" t="inlineStr">
        <is>
          <t>Current Market Value of Equity</t>
        </is>
      </c>
      <c r="M11" s="64">
        <f>M29*M30</f>
        <v/>
      </c>
    </row>
    <row r="12">
      <c r="J12" s="20" t="inlineStr">
        <is>
          <t>Book Value of Debt</t>
        </is>
      </c>
      <c r="M12" s="64">
        <f>M31</f>
        <v/>
      </c>
    </row>
    <row r="13">
      <c r="J13" s="20" t="inlineStr">
        <is>
          <t>Equity Weight</t>
        </is>
      </c>
      <c r="M13" s="861">
        <f>M11/(M11+M12)</f>
        <v/>
      </c>
    </row>
    <row r="14">
      <c r="J14" s="20" t="inlineStr">
        <is>
          <t>Debt Weight</t>
        </is>
      </c>
      <c r="M14" s="861">
        <f>M12/(M11+M12)</f>
        <v/>
      </c>
    </row>
    <row r="15"/>
    <row r="16">
      <c r="J16" s="21" t="inlineStr">
        <is>
          <t>Tax rate</t>
        </is>
      </c>
      <c r="M16" s="862" t="n">
        <v>0.25</v>
      </c>
    </row>
    <row r="17"/>
    <row r="18">
      <c r="J18" s="21" t="inlineStr">
        <is>
          <t>Cost of Equity</t>
        </is>
      </c>
      <c r="M18" s="863">
        <f>M7+M8*M9</f>
        <v/>
      </c>
    </row>
    <row r="19">
      <c r="J19" s="21" t="n"/>
    </row>
    <row r="20">
      <c r="J20" s="21" t="inlineStr">
        <is>
          <t>Cost of Debt</t>
        </is>
      </c>
      <c r="M20" s="859" t="n">
        <v>0.0244</v>
      </c>
      <c r="T20" s="472" t="n"/>
      <c r="U20" s="472" t="n"/>
    </row>
    <row r="21">
      <c r="T21" s="472" t="n"/>
    </row>
    <row r="22">
      <c r="J22" s="21" t="inlineStr">
        <is>
          <t>WACC</t>
        </is>
      </c>
      <c r="M22" s="863">
        <f>M13*M18+M14*M20*(1-M16)</f>
        <v/>
      </c>
      <c r="T22" s="473" t="n"/>
      <c r="U22" s="472" t="n"/>
    </row>
    <row r="23">
      <c r="J23" s="21" t="inlineStr">
        <is>
          <t>Terminal Growth Rate</t>
        </is>
      </c>
      <c r="M23" s="859" t="n">
        <v>0.03</v>
      </c>
      <c r="T23" s="472" t="n"/>
      <c r="U23" s="472" t="n"/>
    </row>
    <row r="24">
      <c r="J24" s="21" t="inlineStr">
        <is>
          <t>Inflation rate</t>
        </is>
      </c>
      <c r="M24" s="859" t="n">
        <v>0.02</v>
      </c>
    </row>
    <row r="25" outlineLevel="1">
      <c r="J25" s="21" t="n"/>
      <c r="M25" s="862" t="n"/>
    </row>
    <row r="26" outlineLevel="1"/>
    <row r="27"/>
    <row r="28">
      <c r="J28" s="22" t="inlineStr">
        <is>
          <t>Current Market Value of Equity</t>
        </is>
      </c>
    </row>
    <row r="29">
      <c r="J29" t="inlineStr">
        <is>
          <t>Price (USD)</t>
        </is>
      </c>
      <c r="M29" s="406">
        <f>Summary!Y10</f>
        <v/>
      </c>
    </row>
    <row r="30">
      <c r="A30" s="61" t="inlineStr">
        <is>
          <t>Last Actual</t>
        </is>
      </c>
      <c r="B30" s="453" t="inlineStr">
        <is>
          <t>1Q24</t>
        </is>
      </c>
      <c r="C30" s="864" t="n">
        <v>2023</v>
      </c>
      <c r="J30" t="inlineStr">
        <is>
          <t>Outstanding (Thousands)</t>
        </is>
      </c>
      <c r="M30" s="674">
        <f>45566746/1000</f>
        <v/>
      </c>
    </row>
    <row r="31">
      <c r="J31" s="341" t="inlineStr">
        <is>
          <t>(+) Total debt</t>
        </is>
      </c>
      <c r="M31" s="442">
        <f>INDEX(FS_Y!$146:$146,,MATCH($C$30,FS_Y!$5:$5,0))</f>
        <v/>
      </c>
    </row>
    <row r="32">
      <c r="J32" s="341" t="inlineStr">
        <is>
          <t>(-) Cash</t>
        </is>
      </c>
      <c r="M32" s="442">
        <f>INDEX(FS_Y!$139:$139,,MATCH($C$30,FS_Y!$5:$5,0))</f>
        <v/>
      </c>
    </row>
    <row r="33">
      <c r="J33" s="341" t="inlineStr">
        <is>
          <t>(-) Financial investment</t>
        </is>
      </c>
      <c r="M33" s="442">
        <f>INDEX(FS_Y!$45:$45,,MATCH($C$30,FS_Y!$5:$5,0))</f>
        <v/>
      </c>
    </row>
    <row r="34">
      <c r="J34" s="341" t="inlineStr">
        <is>
          <t>(+) Non-controlling interest</t>
        </is>
      </c>
      <c r="M34" s="442">
        <f>INDEX(FS_Y!74:74,,MATCH(C30,FS_Y!5:5,0))</f>
        <v/>
      </c>
    </row>
    <row r="35">
      <c r="J35" s="20" t="inlineStr">
        <is>
          <t>Enterprise value</t>
        </is>
      </c>
      <c r="M35" s="442">
        <f>M29*M30+M31-M32-M33</f>
        <v/>
      </c>
    </row>
    <row r="38">
      <c r="A38" s="81" t="inlineStr">
        <is>
          <t>EV/EBITDA - Primary</t>
        </is>
      </c>
      <c r="D38" s="475" t="inlineStr">
        <is>
          <t>Ex.Cash Forward PE</t>
        </is>
      </c>
      <c r="E38" s="478" t="n"/>
      <c r="F38" s="479" t="n"/>
    </row>
    <row r="39">
      <c r="A39" t="inlineStr">
        <is>
          <t>Reference year</t>
        </is>
      </c>
      <c r="B39" s="532" t="n">
        <v>2025</v>
      </c>
      <c r="D39" s="476" t="inlineStr">
        <is>
          <t>Based on Current Price</t>
        </is>
      </c>
      <c r="F39" s="865">
        <f>(Summary!Y10-$F$42)/$F$43</f>
        <v/>
      </c>
    </row>
    <row r="40">
      <c r="A40" t="inlineStr">
        <is>
          <t>Target EV/EBITDA multiple</t>
        </is>
      </c>
      <c r="B40" s="866" t="n">
        <v>10.7</v>
      </c>
      <c r="D40" s="477" t="inlineStr">
        <is>
          <t>Based on Target Price</t>
        </is>
      </c>
      <c r="E40" s="233" t="n"/>
      <c r="F40" s="867">
        <f>(B53-$F$42)/$F$43</f>
        <v/>
      </c>
    </row>
    <row r="41">
      <c r="A41" t="inlineStr">
        <is>
          <t>EBITDA (reference year)</t>
        </is>
      </c>
      <c r="B41" s="64">
        <f>INDEX(FS_Y!$137:$137,MATCH(Valuation!$B$39,FS_Y!$5:$5,0))</f>
        <v/>
      </c>
    </row>
    <row r="42">
      <c r="A42" s="22" t="inlineStr">
        <is>
          <t>Enterprise value (reference year)</t>
        </is>
      </c>
      <c r="B42" s="66">
        <f>B40*B41</f>
        <v/>
      </c>
      <c r="D42" s="482" t="inlineStr">
        <is>
          <t>Cash and investment/share</t>
        </is>
      </c>
      <c r="E42" s="71" t="n"/>
      <c r="F42" s="483">
        <f>(FS_Y!L44+FS_Y!L45)/FS_Y!L33</f>
        <v/>
      </c>
    </row>
    <row r="43">
      <c r="A43" s="22" t="inlineStr">
        <is>
          <t>Enterprise value (PT date)</t>
        </is>
      </c>
      <c r="B43" s="66">
        <f>B42/(1+M22)^((B49-B52)/365)</f>
        <v/>
      </c>
      <c r="D43" s="477" t="inlineStr">
        <is>
          <t>EPS</t>
        </is>
      </c>
      <c r="E43" s="233" t="inlineStr">
        <is>
          <t>2024E</t>
        </is>
      </c>
      <c r="F43" s="484">
        <f>INDEX(FS_Y!$29:$29,,MATCH(Valuation!$E$43,FS_Y!$8:$8,0))</f>
        <v/>
      </c>
    </row>
    <row r="44">
      <c r="A44" s="341" t="inlineStr">
        <is>
          <t>(-) Total debt</t>
        </is>
      </c>
      <c r="B44" s="64">
        <f>INDEX(FS_Q!$58:$58,MATCH(Valuation!$B$30,FS_Q!$5:$5,0))+INDEX(FS_Q!$65:$65,MATCH(Valuation!$B$30,FS_Q!$5:$5,0))</f>
        <v/>
      </c>
    </row>
    <row r="45">
      <c r="A45" s="341" t="inlineStr">
        <is>
          <t>(+) Cash</t>
        </is>
      </c>
      <c r="B45" s="64">
        <f>INDEX(FS_Q!$44:$44,MATCH(Valuation!$B$30,FS_Q!$5:$5,0))</f>
        <v/>
      </c>
      <c r="D45" s="222" t="inlineStr">
        <is>
          <t>Implying    (</t>
        </is>
      </c>
      <c r="E45" s="868">
        <f>B39</f>
        <v/>
      </c>
      <c r="F45" s="223" t="inlineStr">
        <is>
          <t>)    basis</t>
        </is>
      </c>
    </row>
    <row r="46">
      <c r="A46" s="341" t="inlineStr">
        <is>
          <t>(-) non-controlling interest</t>
        </is>
      </c>
      <c r="B46" s="64">
        <f>INDEX(FS_Q!$74:$74,MATCH(Valuation!$B$30,FS_Q!$5:$5,0))</f>
        <v/>
      </c>
      <c r="D46" s="224" t="inlineStr">
        <is>
          <t>P/B</t>
        </is>
      </c>
      <c r="E46" s="225" t="inlineStr">
        <is>
          <t>P/E</t>
        </is>
      </c>
      <c r="F46" s="226" t="inlineStr">
        <is>
          <t>EV/EBITDA</t>
        </is>
      </c>
    </row>
    <row r="47">
      <c r="A47" s="341" t="inlineStr">
        <is>
          <t>(+) Financial investment</t>
        </is>
      </c>
      <c r="B47" s="64">
        <f>INDEX(FS_Q!$45:$45,MATCH(Valuation!$B$30,FS_Q!$5:$5,0))</f>
        <v/>
      </c>
      <c r="D47" s="463">
        <f>B53/INDEX(FS_Y!$182:$182,MATCH($E45,FS_Y!$5:$5,0))</f>
        <v/>
      </c>
      <c r="E47" s="375">
        <f>B53/INDEX(FS_Y!$29:$29,,MATCH($E45,FS_Y!$5:$5,0))</f>
        <v/>
      </c>
      <c r="F47" s="474">
        <f>(B53*$M$30+$M$31-$M$32-$M$33+$M$34)/INDEX(FS_Y!$137:$137,,MATCH(E45,FS_Y!$1:$1,0))</f>
        <v/>
      </c>
    </row>
    <row r="48">
      <c r="A48" s="341" t="n"/>
      <c r="B48" s="64" t="n"/>
    </row>
    <row r="49">
      <c r="A49" s="105" t="inlineStr">
        <is>
          <t>Reference date</t>
        </is>
      </c>
      <c r="B49" s="869">
        <f>DATE(B39,12,31)</f>
        <v/>
      </c>
    </row>
    <row r="50">
      <c r="A50" s="40" t="inlineStr">
        <is>
          <t>Equity value</t>
        </is>
      </c>
      <c r="B50" s="66">
        <f>B43-B44+B45-B46+B47</f>
        <v/>
      </c>
    </row>
    <row r="51">
      <c r="A51" s="20" t="inlineStr">
        <is>
          <t># of Shares (Thousand)</t>
        </is>
      </c>
      <c r="B51" s="64">
        <f>M30</f>
        <v/>
      </c>
    </row>
    <row r="52">
      <c r="A52" s="20" t="inlineStr">
        <is>
          <t>Price Target Date</t>
        </is>
      </c>
      <c r="B52" s="870" t="n">
        <v>45657</v>
      </c>
    </row>
    <row r="53">
      <c r="A53" s="40" t="inlineStr">
        <is>
          <t>Price Target (USD)</t>
        </is>
      </c>
      <c r="B53" s="460">
        <f>ROUND(B50/B51,0)</f>
        <v/>
      </c>
    </row>
    <row r="54">
      <c r="A54" s="20" t="inlineStr">
        <is>
          <t>Upside/Downside</t>
        </is>
      </c>
      <c r="B54" s="861">
        <f>B53/$B$7-1</f>
        <v/>
      </c>
    </row>
    <row r="57">
      <c r="A57" s="81" t="inlineStr">
        <is>
          <t>DCF - For reference only</t>
        </is>
      </c>
      <c r="O57" s="67" t="n"/>
    </row>
    <row r="58">
      <c r="A58" s="62" t="inlineStr">
        <is>
          <t>(USD Thousands)</t>
        </is>
      </c>
      <c r="D58" s="490" t="n"/>
      <c r="E58" s="61" t="n"/>
      <c r="F58" s="61" t="n"/>
      <c r="G58" s="61" t="n"/>
      <c r="H58" s="61" t="n"/>
      <c r="I58" s="61" t="n"/>
      <c r="J58" s="61" t="n"/>
      <c r="K58" s="61" t="n"/>
      <c r="L58" s="61" t="n"/>
      <c r="M58" s="61" t="n"/>
      <c r="N58" s="61" t="n"/>
      <c r="O58" s="67" t="n"/>
    </row>
    <row r="59">
      <c r="A59" s="57" t="n"/>
      <c r="C59" s="58" t="n"/>
      <c r="D59" s="491" t="n"/>
      <c r="E59" s="58">
        <f>DATE(E60,12,31)</f>
        <v/>
      </c>
      <c r="F59" s="58">
        <f>DATE(F60,12,31)</f>
        <v/>
      </c>
      <c r="G59" s="58">
        <f>DATE(G60,12,31)</f>
        <v/>
      </c>
      <c r="H59" s="58">
        <f>DATE(H60,12,31)</f>
        <v/>
      </c>
      <c r="I59" s="58">
        <f>DATE(I60,12,31)</f>
        <v/>
      </c>
      <c r="J59" s="58">
        <f>DATE(J60,12,31)</f>
        <v/>
      </c>
      <c r="K59" s="58">
        <f>DATE(K60,12,31)</f>
        <v/>
      </c>
      <c r="L59" s="58">
        <f>DATE(L60,12,31)</f>
        <v/>
      </c>
      <c r="M59" s="58">
        <f>DATE(M60,12,31)</f>
        <v/>
      </c>
      <c r="N59" s="58">
        <f>DATE(N60,12,31)</f>
        <v/>
      </c>
      <c r="O59" s="67" t="n"/>
    </row>
    <row r="60">
      <c r="A60" s="68" t="n"/>
      <c r="C60" s="871" t="n"/>
      <c r="D60" s="872" t="n"/>
      <c r="E60" s="873" t="n">
        <v>2019</v>
      </c>
      <c r="F60" s="874">
        <f>E60+1</f>
        <v/>
      </c>
      <c r="G60" s="874">
        <f>F60+1</f>
        <v/>
      </c>
      <c r="H60" s="874">
        <f>G60+1</f>
        <v/>
      </c>
      <c r="I60" s="874">
        <f>H60+1</f>
        <v/>
      </c>
      <c r="J60" s="874">
        <f>I60+1</f>
        <v/>
      </c>
      <c r="K60" s="874">
        <f>J60+1</f>
        <v/>
      </c>
      <c r="L60" s="874">
        <f>K60+1</f>
        <v/>
      </c>
      <c r="M60" s="874">
        <f>L60+1</f>
        <v/>
      </c>
      <c r="N60" s="874">
        <f>M60+1</f>
        <v/>
      </c>
      <c r="O60" s="871" t="inlineStr">
        <is>
          <t>Terminal Value</t>
        </is>
      </c>
    </row>
    <row r="61">
      <c r="A61" s="52" t="inlineStr">
        <is>
          <t>Free Cash Flow</t>
        </is>
      </c>
      <c r="B61" s="64" t="n"/>
      <c r="C61" s="362" t="n"/>
      <c r="D61" s="50" t="n"/>
      <c r="E61" s="662">
        <f>INDEX(FS_Y!173:173,,MATCH(E60,FS_Y!1:1,0))</f>
        <v/>
      </c>
      <c r="F61" s="64">
        <f>INDEX(FS_Y!173:173,,MATCH(F60,FS_Y!1:1,0))</f>
        <v/>
      </c>
      <c r="G61" s="64">
        <f>INDEX(FS_Y!173:173,,MATCH(G60,FS_Y!1:1,0))</f>
        <v/>
      </c>
      <c r="H61" s="64">
        <f>INDEX(FS_Y!173:173,,MATCH(H60,FS_Y!1:1,0))</f>
        <v/>
      </c>
      <c r="I61" s="64">
        <f>INDEX(FS_Y!173:173,,MATCH(I60,FS_Y!1:1,0))</f>
        <v/>
      </c>
      <c r="J61" s="64">
        <f>INDEX(FS_Y!173:173,,MATCH(J60,FS_Y!1:1,0))</f>
        <v/>
      </c>
      <c r="K61" s="64">
        <f>INDEX(FS_Y!173:173,,MATCH(K60,FS_Y!1:1,0))</f>
        <v/>
      </c>
      <c r="L61" s="64">
        <f>INDEX(FS_Y!173:173,,MATCH(L60,FS_Y!1:1,0))</f>
        <v/>
      </c>
      <c r="M61" s="64">
        <f>INDEX(FS_Y!173:173,,MATCH(M60,FS_Y!1:1,0))</f>
        <v/>
      </c>
      <c r="N61" s="64">
        <f>INDEX(FS_Y!173:173,,MATCH(N60,FS_Y!1:1,0))</f>
        <v/>
      </c>
      <c r="O61" s="64">
        <f>FS_Y!$W$165*(1-$M$16)*(1+$M$24)/(Valuation!$M$22-$M$24)</f>
        <v/>
      </c>
    </row>
    <row r="62">
      <c r="A62" s="52" t="inlineStr">
        <is>
          <t>Discount factor</t>
        </is>
      </c>
      <c r="C62" s="875">
        <f>(1/(1+$M$22))^((C59-$B$8)/365)</f>
        <v/>
      </c>
      <c r="D62" s="876" t="n"/>
      <c r="E62" s="663">
        <f>(1/(1+$M$22))^((E59-$B$8)/365)</f>
        <v/>
      </c>
      <c r="F62" s="70">
        <f>(1/(1+$M$22))^((F59-$B$8)/365)</f>
        <v/>
      </c>
      <c r="G62" s="70">
        <f>(1/(1+$M$22))^((G59-$B$8)/365)</f>
        <v/>
      </c>
      <c r="H62" s="70">
        <f>(1/(1+$M$22))^((H59-$B$8)/365)</f>
        <v/>
      </c>
      <c r="I62" s="70">
        <f>(1/(1+$M$22))^((I59-$B$8)/365)</f>
        <v/>
      </c>
      <c r="J62" s="70">
        <f>(1/(1+$M$22))^((J59-$B$8)/365)</f>
        <v/>
      </c>
      <c r="K62" s="70">
        <f>(1/(1+$M$22))^((K59-$B$8)/365)</f>
        <v/>
      </c>
      <c r="L62" s="70">
        <f>(1/(1+$M$22))^((L59-$B$8)/365)</f>
        <v/>
      </c>
      <c r="M62" s="70">
        <f>(1/(1+$M$22))^((M59-$B$8)/365)</f>
        <v/>
      </c>
      <c r="N62" s="70">
        <f>(1/(1+$M$22))^((N59-$B$8)/365)</f>
        <v/>
      </c>
      <c r="O62" s="70">
        <f>N62</f>
        <v/>
      </c>
    </row>
    <row r="63">
      <c r="A63" s="53" t="inlineStr">
        <is>
          <t>Discounted FCF</t>
        </is>
      </c>
      <c r="C63" s="362" t="n"/>
      <c r="D63" s="50" t="n"/>
      <c r="E63" s="662">
        <f>E61*E62</f>
        <v/>
      </c>
      <c r="F63" s="64">
        <f>F61*F62</f>
        <v/>
      </c>
      <c r="G63" s="64">
        <f>G61*G62</f>
        <v/>
      </c>
      <c r="H63" s="64">
        <f>H61*H62</f>
        <v/>
      </c>
      <c r="I63" s="64">
        <f>I61*I62</f>
        <v/>
      </c>
      <c r="J63" s="64">
        <f>J61*J62</f>
        <v/>
      </c>
      <c r="K63" s="64">
        <f>K61*K62</f>
        <v/>
      </c>
      <c r="L63" s="64">
        <f>L61*L62</f>
        <v/>
      </c>
      <c r="M63" s="64">
        <f>M61*M62</f>
        <v/>
      </c>
      <c r="N63" s="64">
        <f>N61*N62</f>
        <v/>
      </c>
      <c r="O63" s="64">
        <f>O61*O62</f>
        <v/>
      </c>
    </row>
    <row r="64">
      <c r="A64" s="22" t="inlineStr">
        <is>
          <t>Enterprise value</t>
        </is>
      </c>
      <c r="B64" s="66">
        <f>SUM(F63:O63)</f>
        <v/>
      </c>
      <c r="F64" s="395" t="n"/>
      <c r="G64" s="395" t="n"/>
      <c r="H64" s="395" t="n"/>
      <c r="I64" s="395" t="n"/>
      <c r="J64" s="395" t="n"/>
      <c r="K64" s="395" t="n"/>
      <c r="L64" s="395" t="n"/>
      <c r="M64" s="395" t="n"/>
      <c r="N64" s="395" t="n"/>
      <c r="O64" s="67" t="n"/>
    </row>
    <row r="65">
      <c r="A65" s="341" t="inlineStr">
        <is>
          <t>(-) Total debt</t>
        </is>
      </c>
      <c r="B65" s="64">
        <f>M31</f>
        <v/>
      </c>
      <c r="N65" s="50" t="n"/>
      <c r="O65" s="67" t="n"/>
    </row>
    <row r="66">
      <c r="A66" s="341" t="inlineStr">
        <is>
          <t>(+) Cash</t>
        </is>
      </c>
      <c r="B66" s="64">
        <f>M32</f>
        <v/>
      </c>
      <c r="N66" s="50" t="n"/>
      <c r="O66" s="67" t="n"/>
    </row>
    <row r="67">
      <c r="A67" s="341" t="inlineStr">
        <is>
          <t>(+) Financial investment</t>
        </is>
      </c>
      <c r="B67" s="64">
        <f>M33</f>
        <v/>
      </c>
      <c r="N67" s="50" t="n"/>
      <c r="O67" s="67" t="n"/>
    </row>
    <row r="68">
      <c r="A68" s="341" t="inlineStr">
        <is>
          <t>(-)  Non-controlling interest</t>
        </is>
      </c>
      <c r="B68" s="64">
        <f>M34</f>
        <v/>
      </c>
      <c r="N68" s="50" t="n"/>
      <c r="O68" s="67" t="n"/>
    </row>
    <row r="69">
      <c r="B69" s="64" t="n"/>
      <c r="N69" s="50" t="n"/>
      <c r="O69" s="67" t="n"/>
    </row>
    <row r="70">
      <c r="A70" s="74" t="n"/>
      <c r="B70" s="75" t="n"/>
      <c r="N70" s="50" t="n"/>
      <c r="O70" s="67" t="n"/>
    </row>
    <row r="71">
      <c r="A71" s="22" t="inlineStr">
        <is>
          <t>Equity value</t>
        </is>
      </c>
      <c r="B71" s="66">
        <f>B64-B65+B66+B67-B68</f>
        <v/>
      </c>
      <c r="N71" s="50" t="n"/>
      <c r="O71" s="67" t="n"/>
    </row>
    <row r="72">
      <c r="A72" s="20" t="inlineStr">
        <is>
          <t># of Shares (Thousands)</t>
        </is>
      </c>
      <c r="B72" s="557" t="n">
        <v>53256.961</v>
      </c>
      <c r="N72" s="50" t="n"/>
      <c r="O72" s="67" t="n"/>
    </row>
    <row r="73">
      <c r="A73" s="105" t="inlineStr">
        <is>
          <t>Fair Value per share, calculated (USD)</t>
        </is>
      </c>
      <c r="B73" s="877">
        <f>B71/B72</f>
        <v/>
      </c>
      <c r="N73" s="50" t="n"/>
      <c r="O73" s="67" t="n"/>
    </row>
    <row r="74">
      <c r="B74" s="878" t="n"/>
      <c r="G74" s="879" t="n"/>
      <c r="H74" s="879" t="n"/>
      <c r="N74" s="50" t="n"/>
      <c r="O74" s="67" t="n"/>
    </row>
    <row r="75">
      <c r="A75" s="20" t="inlineStr">
        <is>
          <t>Price Target Date</t>
        </is>
      </c>
      <c r="B75" s="870" t="n">
        <v>44196</v>
      </c>
      <c r="H75" s="485" t="n"/>
      <c r="N75" s="50" t="n"/>
      <c r="O75" s="67" t="n"/>
    </row>
    <row r="76">
      <c r="A76" s="40" t="inlineStr">
        <is>
          <t>Price Target (USD)</t>
        </is>
      </c>
      <c r="B76" s="460">
        <f>ROUND(B73*(1+M18)^((B75-B8)/365),0)</f>
        <v/>
      </c>
      <c r="H76" s="487" t="n"/>
      <c r="N76" s="50" t="n"/>
      <c r="O76" s="67" t="n"/>
    </row>
    <row r="77">
      <c r="A77" s="20" t="inlineStr">
        <is>
          <t>Upside/Downside</t>
        </is>
      </c>
      <c r="B77" s="861">
        <f>B76/Summary!Y10-1</f>
        <v/>
      </c>
      <c r="N77" s="50" t="n"/>
      <c r="O77" s="67" t="n"/>
    </row>
    <row r="78">
      <c r="O78" s="67" t="n"/>
    </row>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c r="O160" s="67" t="n"/>
    </row>
    <row r="161">
      <c r="O161" s="67" t="n"/>
    </row>
    <row r="162">
      <c r="O162" s="67" t="n"/>
    </row>
    <row r="163">
      <c r="O163" s="67" t="n"/>
    </row>
    <row r="164">
      <c r="O164" s="67" t="n"/>
    </row>
    <row r="165">
      <c r="O165" s="67" t="n"/>
    </row>
    <row r="166">
      <c r="O166" s="67" t="n"/>
    </row>
    <row r="167">
      <c r="O167" s="67" t="n"/>
    </row>
    <row r="168">
      <c r="O168" s="67" t="n"/>
    </row>
    <row r="169">
      <c r="O169" s="67" t="n"/>
    </row>
    <row r="170">
      <c r="O170" s="67" t="n"/>
    </row>
    <row r="171"/>
    <row r="172"/>
    <row r="173"/>
    <row r="174"/>
    <row r="175"/>
    <row r="176"/>
    <row r="177"/>
    <row r="178"/>
    <row r="179"/>
  </sheetData>
  <pageMargins left="0.7" right="0.7" top="0.2" bottom="0.2" header="0.3" footer="0.3"/>
  <pageSetup orientation="landscape" paperSize="9" scale="54" horizontalDpi="300" verticalDpi="300"/>
  <legacyDrawing xmlns:r="http://schemas.openxmlformats.org/officeDocument/2006/relationships" r:id="anysvml"/>
</worksheet>
</file>

<file path=xl/worksheets/sheet3.xml><?xml version="1.0" encoding="utf-8"?>
<worksheet xmlns="http://schemas.openxmlformats.org/spreadsheetml/2006/main">
  <sheetPr codeName="Sheet5">
    <tabColor theme="1"/>
    <outlinePr summaryBelow="1" summaryRight="1"/>
    <pageSetUpPr/>
  </sheetPr>
  <dimension ref="A1:Y23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6"/>
    <col collapsed="1" width="15.6640625" customWidth="1" style="20" min="7" max="7"/>
    <col width="15.6640625" customWidth="1" style="20" min="8" max="21"/>
    <col width="9.33203125" customWidth="1" style="20" min="22" max="22"/>
    <col width="9.33203125" bestFit="1" customWidth="1" style="20" min="23" max="23"/>
    <col width="9.33203125" customWidth="1" style="20" min="24" max="16384"/>
  </cols>
  <sheetData>
    <row r="1">
      <c r="A1" s="22">
        <f>Summary!$B$5</f>
        <v/>
      </c>
      <c r="B1" s="23">
        <f>#REF!</f>
        <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row>
    <row r="2">
      <c r="A2" t="inlineStr">
        <is>
          <t>Financial Statements</t>
        </is>
      </c>
      <c r="B2" s="24">
        <f>"2H"&amp;RIGHT(B1,2)</f>
        <v/>
      </c>
      <c r="C2" s="24">
        <f>"2H"&amp;RIGHT(C1,2)</f>
        <v/>
      </c>
      <c r="D2" s="24">
        <f>"2H"&amp;RIGHT(D1,2)</f>
        <v/>
      </c>
      <c r="E2" s="24">
        <f>"2H"&amp;RIGHT(E1,2)</f>
        <v/>
      </c>
      <c r="F2" s="24">
        <f>"2H"&amp;RIGHT(F1,2)</f>
        <v/>
      </c>
      <c r="G2" s="24">
        <f>"2H"&amp;RIGHT(G1,2)</f>
        <v/>
      </c>
      <c r="H2" s="24">
        <f>"2H"&amp;RIGHT(H1,2)</f>
        <v/>
      </c>
      <c r="I2" s="24">
        <f>"2H"&amp;RIGHT(I1,2)</f>
        <v/>
      </c>
      <c r="J2" s="24">
        <f>"2H"&amp;RIGHT(J1,2)</f>
        <v/>
      </c>
      <c r="K2" s="24">
        <f>"2H"&amp;RIGHT(K1,2)</f>
        <v/>
      </c>
      <c r="L2" s="24">
        <f>"2H"&amp;RIGHT(L1,2)</f>
        <v/>
      </c>
      <c r="M2" s="24">
        <f>"2H"&amp;RIGHT(M1,2)</f>
        <v/>
      </c>
      <c r="N2" s="24">
        <f>"2H"&amp;RIGHT(N1,2)</f>
        <v/>
      </c>
      <c r="O2" s="24">
        <f>"2H"&amp;RIGHT(O1,2)</f>
        <v/>
      </c>
      <c r="P2" s="24">
        <f>"2H"&amp;RIGHT(P1,2)</f>
        <v/>
      </c>
      <c r="Q2" s="24">
        <f>"2H"&amp;RIGHT(Q1,2)</f>
        <v/>
      </c>
      <c r="R2" s="24">
        <f>"2H"&amp;RIGHT(R1,2)</f>
        <v/>
      </c>
      <c r="S2" s="24">
        <f>"2H"&amp;RIGHT(S1,2)</f>
        <v/>
      </c>
      <c r="T2" s="24">
        <f>"2H"&amp;RIGHT(T1,2)</f>
        <v/>
      </c>
      <c r="U2" s="24">
        <f>"2H"&amp;RIGHT(U1,2)</f>
        <v/>
      </c>
    </row>
    <row r="3">
      <c r="A3" t="inlineStr">
        <is>
          <t>Annual</t>
        </is>
      </c>
    </row>
    <row r="4"/>
    <row r="5">
      <c r="A5" s="282">
        <f>IF(SUM(93:93)=0,"","Check Balance Sheet")</f>
        <v/>
      </c>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P1&amp;"E"</f>
        <v/>
      </c>
      <c r="Q5" s="26">
        <f>Q1&amp;"E"</f>
        <v/>
      </c>
      <c r="R5" s="26">
        <f>R1&amp;"E"</f>
        <v/>
      </c>
      <c r="S5" s="26">
        <f>S1&amp;"E"</f>
        <v/>
      </c>
      <c r="T5" s="26">
        <f>T1&amp;"E"</f>
        <v/>
      </c>
      <c r="U5" s="26">
        <f>U1&amp;"E"</f>
        <v/>
      </c>
    </row>
    <row r="6">
      <c r="H6" s="36" t="n"/>
      <c r="I6" s="36" t="n"/>
      <c r="J6" s="36" t="n"/>
      <c r="K6" s="36" t="n"/>
      <c r="L6" s="36" t="n"/>
      <c r="M6" s="36" t="n"/>
      <c r="N6" s="36" t="n"/>
      <c r="O6" s="36" t="n"/>
      <c r="P6" s="36" t="n"/>
      <c r="Q6" s="36" t="n"/>
      <c r="R6" s="36" t="n"/>
      <c r="S6" s="36" t="n"/>
      <c r="T6" s="36" t="n"/>
      <c r="U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row>
    <row r="8"/>
    <row r="9">
      <c r="A9" s="81" t="inlineStr">
        <is>
          <t>CONSOLIDATED INCOME STATEMENT (RMB Million)</t>
        </is>
      </c>
    </row>
    <row r="10"/>
    <row r="11">
      <c r="A11" s="22">
        <f>FS_H!A11</f>
        <v/>
      </c>
      <c r="B11" s="147" t="n"/>
      <c r="C11" s="147" t="n"/>
      <c r="D11" s="147" t="n"/>
      <c r="E11" s="147" t="n"/>
      <c r="F11" s="147" t="n"/>
      <c r="G11" s="148">
        <f>SUMIF(FS_H!$1:$1,G$1,FS_H!11:11)</f>
        <v/>
      </c>
      <c r="H11" s="148">
        <f>SUMIF(FS_H!$1:$1,H$1,FS_H!11:11)</f>
        <v/>
      </c>
      <c r="I11" s="148">
        <f>SUMIF(FS_H!$1:$1,I$1,FS_H!11:11)</f>
        <v/>
      </c>
      <c r="J11" s="148">
        <f>SUMIF(FS_H!$1:$1,J$1,FS_H!11:11)</f>
        <v/>
      </c>
      <c r="K11" s="148">
        <f>SUMIF(FS_H!$1:$1,K$1,FS_H!11:11)</f>
        <v/>
      </c>
      <c r="L11" s="148">
        <f>SUMIF(FS_H!$1:$1,L$1,FS_H!11:11)</f>
        <v/>
      </c>
      <c r="M11" s="148">
        <f>SUMIF(FS_H!$1:$1,M$1,FS_H!11:11)</f>
        <v/>
      </c>
      <c r="N11" s="148">
        <f>SUMIF(FS_H!$1:$1,N$1,FS_H!11:11)</f>
        <v/>
      </c>
      <c r="O11" s="148">
        <f>SUMIF(FS_H!$1:$1,O$1,FS_H!11:11)</f>
        <v/>
      </c>
      <c r="P11" s="148">
        <f>SUMIF(FS_H!$1:$1,P$1,FS_H!11:11)</f>
        <v/>
      </c>
      <c r="Q11" s="148">
        <f>SUMIF(FS_H!$1:$1,Q$1,FS_H!11:11)</f>
        <v/>
      </c>
      <c r="R11" s="148">
        <f>SUMIF(FS_H!$1:$1,R$1,FS_H!11:11)</f>
        <v/>
      </c>
      <c r="S11" s="148">
        <f>SUMIF(FS_H!$1:$1,S$1,FS_H!11:11)</f>
        <v/>
      </c>
      <c r="T11" s="148">
        <f>SUMIF(FS_H!$1:$1,T$1,FS_H!11:11)</f>
        <v/>
      </c>
      <c r="U11" s="148">
        <f>SUMIF(FS_H!$1:$1,U$1,FS_H!11:11)</f>
        <v/>
      </c>
    </row>
    <row r="12">
      <c r="A12" s="74">
        <f>FS_H!A12</f>
        <v/>
      </c>
      <c r="B12" s="143" t="n"/>
      <c r="C12" s="143" t="n"/>
      <c r="D12" s="143" t="n"/>
      <c r="E12" s="143" t="n"/>
      <c r="F12" s="143" t="n"/>
      <c r="G12" s="141">
        <f>SUMIF(FS_H!$1:$1,G$1,FS_H!12:12)</f>
        <v/>
      </c>
      <c r="H12" s="141">
        <f>SUMIF(FS_H!$1:$1,H$1,FS_H!12:12)</f>
        <v/>
      </c>
      <c r="I12" s="141">
        <f>SUMIF(FS_H!$1:$1,I$1,FS_H!12:12)</f>
        <v/>
      </c>
      <c r="J12" s="141">
        <f>SUMIF(FS_H!$1:$1,J$1,FS_H!12:12)</f>
        <v/>
      </c>
      <c r="K12" s="141">
        <f>SUMIF(FS_H!$1:$1,K$1,FS_H!12:12)</f>
        <v/>
      </c>
      <c r="L12" s="141">
        <f>SUMIF(FS_H!$1:$1,L$1,FS_H!12:12)</f>
        <v/>
      </c>
      <c r="M12" s="141">
        <f>SUMIF(FS_H!$1:$1,M$1,FS_H!12:12)</f>
        <v/>
      </c>
      <c r="N12" s="141">
        <f>SUMIF(FS_H!$1:$1,N$1,FS_H!12:12)</f>
        <v/>
      </c>
      <c r="O12" s="141">
        <f>SUMIF(FS_H!$1:$1,O$1,FS_H!12:12)</f>
        <v/>
      </c>
      <c r="P12" s="141">
        <f>SUMIF(FS_H!$1:$1,P$1,FS_H!12:12)</f>
        <v/>
      </c>
      <c r="Q12" s="141">
        <f>SUMIF(FS_H!$1:$1,Q$1,FS_H!12:12)</f>
        <v/>
      </c>
      <c r="R12" s="141">
        <f>SUMIF(FS_H!$1:$1,R$1,FS_H!12:12)</f>
        <v/>
      </c>
      <c r="S12" s="141">
        <f>SUMIF(FS_H!$1:$1,S$1,FS_H!12:12)</f>
        <v/>
      </c>
      <c r="T12" s="141">
        <f>SUMIF(FS_H!$1:$1,T$1,FS_H!12:12)</f>
        <v/>
      </c>
      <c r="U12" s="141">
        <f>SUMIF(FS_H!$1:$1,U$1,FS_H!12:12)</f>
        <v/>
      </c>
    </row>
    <row r="13">
      <c r="A13" s="22">
        <f>FS_H!A13</f>
        <v/>
      </c>
      <c r="B13" s="147" t="n"/>
      <c r="C13" s="147" t="n"/>
      <c r="D13" s="147" t="n"/>
      <c r="E13" s="147" t="n"/>
      <c r="F13" s="147" t="n"/>
      <c r="G13" s="131">
        <f>G11+G12</f>
        <v/>
      </c>
      <c r="H13" s="131">
        <f>H11+H12</f>
        <v/>
      </c>
      <c r="I13" s="131">
        <f>I11+I12</f>
        <v/>
      </c>
      <c r="J13" s="131">
        <f>J11+J12</f>
        <v/>
      </c>
      <c r="K13" s="131">
        <f>K11+K12</f>
        <v/>
      </c>
      <c r="L13" s="131">
        <f>L11+L12</f>
        <v/>
      </c>
      <c r="M13" s="131">
        <f>M11+M12</f>
        <v/>
      </c>
      <c r="N13" s="131">
        <f>N11+N12</f>
        <v/>
      </c>
      <c r="O13" s="131">
        <f>O11+O12</f>
        <v/>
      </c>
      <c r="P13" s="131">
        <f>P11+P12</f>
        <v/>
      </c>
      <c r="Q13" s="131">
        <f>Q11+Q12</f>
        <v/>
      </c>
      <c r="R13" s="131">
        <f>R11+R12</f>
        <v/>
      </c>
      <c r="S13" s="131">
        <f>S11+S12</f>
        <v/>
      </c>
      <c r="T13" s="131">
        <f>T11+T12</f>
        <v/>
      </c>
      <c r="U13" s="131">
        <f>U11+U12</f>
        <v/>
      </c>
      <c r="V13" s="166" t="n"/>
      <c r="W13" s="166" t="n"/>
      <c r="X13" s="166" t="n"/>
      <c r="Y13" s="166" t="n"/>
    </row>
    <row r="14">
      <c r="A14" s="74">
        <f>FS_H!A14</f>
        <v/>
      </c>
      <c r="B14" s="143" t="n"/>
      <c r="C14" s="143" t="n"/>
      <c r="D14" s="143" t="n"/>
      <c r="E14" s="143" t="n"/>
      <c r="F14" s="143" t="n"/>
      <c r="G14" s="141">
        <f>SUMIF(FS_H!$1:$1,G$1,FS_H!14:14)</f>
        <v/>
      </c>
      <c r="H14" s="141">
        <f>SUMIF(FS_H!$1:$1,H$1,FS_H!14:14)</f>
        <v/>
      </c>
      <c r="I14" s="141">
        <f>SUMIF(FS_H!$1:$1,I$1,FS_H!14:14)</f>
        <v/>
      </c>
      <c r="J14" s="141">
        <f>SUMIF(FS_H!$1:$1,J$1,FS_H!14:14)</f>
        <v/>
      </c>
      <c r="K14" s="141">
        <f>SUMIF(FS_H!$1:$1,K$1,FS_H!14:14)</f>
        <v/>
      </c>
      <c r="L14" s="141">
        <f>SUMIF(FS_H!$1:$1,L$1,FS_H!14:14)</f>
        <v/>
      </c>
      <c r="M14" s="141">
        <f>SUMIF(FS_H!$1:$1,M$1,FS_H!14:14)</f>
        <v/>
      </c>
      <c r="N14" s="141">
        <f>SUMIF(FS_H!$1:$1,N$1,FS_H!14:14)</f>
        <v/>
      </c>
      <c r="O14" s="141">
        <f>SUMIF(FS_H!$1:$1,O$1,FS_H!14:14)</f>
        <v/>
      </c>
      <c r="P14" s="141">
        <f>SUMIF(FS_H!$1:$1,P$1,FS_H!14:14)</f>
        <v/>
      </c>
      <c r="Q14" s="141">
        <f>SUMIF(FS_H!$1:$1,Q$1,FS_H!14:14)</f>
        <v/>
      </c>
      <c r="R14" s="141">
        <f>SUMIF(FS_H!$1:$1,R$1,FS_H!14:14)</f>
        <v/>
      </c>
      <c r="S14" s="141">
        <f>SUMIF(FS_H!$1:$1,S$1,FS_H!14:14)</f>
        <v/>
      </c>
      <c r="T14" s="141">
        <f>SUMIF(FS_H!$1:$1,T$1,FS_H!14:14)</f>
        <v/>
      </c>
      <c r="U14" s="141">
        <f>SUMIF(FS_H!$1:$1,U$1,FS_H!14:14)</f>
        <v/>
      </c>
    </row>
    <row r="15">
      <c r="A15" s="74">
        <f>FS_H!A15</f>
        <v/>
      </c>
      <c r="B15" s="143" t="n"/>
      <c r="C15" s="143" t="n"/>
      <c r="D15" s="143" t="n"/>
      <c r="E15" s="143" t="n"/>
      <c r="F15" s="143" t="n"/>
      <c r="G15" s="141">
        <f>SUMIF(FS_H!$1:$1,G$1,FS_H!15:15)</f>
        <v/>
      </c>
      <c r="H15" s="141">
        <f>SUMIF(FS_H!$1:$1,H$1,FS_H!15:15)</f>
        <v/>
      </c>
      <c r="I15" s="141">
        <f>SUMIF(FS_H!$1:$1,I$1,FS_H!15:15)</f>
        <v/>
      </c>
      <c r="J15" s="141">
        <f>SUMIF(FS_H!$1:$1,J$1,FS_H!15:15)</f>
        <v/>
      </c>
      <c r="K15" s="141">
        <f>SUMIF(FS_H!$1:$1,K$1,FS_H!15:15)</f>
        <v/>
      </c>
      <c r="L15" s="141">
        <f>SUMIF(FS_H!$1:$1,L$1,FS_H!15:15)</f>
        <v/>
      </c>
      <c r="M15" s="141">
        <f>SUMIF(FS_H!$1:$1,M$1,FS_H!15:15)</f>
        <v/>
      </c>
      <c r="N15" s="141">
        <f>SUMIF(FS_H!$1:$1,N$1,FS_H!15:15)</f>
        <v/>
      </c>
      <c r="O15" s="141">
        <f>SUMIF(FS_H!$1:$1,O$1,FS_H!15:15)</f>
        <v/>
      </c>
      <c r="P15" s="141">
        <f>SUMIF(FS_H!$1:$1,P$1,FS_H!15:15)</f>
        <v/>
      </c>
      <c r="Q15" s="141">
        <f>SUMIF(FS_H!$1:$1,Q$1,FS_H!15:15)</f>
        <v/>
      </c>
      <c r="R15" s="141">
        <f>SUMIF(FS_H!$1:$1,R$1,FS_H!15:15)</f>
        <v/>
      </c>
      <c r="S15" s="141">
        <f>SUMIF(FS_H!$1:$1,S$1,FS_H!15:15)</f>
        <v/>
      </c>
      <c r="T15" s="141">
        <f>SUMIF(FS_H!$1:$1,T$1,FS_H!15:15)</f>
        <v/>
      </c>
      <c r="U15" s="141">
        <f>SUMIF(FS_H!$1:$1,U$1,FS_H!15:15)</f>
        <v/>
      </c>
    </row>
    <row r="16">
      <c r="A16" s="74">
        <f>FS_H!A16</f>
        <v/>
      </c>
      <c r="B16" s="143" t="n"/>
      <c r="C16" s="143" t="n"/>
      <c r="D16" s="143" t="n"/>
      <c r="E16" s="143" t="n"/>
      <c r="F16" s="143" t="n"/>
      <c r="G16" s="141">
        <f>SUMIF(FS_H!$1:$1,G$1,FS_H!16:16)</f>
        <v/>
      </c>
      <c r="H16" s="141">
        <f>SUMIF(FS_H!$1:$1,H$1,FS_H!16:16)</f>
        <v/>
      </c>
      <c r="I16" s="141">
        <f>SUMIF(FS_H!$1:$1,I$1,FS_H!16:16)</f>
        <v/>
      </c>
      <c r="J16" s="141">
        <f>SUMIF(FS_H!$1:$1,J$1,FS_H!16:16)</f>
        <v/>
      </c>
      <c r="K16" s="141">
        <f>SUMIF(FS_H!$1:$1,K$1,FS_H!16:16)</f>
        <v/>
      </c>
      <c r="L16" s="141">
        <f>SUMIF(FS_H!$1:$1,L$1,FS_H!16:16)</f>
        <v/>
      </c>
      <c r="M16" s="141">
        <f>SUMIF(FS_H!$1:$1,M$1,FS_H!16:16)</f>
        <v/>
      </c>
      <c r="N16" s="141">
        <f>SUMIF(FS_H!$1:$1,N$1,FS_H!16:16)</f>
        <v/>
      </c>
      <c r="O16" s="141">
        <f>SUMIF(FS_H!$1:$1,O$1,FS_H!16:16)</f>
        <v/>
      </c>
      <c r="P16" s="141">
        <f>SUMIF(FS_H!$1:$1,P$1,FS_H!16:16)</f>
        <v/>
      </c>
      <c r="Q16" s="141">
        <f>SUMIF(FS_H!$1:$1,Q$1,FS_H!16:16)</f>
        <v/>
      </c>
      <c r="R16" s="141">
        <f>SUMIF(FS_H!$1:$1,R$1,FS_H!16:16)</f>
        <v/>
      </c>
      <c r="S16" s="141">
        <f>SUMIF(FS_H!$1:$1,S$1,FS_H!16:16)</f>
        <v/>
      </c>
      <c r="T16" s="141">
        <f>SUMIF(FS_H!$1:$1,T$1,FS_H!16:16)</f>
        <v/>
      </c>
      <c r="U16" s="141">
        <f>SUMIF(FS_H!$1:$1,U$1,FS_H!16:16)</f>
        <v/>
      </c>
    </row>
    <row r="17">
      <c r="A17" s="74">
        <f>FS_H!A17</f>
        <v/>
      </c>
      <c r="B17" s="143" t="n"/>
      <c r="C17" s="143" t="n"/>
      <c r="D17" s="143" t="n"/>
      <c r="E17" s="143" t="n"/>
      <c r="F17" s="143" t="n"/>
      <c r="G17" s="141">
        <f>SUMIF(FS_H!$1:$1,G$1,FS_H!17:17)</f>
        <v/>
      </c>
      <c r="H17" s="141">
        <f>SUMIF(FS_H!$1:$1,H$1,FS_H!17:17)</f>
        <v/>
      </c>
      <c r="I17" s="141">
        <f>SUMIF(FS_H!$1:$1,I$1,FS_H!17:17)</f>
        <v/>
      </c>
      <c r="J17" s="141">
        <f>SUMIF(FS_H!$1:$1,J$1,FS_H!17:17)</f>
        <v/>
      </c>
      <c r="K17" s="141">
        <f>SUMIF(FS_H!$1:$1,K$1,FS_H!17:17)</f>
        <v/>
      </c>
      <c r="L17" s="141">
        <f>SUMIF(FS_H!$1:$1,L$1,FS_H!17:17)</f>
        <v/>
      </c>
      <c r="M17" s="141">
        <f>SUMIF(FS_H!$1:$1,M$1,FS_H!17:17)</f>
        <v/>
      </c>
      <c r="N17" s="141">
        <f>SUMIF(FS_H!$1:$1,N$1,FS_H!17:17)</f>
        <v/>
      </c>
      <c r="O17" s="141">
        <f>SUMIF(FS_H!$1:$1,O$1,FS_H!17:17)</f>
        <v/>
      </c>
      <c r="P17" s="141">
        <f>SUMIF(FS_H!$1:$1,P$1,FS_H!17:17)</f>
        <v/>
      </c>
      <c r="Q17" s="141">
        <f>SUMIF(FS_H!$1:$1,Q$1,FS_H!17:17)</f>
        <v/>
      </c>
      <c r="R17" s="141">
        <f>SUMIF(FS_H!$1:$1,R$1,FS_H!17:17)</f>
        <v/>
      </c>
      <c r="S17" s="141">
        <f>SUMIF(FS_H!$1:$1,S$1,FS_H!17:17)</f>
        <v/>
      </c>
      <c r="T17" s="141">
        <f>SUMIF(FS_H!$1:$1,T$1,FS_H!17:17)</f>
        <v/>
      </c>
      <c r="U17" s="141">
        <f>SUMIF(FS_H!$1:$1,U$1,FS_H!17:17)</f>
        <v/>
      </c>
    </row>
    <row r="18">
      <c r="A18" s="38">
        <f>FS_H!A18</f>
        <v/>
      </c>
      <c r="B18" s="143" t="n"/>
      <c r="C18" s="143" t="n"/>
      <c r="D18" s="143" t="n"/>
      <c r="E18" s="143" t="n"/>
      <c r="F18" s="143" t="n"/>
      <c r="G18" s="147">
        <f>G13+SUM(G14:G17)</f>
        <v/>
      </c>
      <c r="H18" s="147">
        <f>H13+SUM(H14:H17)</f>
        <v/>
      </c>
      <c r="I18" s="147">
        <f>I13+SUM(I14:I17)</f>
        <v/>
      </c>
      <c r="J18" s="147">
        <f>J13+SUM(J14:J17)</f>
        <v/>
      </c>
      <c r="K18" s="147">
        <f>K13+SUM(K14:K17)</f>
        <v/>
      </c>
      <c r="L18" s="147">
        <f>L13+SUM(L14:L17)</f>
        <v/>
      </c>
      <c r="M18" s="147">
        <f>M13+SUM(M14:M17)</f>
        <v/>
      </c>
      <c r="N18" s="147">
        <f>N13+SUM(N14:N17)</f>
        <v/>
      </c>
      <c r="O18" s="147">
        <f>O13+SUM(O14:O17)</f>
        <v/>
      </c>
      <c r="P18" s="147">
        <f>P13+SUM(P14:P17)</f>
        <v/>
      </c>
      <c r="Q18" s="147">
        <f>Q13+SUM(Q14:Q17)</f>
        <v/>
      </c>
      <c r="R18" s="147">
        <f>R13+SUM(R14:R17)</f>
        <v/>
      </c>
      <c r="S18" s="147">
        <f>S13+SUM(S14:S17)</f>
        <v/>
      </c>
      <c r="T18" s="147">
        <f>T13+SUM(T14:T17)</f>
        <v/>
      </c>
      <c r="U18" s="147">
        <f>U13+SUM(U14:U17)</f>
        <v/>
      </c>
      <c r="V18" s="166" t="n"/>
      <c r="W18" s="166" t="n"/>
      <c r="X18" s="166" t="n"/>
      <c r="Y18" s="166" t="n"/>
    </row>
    <row r="19">
      <c r="A19" s="74">
        <f>FS_H!A19</f>
        <v/>
      </c>
      <c r="B19" s="147" t="n"/>
      <c r="C19" s="147" t="n"/>
      <c r="D19" s="147" t="n"/>
      <c r="E19" s="147" t="n"/>
      <c r="F19" s="147" t="n"/>
      <c r="G19" s="141">
        <f>SUMIF(FS_H!$1:$1,G$1,FS_H!19:19)</f>
        <v/>
      </c>
      <c r="H19" s="141">
        <f>SUMIF(FS_H!$1:$1,H$1,FS_H!19:19)</f>
        <v/>
      </c>
      <c r="I19" s="141">
        <f>SUMIF(FS_H!$1:$1,I$1,FS_H!19:19)</f>
        <v/>
      </c>
      <c r="J19" s="141">
        <f>SUMIF(FS_H!$1:$1,J$1,FS_H!19:19)</f>
        <v/>
      </c>
      <c r="K19" s="141">
        <f>SUMIF(FS_H!$1:$1,K$1,FS_H!19:19)</f>
        <v/>
      </c>
      <c r="L19" s="141">
        <f>SUMIF(FS_H!$1:$1,L$1,FS_H!19:19)</f>
        <v/>
      </c>
      <c r="M19" s="141">
        <f>SUMIF(FS_H!$1:$1,M$1,FS_H!19:19)</f>
        <v/>
      </c>
      <c r="N19" s="141">
        <f>SUMIF(FS_H!$1:$1,N$1,FS_H!19:19)</f>
        <v/>
      </c>
      <c r="O19" s="141">
        <f>SUMIF(FS_H!$1:$1,O$1,FS_H!19:19)</f>
        <v/>
      </c>
      <c r="P19" s="141">
        <f>SUMIF(FS_H!$1:$1,P$1,FS_H!19:19)</f>
        <v/>
      </c>
      <c r="Q19" s="141">
        <f>SUMIF(FS_H!$1:$1,Q$1,FS_H!19:19)</f>
        <v/>
      </c>
      <c r="R19" s="141">
        <f>SUMIF(FS_H!$1:$1,R$1,FS_H!19:19)</f>
        <v/>
      </c>
      <c r="S19" s="141">
        <f>SUMIF(FS_H!$1:$1,S$1,FS_H!19:19)</f>
        <v/>
      </c>
      <c r="T19" s="141">
        <f>SUMIF(FS_H!$1:$1,T$1,FS_H!19:19)</f>
        <v/>
      </c>
      <c r="U19" s="141">
        <f>SUMIF(FS_H!$1:$1,U$1,FS_H!19:19)</f>
        <v/>
      </c>
    </row>
    <row r="20">
      <c r="A20" s="74">
        <f>FS_H!A20</f>
        <v/>
      </c>
      <c r="B20" s="147" t="n"/>
      <c r="C20" s="147" t="n"/>
      <c r="D20" s="147" t="n"/>
      <c r="E20" s="147" t="n"/>
      <c r="F20" s="147" t="n"/>
      <c r="G20" s="141">
        <f>SUMIF(FS_H!$1:$1,G$1,FS_H!20:20)</f>
        <v/>
      </c>
      <c r="H20" s="141">
        <f>SUMIF(FS_H!$1:$1,H$1,FS_H!20:20)</f>
        <v/>
      </c>
      <c r="I20" s="141">
        <f>SUMIF(FS_H!$1:$1,I$1,FS_H!20:20)</f>
        <v/>
      </c>
      <c r="J20" s="141">
        <f>SUMIF(FS_H!$1:$1,J$1,FS_H!20:20)</f>
        <v/>
      </c>
      <c r="K20" s="141">
        <f>SUMIF(FS_H!$1:$1,K$1,FS_H!20:20)</f>
        <v/>
      </c>
      <c r="L20" s="141">
        <f>SUMIF(FS_H!$1:$1,L$1,FS_H!20:20)</f>
        <v/>
      </c>
      <c r="M20" s="141">
        <f>SUMIF(FS_H!$1:$1,M$1,FS_H!20:20)</f>
        <v/>
      </c>
      <c r="N20" s="141">
        <f>SUMIF(FS_H!$1:$1,N$1,FS_H!20:20)</f>
        <v/>
      </c>
      <c r="O20" s="141">
        <f>SUMIF(FS_H!$1:$1,O$1,FS_H!20:20)</f>
        <v/>
      </c>
      <c r="P20" s="141">
        <f>SUMIF(FS_H!$1:$1,P$1,FS_H!20:20)</f>
        <v/>
      </c>
      <c r="Q20" s="141">
        <f>SUMIF(FS_H!$1:$1,Q$1,FS_H!20:20)</f>
        <v/>
      </c>
      <c r="R20" s="141">
        <f>SUMIF(FS_H!$1:$1,R$1,FS_H!20:20)</f>
        <v/>
      </c>
      <c r="S20" s="141">
        <f>SUMIF(FS_H!$1:$1,S$1,FS_H!20:20)</f>
        <v/>
      </c>
      <c r="T20" s="141">
        <f>SUMIF(FS_H!$1:$1,T$1,FS_H!20:20)</f>
        <v/>
      </c>
      <c r="U20" s="141">
        <f>SUMIF(FS_H!$1:$1,U$1,FS_H!20:20)</f>
        <v/>
      </c>
    </row>
    <row r="21">
      <c r="A21" s="74">
        <f>FS_H!A21</f>
        <v/>
      </c>
      <c r="B21" s="143" t="n"/>
      <c r="C21" s="143" t="n"/>
      <c r="D21" s="143" t="n"/>
      <c r="E21" s="143" t="n"/>
      <c r="F21" s="143" t="n"/>
      <c r="G21" s="141">
        <f>SUMIF(FS_H!$1:$1,G$1,FS_H!21:21)</f>
        <v/>
      </c>
      <c r="H21" s="141">
        <f>SUMIF(FS_H!$1:$1,H$1,FS_H!21:21)</f>
        <v/>
      </c>
      <c r="I21" s="141">
        <f>SUMIF(FS_H!$1:$1,I$1,FS_H!21:21)</f>
        <v/>
      </c>
      <c r="J21" s="141">
        <f>SUMIF(FS_H!$1:$1,J$1,FS_H!21:21)</f>
        <v/>
      </c>
      <c r="K21" s="141">
        <f>SUMIF(FS_H!$1:$1,K$1,FS_H!21:21)</f>
        <v/>
      </c>
      <c r="L21" s="141">
        <f>SUMIF(FS_H!$1:$1,L$1,FS_H!21:21)</f>
        <v/>
      </c>
      <c r="M21" s="141">
        <f>SUMIF(FS_H!$1:$1,M$1,FS_H!21:21)</f>
        <v/>
      </c>
      <c r="N21" s="141">
        <f>SUMIF(FS_H!$1:$1,N$1,FS_H!21:21)</f>
        <v/>
      </c>
      <c r="O21" s="141">
        <f>SUMIF(FS_H!$1:$1,O$1,FS_H!21:21)</f>
        <v/>
      </c>
      <c r="P21" s="141">
        <f>SUMIF(FS_H!$1:$1,P$1,FS_H!21:21)</f>
        <v/>
      </c>
      <c r="Q21" s="141">
        <f>SUMIF(FS_H!$1:$1,Q$1,FS_H!21:21)</f>
        <v/>
      </c>
      <c r="R21" s="141">
        <f>SUMIF(FS_H!$1:$1,R$1,FS_H!21:21)</f>
        <v/>
      </c>
      <c r="S21" s="141">
        <f>SUMIF(FS_H!$1:$1,S$1,FS_H!21:21)</f>
        <v/>
      </c>
      <c r="T21" s="141">
        <f>SUMIF(FS_H!$1:$1,T$1,FS_H!21:21)</f>
        <v/>
      </c>
      <c r="U21" s="141">
        <f>SUMIF(FS_H!$1:$1,U$1,FS_H!21:21)</f>
        <v/>
      </c>
    </row>
    <row r="22">
      <c r="A22" s="22">
        <f>FS_H!A22</f>
        <v/>
      </c>
      <c r="B22" s="143" t="n"/>
      <c r="C22" s="143" t="n"/>
      <c r="D22" s="143" t="n"/>
      <c r="E22" s="143" t="n"/>
      <c r="F22" s="143" t="n"/>
      <c r="G22" s="131">
        <f>SUM(G18:G21)</f>
        <v/>
      </c>
      <c r="H22" s="131">
        <f>SUM(H18:H21)</f>
        <v/>
      </c>
      <c r="I22" s="131">
        <f>SUM(I18:I21)</f>
        <v/>
      </c>
      <c r="J22" s="131">
        <f>SUM(J18:J21)</f>
        <v/>
      </c>
      <c r="K22" s="131">
        <f>SUM(K18:K21)</f>
        <v/>
      </c>
      <c r="L22" s="131">
        <f>SUM(L18:L21)</f>
        <v/>
      </c>
      <c r="M22" s="131">
        <f>SUM(M18:M21)</f>
        <v/>
      </c>
      <c r="N22" s="131">
        <f>SUM(N18:N21)</f>
        <v/>
      </c>
      <c r="O22" s="131">
        <f>SUM(O18:O21)</f>
        <v/>
      </c>
      <c r="P22" s="131">
        <f>SUM(P18:P21)</f>
        <v/>
      </c>
      <c r="Q22" s="131">
        <f>SUM(Q18:Q21)</f>
        <v/>
      </c>
      <c r="R22" s="131">
        <f>SUM(R18:R21)</f>
        <v/>
      </c>
      <c r="S22" s="131">
        <f>SUM(S18:S21)</f>
        <v/>
      </c>
      <c r="T22" s="131">
        <f>SUM(T18:T21)</f>
        <v/>
      </c>
      <c r="U22" s="131">
        <f>SUM(U18:U21)</f>
        <v/>
      </c>
    </row>
    <row r="23">
      <c r="A23" s="74">
        <f>FS_H!A23</f>
        <v/>
      </c>
      <c r="B23" s="143" t="n"/>
      <c r="C23" s="143" t="n"/>
      <c r="D23" s="143" t="n"/>
      <c r="E23" s="143" t="n"/>
      <c r="F23" s="147" t="n"/>
      <c r="G23" s="141">
        <f>SUMIF(FS_H!$1:$1,G$1,FS_H!23:23)</f>
        <v/>
      </c>
      <c r="H23" s="141">
        <f>SUMIF(FS_H!$1:$1,H$1,FS_H!23:23)</f>
        <v/>
      </c>
      <c r="I23" s="141">
        <f>SUMIF(FS_H!$1:$1,I$1,FS_H!23:23)</f>
        <v/>
      </c>
      <c r="J23" s="141">
        <f>SUMIF(FS_H!$1:$1,J$1,FS_H!23:23)</f>
        <v/>
      </c>
      <c r="K23" s="141">
        <f>SUMIF(FS_H!$1:$1,K$1,FS_H!23:23)</f>
        <v/>
      </c>
      <c r="L23" s="141">
        <f>SUMIF(FS_H!$1:$1,L$1,FS_H!23:23)</f>
        <v/>
      </c>
      <c r="M23" s="141">
        <f>SUMIF(FS_H!$1:$1,M$1,FS_H!23:23)</f>
        <v/>
      </c>
      <c r="N23" s="141">
        <f>SUMIF(FS_H!$1:$1,N$1,FS_H!23:23)</f>
        <v/>
      </c>
      <c r="O23" s="141">
        <f>SUMIF(FS_H!$1:$1,O$1,FS_H!23:23)</f>
        <v/>
      </c>
      <c r="P23" s="141">
        <f>SUMIF(FS_H!$1:$1,P$1,FS_H!23:23)</f>
        <v/>
      </c>
      <c r="Q23" s="141">
        <f>SUMIF(FS_H!$1:$1,Q$1,FS_H!23:23)</f>
        <v/>
      </c>
      <c r="R23" s="141">
        <f>SUMIF(FS_H!$1:$1,R$1,FS_H!23:23)</f>
        <v/>
      </c>
      <c r="S23" s="141">
        <f>SUMIF(FS_H!$1:$1,S$1,FS_H!23:23)</f>
        <v/>
      </c>
      <c r="T23" s="141">
        <f>SUMIF(FS_H!$1:$1,T$1,FS_H!23:23)</f>
        <v/>
      </c>
      <c r="U23" s="141">
        <f>SUMIF(FS_H!$1:$1,U$1,FS_H!23:23)</f>
        <v/>
      </c>
    </row>
    <row r="24">
      <c r="A24" s="22">
        <f>FS_H!A24</f>
        <v/>
      </c>
      <c r="B24" s="143" t="n"/>
      <c r="C24" s="143" t="n"/>
      <c r="D24" s="143" t="n"/>
      <c r="E24" s="143" t="n"/>
      <c r="F24" s="143" t="n"/>
      <c r="G24" s="131">
        <f>G22+G23</f>
        <v/>
      </c>
      <c r="H24" s="131">
        <f>H22+H23</f>
        <v/>
      </c>
      <c r="I24" s="131">
        <f>I22+I23</f>
        <v/>
      </c>
      <c r="J24" s="131">
        <f>J22+J23</f>
        <v/>
      </c>
      <c r="K24" s="131">
        <f>K22+K23</f>
        <v/>
      </c>
      <c r="L24" s="131">
        <f>L22+L23</f>
        <v/>
      </c>
      <c r="M24" s="131">
        <f>M22+M23</f>
        <v/>
      </c>
      <c r="N24" s="131">
        <f>N22+N23</f>
        <v/>
      </c>
      <c r="O24" s="131">
        <f>O22+O23</f>
        <v/>
      </c>
      <c r="P24" s="131">
        <f>P22+P23</f>
        <v/>
      </c>
      <c r="Q24" s="131">
        <f>Q22+Q23</f>
        <v/>
      </c>
      <c r="R24" s="131">
        <f>R22+R23</f>
        <v/>
      </c>
      <c r="S24" s="131">
        <f>S22+S23</f>
        <v/>
      </c>
      <c r="T24" s="131">
        <f>T22+T23</f>
        <v/>
      </c>
      <c r="U24" s="131">
        <f>U22+U23</f>
        <v/>
      </c>
    </row>
    <row r="25">
      <c r="A25" s="74">
        <f>FS_H!A25</f>
        <v/>
      </c>
      <c r="B25" s="147" t="n"/>
      <c r="C25" s="147" t="n"/>
      <c r="D25" s="147" t="n"/>
      <c r="E25" s="147" t="n"/>
      <c r="F25" s="147" t="n"/>
      <c r="G25" s="145" t="n"/>
      <c r="H25" s="145" t="n"/>
      <c r="I25" s="145" t="n"/>
      <c r="J25" s="145" t="n"/>
      <c r="K25" s="145" t="n"/>
      <c r="L25" s="145" t="n"/>
      <c r="M25" s="145" t="n"/>
      <c r="N25" s="145" t="n"/>
      <c r="O25" s="145" t="n"/>
      <c r="P25" s="145" t="n"/>
      <c r="Q25" s="145" t="n"/>
      <c r="R25" s="145" t="n"/>
      <c r="S25" s="145" t="n"/>
      <c r="T25" s="145" t="n"/>
      <c r="U25" s="145" t="n"/>
    </row>
    <row r="26">
      <c r="A26" s="33">
        <f>FS_H!A26</f>
        <v/>
      </c>
      <c r="B26" s="31" t="n"/>
      <c r="C26" s="31" t="n"/>
      <c r="D26" s="31" t="n"/>
      <c r="E26" s="31" t="n"/>
      <c r="F26" s="143" t="n"/>
      <c r="G26" s="141">
        <f>G24-G27</f>
        <v/>
      </c>
      <c r="H26" s="141">
        <f>H24-H27</f>
        <v/>
      </c>
      <c r="I26" s="141">
        <f>I24-I27</f>
        <v/>
      </c>
      <c r="J26" s="141">
        <f>J24-J27</f>
        <v/>
      </c>
      <c r="K26" s="141">
        <f>K24-K27</f>
        <v/>
      </c>
      <c r="L26" s="141">
        <f>L24-L27</f>
        <v/>
      </c>
      <c r="M26" s="141">
        <f>M24-M27</f>
        <v/>
      </c>
      <c r="N26" s="141">
        <f>N24-N27</f>
        <v/>
      </c>
      <c r="O26" s="141">
        <f>O24-O27</f>
        <v/>
      </c>
      <c r="P26" s="141">
        <f>P24-P27</f>
        <v/>
      </c>
      <c r="Q26" s="141">
        <f>Q24-Q27</f>
        <v/>
      </c>
      <c r="R26" s="141">
        <f>R24-R27</f>
        <v/>
      </c>
      <c r="S26" s="141">
        <f>S24-S27</f>
        <v/>
      </c>
      <c r="T26" s="141">
        <f>T24-T27</f>
        <v/>
      </c>
      <c r="U26" s="141">
        <f>U24-U27</f>
        <v/>
      </c>
    </row>
    <row r="27">
      <c r="A27" s="33">
        <f>FS_H!A27</f>
        <v/>
      </c>
      <c r="B27" s="143" t="n"/>
      <c r="C27" s="143" t="n"/>
      <c r="D27" s="143" t="n"/>
      <c r="E27" s="143" t="n"/>
      <c r="F27" s="143" t="n"/>
      <c r="G27" s="141">
        <f>SUMIF(FS_H!$1:$1,G$1,FS_H!27:27)</f>
        <v/>
      </c>
      <c r="H27" s="141">
        <f>SUMIF(FS_H!$1:$1,H$1,FS_H!27:27)</f>
        <v/>
      </c>
      <c r="I27" s="141">
        <f>SUMIF(FS_H!$1:$1,I$1,FS_H!27:27)</f>
        <v/>
      </c>
      <c r="J27" s="141">
        <f>SUMIF(FS_H!$1:$1,J$1,FS_H!27:27)</f>
        <v/>
      </c>
      <c r="K27" s="141">
        <f>SUMIF(FS_H!$1:$1,K$1,FS_H!27:27)</f>
        <v/>
      </c>
      <c r="L27" s="141">
        <f>SUMIF(FS_H!$1:$1,L$1,FS_H!27:27)</f>
        <v/>
      </c>
      <c r="M27" s="141">
        <f>SUMIF(FS_H!$1:$1,M$1,FS_H!27:27)</f>
        <v/>
      </c>
      <c r="N27" s="141">
        <f>SUMIF(FS_H!$1:$1,N$1,FS_H!27:27)</f>
        <v/>
      </c>
      <c r="O27" s="141">
        <f>SUMIF(FS_H!$1:$1,O$1,FS_H!27:27)</f>
        <v/>
      </c>
      <c r="P27" s="141">
        <f>SUMIF(FS_H!$1:$1,P$1,FS_H!27:27)</f>
        <v/>
      </c>
      <c r="Q27" s="141">
        <f>SUMIF(FS_H!$1:$1,Q$1,FS_H!27:27)</f>
        <v/>
      </c>
      <c r="R27" s="141">
        <f>SUMIF(FS_H!$1:$1,R$1,FS_H!27:27)</f>
        <v/>
      </c>
      <c r="S27" s="141">
        <f>SUMIF(FS_H!$1:$1,S$1,FS_H!27:27)</f>
        <v/>
      </c>
      <c r="T27" s="141">
        <f>SUMIF(FS_H!$1:$1,T$1,FS_H!27:27)</f>
        <v/>
      </c>
      <c r="U27" s="141">
        <f>SUMIF(FS_H!$1:$1,U$1,FS_H!27:27)</f>
        <v/>
      </c>
    </row>
    <row r="28">
      <c r="A28" s="191" t="inlineStr">
        <is>
          <t>Memo: NC as % of net profit</t>
        </is>
      </c>
      <c r="B28" s="143" t="n"/>
      <c r="C28" s="143" t="n"/>
      <c r="D28" s="143" t="n"/>
      <c r="E28" s="143" t="n"/>
      <c r="F28" s="143" t="n"/>
      <c r="G28" s="190">
        <f>G27/G24</f>
        <v/>
      </c>
      <c r="H28" s="190">
        <f>H27/H24</f>
        <v/>
      </c>
      <c r="I28" s="190">
        <f>I27/I24</f>
        <v/>
      </c>
      <c r="J28" s="190">
        <f>J27/J24</f>
        <v/>
      </c>
      <c r="K28" s="190">
        <f>K27/K24</f>
        <v/>
      </c>
      <c r="L28" s="190">
        <f>L27/L24</f>
        <v/>
      </c>
      <c r="M28" s="190">
        <f>M27/M24</f>
        <v/>
      </c>
      <c r="N28" s="190">
        <f>N27/N24</f>
        <v/>
      </c>
      <c r="O28" s="190">
        <f>O27/O24</f>
        <v/>
      </c>
      <c r="P28" s="190">
        <f>P27/P24</f>
        <v/>
      </c>
      <c r="Q28" s="190">
        <f>Q27/Q24</f>
        <v/>
      </c>
      <c r="R28" s="190">
        <f>R27/R24</f>
        <v/>
      </c>
      <c r="S28" s="190">
        <f>S27/S24</f>
        <v/>
      </c>
      <c r="T28" s="190">
        <f>T27/T24</f>
        <v/>
      </c>
      <c r="U28" s="190">
        <f>U27/U24</f>
        <v/>
      </c>
    </row>
    <row r="29">
      <c r="A29" s="22">
        <f>FS_H!A29</f>
        <v/>
      </c>
      <c r="B29" s="31" t="n"/>
      <c r="C29" s="31" t="n"/>
      <c r="D29" s="31" t="n"/>
      <c r="E29" s="31" t="n"/>
      <c r="F29" s="143" t="n"/>
      <c r="G29" s="314">
        <f>1/G226*G26/G31</f>
        <v/>
      </c>
      <c r="H29" s="314">
        <f>1/H226*H26/H31</f>
        <v/>
      </c>
      <c r="I29" s="314">
        <f>1/I226*I26/I31</f>
        <v/>
      </c>
      <c r="J29" s="314">
        <f>1/J226*J26/J31</f>
        <v/>
      </c>
      <c r="K29" s="314">
        <f>1/K226*K26/K31</f>
        <v/>
      </c>
      <c r="L29" s="314">
        <f>1/L226*L26/L31</f>
        <v/>
      </c>
      <c r="M29" s="314">
        <f>1/M226*M26/M31</f>
        <v/>
      </c>
      <c r="N29" s="314">
        <f>1/N226*N26/N31</f>
        <v/>
      </c>
      <c r="O29" s="314">
        <f>1/O226*O26/O31</f>
        <v/>
      </c>
      <c r="P29" s="314">
        <f>1/P226*P26/P31</f>
        <v/>
      </c>
      <c r="Q29" s="314">
        <f>1/Q226*Q26/Q31</f>
        <v/>
      </c>
      <c r="R29" s="314">
        <f>1/R226*R26/R31</f>
        <v/>
      </c>
      <c r="S29" s="314">
        <f>1/S226*S26/S31</f>
        <v/>
      </c>
      <c r="T29" s="314">
        <f>1/T226*T26/T31</f>
        <v/>
      </c>
      <c r="U29" s="314">
        <f>1/U226*U26/U31</f>
        <v/>
      </c>
    </row>
    <row r="30">
      <c r="A30" s="22">
        <f>FS_H!A30</f>
        <v/>
      </c>
      <c r="B30" s="31" t="n"/>
      <c r="C30" s="31" t="n"/>
      <c r="D30" s="31" t="n"/>
      <c r="E30" s="31" t="n"/>
      <c r="F30" s="143" t="n"/>
      <c r="G30" s="314">
        <f>1/G226*G26/G32</f>
        <v/>
      </c>
      <c r="H30" s="314">
        <f>1/H226*H26/H32</f>
        <v/>
      </c>
      <c r="I30" s="314">
        <f>1/I226*I26/I32</f>
        <v/>
      </c>
      <c r="J30" s="314">
        <f>1/J226*J26/J32</f>
        <v/>
      </c>
      <c r="K30" s="314">
        <f>1/K226*K26/K32</f>
        <v/>
      </c>
      <c r="L30" s="314">
        <f>1/L226*L26/L32</f>
        <v/>
      </c>
      <c r="M30" s="314">
        <f>1/M226*M26/M32</f>
        <v/>
      </c>
      <c r="N30" s="314">
        <f>1/N226*N26/N32</f>
        <v/>
      </c>
      <c r="O30" s="314">
        <f>1/O226*O26/O32</f>
        <v/>
      </c>
      <c r="P30" s="314">
        <f>1/P226*P26/P32</f>
        <v/>
      </c>
      <c r="Q30" s="314">
        <f>1/Q226*Q26/Q32</f>
        <v/>
      </c>
      <c r="R30" s="314">
        <f>1/R226*R26/R32</f>
        <v/>
      </c>
      <c r="S30" s="314">
        <f>1/S226*S26/S32</f>
        <v/>
      </c>
      <c r="T30" s="314">
        <f>1/T226*T26/T32</f>
        <v/>
      </c>
      <c r="U30" s="314">
        <f>1/U226*U26/U32</f>
        <v/>
      </c>
    </row>
    <row r="31">
      <c r="A31">
        <f>FS_H!A31</f>
        <v/>
      </c>
      <c r="B31" s="31" t="n"/>
      <c r="C31" s="31" t="n"/>
      <c r="D31" s="31" t="n"/>
      <c r="E31" s="31" t="n"/>
      <c r="F31" s="147" t="n"/>
      <c r="G31" s="141">
        <f>INDEX(FS_H!31:31,,MATCH(G$2,FS_H!$3:$3,0))</f>
        <v/>
      </c>
      <c r="H31" s="141">
        <f>INDEX(FS_H!31:31,,MATCH(H$2,FS_H!$3:$3,0))</f>
        <v/>
      </c>
      <c r="I31" s="141">
        <f>SUMIF(FS_H!$1:$1,'FS_Y (OLD)'!I$1,FS_H!31:31)/COUNTIF(FS_H!$1:$1,'FS_Y (OLD)'!I$1)</f>
        <v/>
      </c>
      <c r="J31" s="141">
        <f>SUMIF(FS_H!$1:$1,'FS_Y (OLD)'!J$1,FS_H!31:31)/COUNTIF(FS_H!$1:$1,'FS_Y (OLD)'!J$1)</f>
        <v/>
      </c>
      <c r="K31" s="141">
        <f>SUMIF(FS_H!$1:$1,'FS_Y (OLD)'!K$1,FS_H!31:31)/COUNTIF(FS_H!$1:$1,'FS_Y (OLD)'!K$1)</f>
        <v/>
      </c>
      <c r="L31" s="141">
        <f>SUMIF(FS_H!$1:$1,'FS_Y (OLD)'!L$1,FS_H!31:31)/COUNTIF(FS_H!$1:$1,'FS_Y (OLD)'!L$1)</f>
        <v/>
      </c>
      <c r="M31" s="141">
        <f>SUMIF(FS_H!$1:$1,'FS_Y (OLD)'!M$1,FS_H!31:31)/COUNTIF(FS_H!$1:$1,'FS_Y (OLD)'!M$1)</f>
        <v/>
      </c>
      <c r="N31" s="141">
        <f>SUMIF(FS_H!$1:$1,'FS_Y (OLD)'!N$1,FS_H!31:31)/COUNTIF(FS_H!$1:$1,'FS_Y (OLD)'!N$1)</f>
        <v/>
      </c>
      <c r="O31" s="141">
        <f>SUMIF(FS_H!$1:$1,'FS_Y (OLD)'!O$1,FS_H!31:31)/COUNTIF(FS_H!$1:$1,'FS_Y (OLD)'!O$1)</f>
        <v/>
      </c>
      <c r="P31" s="141">
        <f>SUMIF(FS_H!$1:$1,'FS_Y (OLD)'!P$1,FS_H!31:31)/COUNTIF(FS_H!$1:$1,'FS_Y (OLD)'!P$1)</f>
        <v/>
      </c>
      <c r="Q31" s="141">
        <f>SUMIF(FS_H!$1:$1,'FS_Y (OLD)'!Q$1,FS_H!31:31)/COUNTIF(FS_H!$1:$1,'FS_Y (OLD)'!Q$1)</f>
        <v/>
      </c>
      <c r="R31" s="141">
        <f>SUMIF(FS_H!$1:$1,'FS_Y (OLD)'!R$1,FS_H!31:31)/COUNTIF(FS_H!$1:$1,'FS_Y (OLD)'!R$1)</f>
        <v/>
      </c>
      <c r="S31" s="141">
        <f>SUMIF(FS_H!$1:$1,'FS_Y (OLD)'!S$1,FS_H!31:31)/COUNTIF(FS_H!$1:$1,'FS_Y (OLD)'!S$1)</f>
        <v/>
      </c>
      <c r="T31" s="141">
        <f>SUMIF(FS_H!$1:$1,'FS_Y (OLD)'!T$1,FS_H!31:31)/COUNTIF(FS_H!$1:$1,'FS_Y (OLD)'!T$1)</f>
        <v/>
      </c>
      <c r="U31" s="141">
        <f>SUMIF(FS_H!$1:$1,'FS_Y (OLD)'!U$1,FS_H!31:31)/COUNTIF(FS_H!$1:$1,'FS_Y (OLD)'!U$1)</f>
        <v/>
      </c>
    </row>
    <row r="32">
      <c r="A32">
        <f>FS_H!A32</f>
        <v/>
      </c>
      <c r="B32" s="31" t="n"/>
      <c r="C32" s="31" t="n"/>
      <c r="D32" s="31" t="n"/>
      <c r="E32" s="31" t="n"/>
      <c r="F32" s="143" t="n"/>
      <c r="G32" s="141">
        <f>INDEX(FS_H!32:32,,MATCH(G$2,FS_H!$3:$3,0))</f>
        <v/>
      </c>
      <c r="H32" s="141">
        <f>INDEX(FS_H!32:32,,MATCH(H$2,FS_H!$3:$3,0))</f>
        <v/>
      </c>
      <c r="I32" s="141">
        <f>SUMIF(FS_H!$1:$1,'FS_Y (OLD)'!I$1,FS_H!32:32)/COUNTIF(FS_H!$1:$1,'FS_Y (OLD)'!I$1)</f>
        <v/>
      </c>
      <c r="J32" s="141">
        <f>SUMIF(FS_H!$1:$1,'FS_Y (OLD)'!J$1,FS_H!32:32)/COUNTIF(FS_H!$1:$1,'FS_Y (OLD)'!J$1)</f>
        <v/>
      </c>
      <c r="K32" s="141">
        <f>SUMIF(FS_H!$1:$1,'FS_Y (OLD)'!K$1,FS_H!32:32)/COUNTIF(FS_H!$1:$1,'FS_Y (OLD)'!K$1)</f>
        <v/>
      </c>
      <c r="L32" s="141">
        <f>SUMIF(FS_H!$1:$1,'FS_Y (OLD)'!L$1,FS_H!32:32)/COUNTIF(FS_H!$1:$1,'FS_Y (OLD)'!L$1)</f>
        <v/>
      </c>
      <c r="M32" s="141">
        <f>SUMIF(FS_H!$1:$1,'FS_Y (OLD)'!M$1,FS_H!32:32)/COUNTIF(FS_H!$1:$1,'FS_Y (OLD)'!M$1)</f>
        <v/>
      </c>
      <c r="N32" s="141">
        <f>SUMIF(FS_H!$1:$1,'FS_Y (OLD)'!N$1,FS_H!32:32)/COUNTIF(FS_H!$1:$1,'FS_Y (OLD)'!N$1)</f>
        <v/>
      </c>
      <c r="O32" s="141">
        <f>SUMIF(FS_H!$1:$1,'FS_Y (OLD)'!O$1,FS_H!32:32)/COUNTIF(FS_H!$1:$1,'FS_Y (OLD)'!O$1)</f>
        <v/>
      </c>
      <c r="P32" s="141">
        <f>SUMIF(FS_H!$1:$1,'FS_Y (OLD)'!P$1,FS_H!32:32)/COUNTIF(FS_H!$1:$1,'FS_Y (OLD)'!P$1)</f>
        <v/>
      </c>
      <c r="Q32" s="141">
        <f>SUMIF(FS_H!$1:$1,'FS_Y (OLD)'!Q$1,FS_H!32:32)/COUNTIF(FS_H!$1:$1,'FS_Y (OLD)'!Q$1)</f>
        <v/>
      </c>
      <c r="R32" s="141">
        <f>SUMIF(FS_H!$1:$1,'FS_Y (OLD)'!R$1,FS_H!32:32)/COUNTIF(FS_H!$1:$1,'FS_Y (OLD)'!R$1)</f>
        <v/>
      </c>
      <c r="S32" s="141">
        <f>SUMIF(FS_H!$1:$1,'FS_Y (OLD)'!S$1,FS_H!32:32)/COUNTIF(FS_H!$1:$1,'FS_Y (OLD)'!S$1)</f>
        <v/>
      </c>
      <c r="T32" s="141">
        <f>SUMIF(FS_H!$1:$1,'FS_Y (OLD)'!T$1,FS_H!32:32)/COUNTIF(FS_H!$1:$1,'FS_Y (OLD)'!T$1)</f>
        <v/>
      </c>
      <c r="U32" s="141">
        <f>SUMIF(FS_H!$1:$1,'FS_Y (OLD)'!U$1,FS_H!32:32)/COUNTIF(FS_H!$1:$1,'FS_Y (OLD)'!U$1)</f>
        <v/>
      </c>
    </row>
    <row r="33">
      <c r="B33" s="31" t="n"/>
      <c r="C33" s="31" t="n"/>
      <c r="D33" s="31" t="n"/>
      <c r="E33" s="31" t="n"/>
      <c r="F33" s="143" t="n"/>
      <c r="G33" s="141" t="n"/>
      <c r="H33" s="141" t="n"/>
      <c r="I33" s="141" t="n"/>
      <c r="J33" s="141" t="n"/>
      <c r="K33" s="141" t="n"/>
      <c r="L33" s="141" t="n"/>
      <c r="M33" s="141" t="n"/>
      <c r="N33" s="141" t="n"/>
      <c r="O33" s="141" t="n"/>
      <c r="P33" s="141" t="n"/>
      <c r="Q33" s="141" t="n"/>
      <c r="R33" s="141" t="n"/>
      <c r="S33" s="141" t="n"/>
      <c r="T33" s="141" t="n"/>
      <c r="U33" s="141" t="n"/>
    </row>
    <row r="34">
      <c r="B34" s="31" t="n"/>
      <c r="C34" s="31" t="n"/>
      <c r="D34" s="31" t="n"/>
      <c r="E34" s="31" t="n"/>
      <c r="F34" s="143" t="n"/>
      <c r="G34" s="142" t="n"/>
      <c r="H34" s="142" t="n"/>
      <c r="I34" s="142" t="n"/>
      <c r="J34" s="142" t="n"/>
      <c r="K34" s="142" t="n"/>
      <c r="L34" s="142" t="n"/>
      <c r="M34" s="142" t="n"/>
      <c r="N34" s="142" t="n"/>
      <c r="O34" s="142" t="n"/>
      <c r="P34" s="142" t="n"/>
      <c r="Q34" s="142" t="n"/>
      <c r="R34" s="142" t="n"/>
      <c r="S34" s="142" t="n"/>
      <c r="T34" s="142" t="n"/>
      <c r="U34" s="142" t="n"/>
    </row>
    <row r="35">
      <c r="A35" s="81" t="inlineStr">
        <is>
          <t>CONSOLIDATED BALANCE SHEET (RMB Million)</t>
        </is>
      </c>
      <c r="G35" s="880" t="n"/>
      <c r="H35" s="880" t="n"/>
      <c r="I35" s="880" t="n"/>
      <c r="J35" s="880" t="n"/>
      <c r="K35" s="880" t="n"/>
      <c r="L35" s="880" t="n"/>
      <c r="M35" s="880" t="n"/>
      <c r="N35" s="880" t="n"/>
      <c r="O35" s="142" t="n"/>
      <c r="P35" s="880" t="n"/>
      <c r="Q35" s="142" t="n"/>
      <c r="R35" s="142" t="n"/>
      <c r="S35" s="880" t="n"/>
      <c r="T35" s="142" t="n"/>
      <c r="U35" s="880" t="n"/>
    </row>
    <row r="36">
      <c r="O36" s="142" t="n"/>
      <c r="P36" s="880" t="n"/>
      <c r="Q36" s="142" t="n"/>
      <c r="R36" s="142" t="n"/>
      <c r="T36" s="142" t="n"/>
    </row>
    <row r="37">
      <c r="A37" s="22" t="inlineStr">
        <is>
          <t>Current assets</t>
        </is>
      </c>
      <c r="N37" s="84" t="n"/>
    </row>
    <row r="38">
      <c r="A38" s="74">
        <f>#REF!</f>
        <v/>
      </c>
      <c r="G38" s="102">
        <f>INDEX(FS_H!38:38,,MATCH(G$2,FS_H!$3:$3,0))</f>
        <v/>
      </c>
      <c r="H38" s="102">
        <f>INDEX(FS_H!38:38,,MATCH(H$2,FS_H!$3:$3,0))</f>
        <v/>
      </c>
      <c r="I38" s="102">
        <f>INDEX(FS_H!38:38,,MATCH(I$2,FS_H!$3:$3,0))</f>
        <v/>
      </c>
      <c r="J38" s="102">
        <f>INDEX(FS_H!38:38,,MATCH(J$2,FS_H!$3:$3,0))</f>
        <v/>
      </c>
      <c r="K38" s="102">
        <f>INDEX(FS_H!38:38,,MATCH(K$2,FS_H!$3:$3,0))</f>
        <v/>
      </c>
      <c r="L38" s="102">
        <f>INDEX(FS_H!38:38,,MATCH(L$2,FS_H!$3:$3,0))</f>
        <v/>
      </c>
      <c r="M38" s="102">
        <f>INDEX(FS_H!38:38,,MATCH(M$2,FS_H!$3:$3,0))</f>
        <v/>
      </c>
      <c r="N38" s="102">
        <f>INDEX(FS_H!38:38,,MATCH(N$2,FS_H!$3:$3,0))</f>
        <v/>
      </c>
      <c r="O38" s="102">
        <f>INDEX(FS_H!38:38,,MATCH(O$2,FS_H!$3:$3,0))</f>
        <v/>
      </c>
      <c r="P38" s="102">
        <f>INDEX(FS_H!38:38,,MATCH(P$2,FS_H!$3:$3,0))</f>
        <v/>
      </c>
      <c r="Q38" s="102">
        <f>INDEX(FS_H!38:38,,MATCH(Q$2,FS_H!$3:$3,0))</f>
        <v/>
      </c>
      <c r="R38" s="102">
        <f>INDEX(FS_H!38:38,,MATCH(R$2,FS_H!$3:$3,0))</f>
        <v/>
      </c>
      <c r="S38" s="102">
        <f>INDEX(FS_H!38:38,,MATCH(S$2,FS_H!$3:$3,0))</f>
        <v/>
      </c>
      <c r="T38" s="102">
        <f>INDEX(FS_H!38:38,,MATCH(T$2,FS_H!$3:$3,0))</f>
        <v/>
      </c>
      <c r="U38" s="102">
        <f>INDEX(FS_H!38:38,,MATCH(U$2,FS_H!$3:$3,0))</f>
        <v/>
      </c>
    </row>
    <row r="39">
      <c r="A39" s="74" t="inlineStr">
        <is>
          <t>Trade receivables</t>
        </is>
      </c>
      <c r="G39" s="102">
        <f>INDEX(FS_H!39:39,,MATCH(G$2,FS_H!$3:$3,0))</f>
        <v/>
      </c>
      <c r="H39" s="102">
        <f>INDEX(FS_H!39:39,,MATCH(H$2,FS_H!$3:$3,0))</f>
        <v/>
      </c>
      <c r="I39" s="102">
        <f>INDEX(FS_H!39:39,,MATCH(I$2,FS_H!$3:$3,0))</f>
        <v/>
      </c>
      <c r="J39" s="102">
        <f>INDEX(FS_H!39:39,,MATCH(J$2,FS_H!$3:$3,0))</f>
        <v/>
      </c>
      <c r="K39" s="102">
        <f>INDEX(FS_H!39:39,,MATCH(K$2,FS_H!$3:$3,0))</f>
        <v/>
      </c>
      <c r="L39" s="102">
        <f>INDEX(FS_H!39:39,,MATCH(L$2,FS_H!$3:$3,0))</f>
        <v/>
      </c>
      <c r="M39" s="102">
        <f>INDEX(FS_H!39:39,,MATCH(M$2,FS_H!$3:$3,0))</f>
        <v/>
      </c>
      <c r="N39" s="102">
        <f>INDEX(FS_H!39:39,,MATCH(N$2,FS_H!$3:$3,0))</f>
        <v/>
      </c>
      <c r="O39" s="102">
        <f>INDEX(FS_H!39:39,,MATCH(O$2,FS_H!$3:$3,0))</f>
        <v/>
      </c>
      <c r="P39" s="102">
        <f>INDEX(FS_H!39:39,,MATCH(P$2,FS_H!$3:$3,0))</f>
        <v/>
      </c>
      <c r="Q39" s="102">
        <f>INDEX(FS_H!39:39,,MATCH(Q$2,FS_H!$3:$3,0))</f>
        <v/>
      </c>
      <c r="R39" s="102">
        <f>INDEX(FS_H!39:39,,MATCH(R$2,FS_H!$3:$3,0))</f>
        <v/>
      </c>
      <c r="S39" s="102">
        <f>INDEX(FS_H!39:39,,MATCH(S$2,FS_H!$3:$3,0))</f>
        <v/>
      </c>
      <c r="T39" s="102">
        <f>INDEX(FS_H!39:39,,MATCH(T$2,FS_H!$3:$3,0))</f>
        <v/>
      </c>
      <c r="U39" s="102">
        <f>INDEX(FS_H!39:39,,MATCH(U$2,FS_H!$3:$3,0))</f>
        <v/>
      </c>
    </row>
    <row r="40">
      <c r="A40" s="74">
        <f>#REF!</f>
        <v/>
      </c>
      <c r="G40" s="102">
        <f>INDEX(FS_H!40:40,,MATCH(G$2,FS_H!$3:$3,0))</f>
        <v/>
      </c>
      <c r="H40" s="102">
        <f>INDEX(FS_H!40:40,,MATCH(H$2,FS_H!$3:$3,0))</f>
        <v/>
      </c>
      <c r="I40" s="102">
        <f>INDEX(FS_H!40:40,,MATCH(I$2,FS_H!$3:$3,0))</f>
        <v/>
      </c>
      <c r="J40" s="102">
        <f>INDEX(FS_H!40:40,,MATCH(J$2,FS_H!$3:$3,0))</f>
        <v/>
      </c>
      <c r="K40" s="102">
        <f>INDEX(FS_H!40:40,,MATCH(K$2,FS_H!$3:$3,0))</f>
        <v/>
      </c>
      <c r="L40" s="102">
        <f>INDEX(FS_H!40:40,,MATCH(L$2,FS_H!$3:$3,0))</f>
        <v/>
      </c>
      <c r="M40" s="102">
        <f>INDEX(FS_H!40:40,,MATCH(M$2,FS_H!$3:$3,0))</f>
        <v/>
      </c>
      <c r="N40" s="102">
        <f>INDEX(FS_H!40:40,,MATCH(N$2,FS_H!$3:$3,0))</f>
        <v/>
      </c>
      <c r="O40" s="102">
        <f>INDEX(FS_H!40:40,,MATCH(O$2,FS_H!$3:$3,0))</f>
        <v/>
      </c>
      <c r="P40" s="102">
        <f>INDEX(FS_H!40:40,,MATCH(P$2,FS_H!$3:$3,0))</f>
        <v/>
      </c>
      <c r="Q40" s="102">
        <f>INDEX(FS_H!40:40,,MATCH(Q$2,FS_H!$3:$3,0))</f>
        <v/>
      </c>
      <c r="R40" s="102">
        <f>INDEX(FS_H!40:40,,MATCH(R$2,FS_H!$3:$3,0))</f>
        <v/>
      </c>
      <c r="S40" s="102">
        <f>INDEX(FS_H!40:40,,MATCH(S$2,FS_H!$3:$3,0))</f>
        <v/>
      </c>
      <c r="T40" s="102">
        <f>INDEX(FS_H!40:40,,MATCH(T$2,FS_H!$3:$3,0))</f>
        <v/>
      </c>
      <c r="U40" s="102">
        <f>INDEX(FS_H!40:40,,MATCH(U$2,FS_H!$3:$3,0))</f>
        <v/>
      </c>
    </row>
    <row r="41">
      <c r="A41" s="74" t="inlineStr">
        <is>
          <t>Other receivable</t>
        </is>
      </c>
      <c r="G41" s="102">
        <f>INDEX(FS_H!41:41,,MATCH(G$2,FS_H!$3:$3,0))</f>
        <v/>
      </c>
      <c r="H41" s="102">
        <f>INDEX(FS_H!41:41,,MATCH(H$2,FS_H!$3:$3,0))</f>
        <v/>
      </c>
      <c r="I41" s="102">
        <f>INDEX(FS_H!41:41,,MATCH(I$2,FS_H!$3:$3,0))</f>
        <v/>
      </c>
      <c r="J41" s="102">
        <f>INDEX(FS_H!41:41,,MATCH(J$2,FS_H!$3:$3,0))</f>
        <v/>
      </c>
      <c r="K41" s="102">
        <f>INDEX(FS_H!41:41,,MATCH(K$2,FS_H!$3:$3,0))</f>
        <v/>
      </c>
      <c r="L41" s="102">
        <f>INDEX(FS_H!41:41,,MATCH(L$2,FS_H!$3:$3,0))</f>
        <v/>
      </c>
      <c r="M41" s="102">
        <f>INDEX(FS_H!41:41,,MATCH(M$2,FS_H!$3:$3,0))</f>
        <v/>
      </c>
      <c r="N41" s="102">
        <f>INDEX(FS_H!41:41,,MATCH(N$2,FS_H!$3:$3,0))</f>
        <v/>
      </c>
      <c r="O41" s="102">
        <f>INDEX(FS_H!41:41,,MATCH(O$2,FS_H!$3:$3,0))</f>
        <v/>
      </c>
      <c r="P41" s="102">
        <f>INDEX(FS_H!41:41,,MATCH(P$2,FS_H!$3:$3,0))</f>
        <v/>
      </c>
      <c r="Q41" s="102">
        <f>INDEX(FS_H!41:41,,MATCH(Q$2,FS_H!$3:$3,0))</f>
        <v/>
      </c>
      <c r="R41" s="102">
        <f>INDEX(FS_H!41:41,,MATCH(R$2,FS_H!$3:$3,0))</f>
        <v/>
      </c>
      <c r="S41" s="102">
        <f>INDEX(FS_H!41:41,,MATCH(S$2,FS_H!$3:$3,0))</f>
        <v/>
      </c>
      <c r="T41" s="102">
        <f>INDEX(FS_H!41:41,,MATCH(T$2,FS_H!$3:$3,0))</f>
        <v/>
      </c>
      <c r="U41" s="102">
        <f>INDEX(FS_H!41:41,,MATCH(U$2,FS_H!$3:$3,0))</f>
        <v/>
      </c>
    </row>
    <row r="42">
      <c r="A42" s="74">
        <f>#REF!</f>
        <v/>
      </c>
      <c r="G42" s="102">
        <f>INDEX(FS_H!42:42,,MATCH(G$2,FS_H!$3:$3,0))</f>
        <v/>
      </c>
      <c r="H42" s="102">
        <f>INDEX(FS_H!42:42,,MATCH(H$2,FS_H!$3:$3,0))</f>
        <v/>
      </c>
      <c r="I42" s="102">
        <f>INDEX(FS_H!42:42,,MATCH(I$2,FS_H!$3:$3,0))</f>
        <v/>
      </c>
      <c r="J42" s="102">
        <f>INDEX(FS_H!42:42,,MATCH(J$2,FS_H!$3:$3,0))</f>
        <v/>
      </c>
      <c r="K42" s="102">
        <f>INDEX(FS_H!42:42,,MATCH(K$2,FS_H!$3:$3,0))</f>
        <v/>
      </c>
      <c r="L42" s="102">
        <f>INDEX(FS_H!42:42,,MATCH(L$2,FS_H!$3:$3,0))</f>
        <v/>
      </c>
      <c r="M42" s="102">
        <f>INDEX(FS_H!42:42,,MATCH(M$2,FS_H!$3:$3,0))</f>
        <v/>
      </c>
      <c r="N42" s="102">
        <f>INDEX(FS_H!42:42,,MATCH(N$2,FS_H!$3:$3,0))</f>
        <v/>
      </c>
      <c r="O42" s="102">
        <f>INDEX(FS_H!42:42,,MATCH(O$2,FS_H!$3:$3,0))</f>
        <v/>
      </c>
      <c r="P42" s="102">
        <f>INDEX(FS_H!42:42,,MATCH(P$2,FS_H!$3:$3,0))</f>
        <v/>
      </c>
      <c r="Q42" s="102">
        <f>INDEX(FS_H!42:42,,MATCH(Q$2,FS_H!$3:$3,0))</f>
        <v/>
      </c>
      <c r="R42" s="102">
        <f>INDEX(FS_H!42:42,,MATCH(R$2,FS_H!$3:$3,0))</f>
        <v/>
      </c>
      <c r="S42" s="102">
        <f>INDEX(FS_H!42:42,,MATCH(S$2,FS_H!$3:$3,0))</f>
        <v/>
      </c>
      <c r="T42" s="102">
        <f>INDEX(FS_H!42:42,,MATCH(T$2,FS_H!$3:$3,0))</f>
        <v/>
      </c>
      <c r="U42" s="102">
        <f>INDEX(FS_H!42:42,,MATCH(U$2,FS_H!$3:$3,0))</f>
        <v/>
      </c>
    </row>
    <row r="43">
      <c r="A43" s="74">
        <f>#REF!</f>
        <v/>
      </c>
      <c r="G43" s="102">
        <f>INDEX(FS_H!43:43,,MATCH(G$2,FS_H!$3:$3,0))</f>
        <v/>
      </c>
      <c r="H43" s="102">
        <f>INDEX(FS_H!43:43,,MATCH(H$2,FS_H!$3:$3,0))</f>
        <v/>
      </c>
      <c r="I43" s="102">
        <f>INDEX(FS_H!43:43,,MATCH(I$2,FS_H!$3:$3,0))</f>
        <v/>
      </c>
      <c r="J43" s="102">
        <f>INDEX(FS_H!43:43,,MATCH(J$2,FS_H!$3:$3,0))</f>
        <v/>
      </c>
      <c r="K43" s="102">
        <f>INDEX(FS_H!43:43,,MATCH(K$2,FS_H!$3:$3,0))</f>
        <v/>
      </c>
      <c r="L43" s="102">
        <f>INDEX(FS_H!43:43,,MATCH(L$2,FS_H!$3:$3,0))</f>
        <v/>
      </c>
      <c r="M43" s="102">
        <f>INDEX(FS_H!43:43,,MATCH(M$2,FS_H!$3:$3,0))</f>
        <v/>
      </c>
      <c r="N43" s="102">
        <f>INDEX(FS_H!43:43,,MATCH(N$2,FS_H!$3:$3,0))</f>
        <v/>
      </c>
      <c r="O43" s="102">
        <f>INDEX(FS_H!43:43,,MATCH(O$2,FS_H!$3:$3,0))</f>
        <v/>
      </c>
      <c r="P43" s="102">
        <f>INDEX(FS_H!43:43,,MATCH(P$2,FS_H!$3:$3,0))</f>
        <v/>
      </c>
      <c r="Q43" s="102">
        <f>INDEX(FS_H!43:43,,MATCH(Q$2,FS_H!$3:$3,0))</f>
        <v/>
      </c>
      <c r="R43" s="102">
        <f>INDEX(FS_H!43:43,,MATCH(R$2,FS_H!$3:$3,0))</f>
        <v/>
      </c>
      <c r="S43" s="102">
        <f>INDEX(FS_H!43:43,,MATCH(S$2,FS_H!$3:$3,0))</f>
        <v/>
      </c>
      <c r="T43" s="102">
        <f>INDEX(FS_H!43:43,,MATCH(T$2,FS_H!$3:$3,0))</f>
        <v/>
      </c>
      <c r="U43" s="102">
        <f>INDEX(FS_H!43:43,,MATCH(U$2,FS_H!$3:$3,0))</f>
        <v/>
      </c>
    </row>
    <row r="44">
      <c r="A44" s="74" t="inlineStr">
        <is>
          <t>Others</t>
        </is>
      </c>
      <c r="G44" s="102">
        <f>INDEX(FS_H!44:44,,MATCH(G$2,FS_H!$3:$3,0))</f>
        <v/>
      </c>
      <c r="H44" s="102">
        <f>INDEX(FS_H!44:44,,MATCH(H$2,FS_H!$3:$3,0))</f>
        <v/>
      </c>
      <c r="I44" s="102">
        <f>INDEX(FS_H!44:44,,MATCH(I$2,FS_H!$3:$3,0))</f>
        <v/>
      </c>
      <c r="J44" s="102">
        <f>INDEX(FS_H!44:44,,MATCH(J$2,FS_H!$3:$3,0))</f>
        <v/>
      </c>
      <c r="K44" s="102">
        <f>INDEX(FS_H!44:44,,MATCH(K$2,FS_H!$3:$3,0))</f>
        <v/>
      </c>
      <c r="L44" s="102">
        <f>INDEX(FS_H!44:44,,MATCH(L$2,FS_H!$3:$3,0))</f>
        <v/>
      </c>
      <c r="M44" s="102">
        <f>INDEX(FS_H!44:44,,MATCH(M$2,FS_H!$3:$3,0))</f>
        <v/>
      </c>
      <c r="N44" s="102">
        <f>INDEX(FS_H!44:44,,MATCH(N$2,FS_H!$3:$3,0))</f>
        <v/>
      </c>
      <c r="O44" s="102">
        <f>INDEX(FS_H!44:44,,MATCH(O$2,FS_H!$3:$3,0))</f>
        <v/>
      </c>
      <c r="P44" s="102">
        <f>INDEX(FS_H!44:44,,MATCH(P$2,FS_H!$3:$3,0))</f>
        <v/>
      </c>
      <c r="Q44" s="102">
        <f>INDEX(FS_H!44:44,,MATCH(Q$2,FS_H!$3:$3,0))</f>
        <v/>
      </c>
      <c r="R44" s="102">
        <f>INDEX(FS_H!44:44,,MATCH(R$2,FS_H!$3:$3,0))</f>
        <v/>
      </c>
      <c r="S44" s="102">
        <f>INDEX(FS_H!44:44,,MATCH(S$2,FS_H!$3:$3,0))</f>
        <v/>
      </c>
      <c r="T44" s="102">
        <f>INDEX(FS_H!44:44,,MATCH(T$2,FS_H!$3:$3,0))</f>
        <v/>
      </c>
      <c r="U44" s="102">
        <f>INDEX(FS_H!44:44,,MATCH(U$2,FS_H!$3:$3,0))</f>
        <v/>
      </c>
    </row>
    <row r="45">
      <c r="A45" s="40" t="inlineStr">
        <is>
          <t>Total current assets</t>
        </is>
      </c>
      <c r="G45" s="103">
        <f>SUM(G38:G44)</f>
        <v/>
      </c>
      <c r="H45" s="103">
        <f>SUM(H38:H44)</f>
        <v/>
      </c>
      <c r="I45" s="103">
        <f>SUM(I38:I44)</f>
        <v/>
      </c>
      <c r="J45" s="103">
        <f>SUM(J38:J44)</f>
        <v/>
      </c>
      <c r="K45" s="103">
        <f>SUM(K38:K44)</f>
        <v/>
      </c>
      <c r="L45" s="103">
        <f>SUM(L38:L44)</f>
        <v/>
      </c>
      <c r="M45" s="103">
        <f>SUM(M38:M44)</f>
        <v/>
      </c>
      <c r="N45" s="103">
        <f>SUM(N38:N44)</f>
        <v/>
      </c>
      <c r="O45" s="103">
        <f>SUM(O38:O44)</f>
        <v/>
      </c>
      <c r="P45" s="103">
        <f>SUM(P38:P44)</f>
        <v/>
      </c>
      <c r="Q45" s="103">
        <f>SUM(Q38:Q44)</f>
        <v/>
      </c>
      <c r="R45" s="103">
        <f>SUM(R38:R44)</f>
        <v/>
      </c>
      <c r="S45" s="103">
        <f>SUM(S38:S44)</f>
        <v/>
      </c>
      <c r="T45" s="103">
        <f>SUM(T38:T44)</f>
        <v/>
      </c>
      <c r="U45" s="103">
        <f>SUM(U38:U44)</f>
        <v/>
      </c>
    </row>
    <row r="46">
      <c r="G46" s="142" t="n"/>
      <c r="H46" s="142" t="n"/>
      <c r="I46" s="142" t="n"/>
      <c r="J46" s="142" t="n"/>
      <c r="K46" s="142" t="n"/>
      <c r="L46" s="142" t="n"/>
      <c r="M46" s="142" t="n"/>
      <c r="N46" s="142" t="n"/>
      <c r="O46" s="142" t="n"/>
      <c r="P46" s="142" t="n"/>
      <c r="Q46" s="142" t="n"/>
      <c r="R46" s="142" t="n"/>
      <c r="S46" s="142" t="n"/>
      <c r="T46" s="142" t="n"/>
      <c r="U46" s="142" t="n"/>
    </row>
    <row r="47">
      <c r="A47" s="22" t="inlineStr">
        <is>
          <t>Non-current assets</t>
        </is>
      </c>
      <c r="G47" s="142" t="n"/>
      <c r="H47" s="142" t="n"/>
      <c r="I47" s="142" t="n"/>
      <c r="J47" s="142" t="n"/>
      <c r="K47" s="142" t="n"/>
      <c r="L47" s="142" t="n"/>
      <c r="M47" s="142" t="n"/>
      <c r="N47" s="142" t="n"/>
      <c r="O47" s="142" t="n"/>
      <c r="P47" s="142" t="n"/>
      <c r="Q47" s="142" t="n"/>
      <c r="R47" s="142" t="n"/>
      <c r="S47" s="142" t="n"/>
      <c r="T47" s="142" t="n"/>
      <c r="U47" s="142" t="n"/>
    </row>
    <row r="48">
      <c r="A48" s="74" t="inlineStr">
        <is>
          <t>Property, plant and equipment</t>
        </is>
      </c>
      <c r="G48" s="102">
        <f>INDEX(FS_H!48:48,,MATCH(G$2,FS_H!$3:$3,0))</f>
        <v/>
      </c>
      <c r="H48" s="102">
        <f>INDEX(FS_H!48:48,,MATCH(H$2,FS_H!$3:$3,0))</f>
        <v/>
      </c>
      <c r="I48" s="102">
        <f>INDEX(FS_H!48:48,,MATCH(I$2,FS_H!$3:$3,0))</f>
        <v/>
      </c>
      <c r="J48" s="102">
        <f>INDEX(FS_H!48:48,,MATCH(J$2,FS_H!$3:$3,0))</f>
        <v/>
      </c>
      <c r="K48" s="102">
        <f>INDEX(FS_H!48:48,,MATCH(K$2,FS_H!$3:$3,0))</f>
        <v/>
      </c>
      <c r="L48" s="102">
        <f>INDEX(FS_H!48:48,,MATCH(L$2,FS_H!$3:$3,0))</f>
        <v/>
      </c>
      <c r="M48" s="102">
        <f>INDEX(FS_H!48:48,,MATCH(M$2,FS_H!$3:$3,0))</f>
        <v/>
      </c>
      <c r="N48" s="102">
        <f>INDEX(FS_H!48:48,,MATCH(N$2,FS_H!$3:$3,0))</f>
        <v/>
      </c>
      <c r="O48" s="102">
        <f>INDEX(FS_H!48:48,,MATCH(O$2,FS_H!$3:$3,0))</f>
        <v/>
      </c>
      <c r="P48" s="102">
        <f>INDEX(FS_H!48:48,,MATCH(P$2,FS_H!$3:$3,0))</f>
        <v/>
      </c>
      <c r="Q48" s="102">
        <f>INDEX(FS_H!48:48,,MATCH(Q$2,FS_H!$3:$3,0))</f>
        <v/>
      </c>
      <c r="R48" s="102">
        <f>INDEX(FS_H!48:48,,MATCH(R$2,FS_H!$3:$3,0))</f>
        <v/>
      </c>
      <c r="S48" s="102">
        <f>INDEX(FS_H!48:48,,MATCH(S$2,FS_H!$3:$3,0))</f>
        <v/>
      </c>
      <c r="T48" s="102">
        <f>INDEX(FS_H!48:48,,MATCH(T$2,FS_H!$3:$3,0))</f>
        <v/>
      </c>
      <c r="U48" s="102">
        <f>INDEX(FS_H!48:48,,MATCH(U$2,FS_H!$3:$3,0))</f>
        <v/>
      </c>
    </row>
    <row r="49">
      <c r="A49" s="74" t="inlineStr">
        <is>
          <t>Prepaid land lease payments</t>
        </is>
      </c>
      <c r="G49" s="102">
        <f>INDEX(FS_H!49:49,,MATCH(G$2,FS_H!$3:$3,0))</f>
        <v/>
      </c>
      <c r="H49" s="102">
        <f>INDEX(FS_H!49:49,,MATCH(H$2,FS_H!$3:$3,0))</f>
        <v/>
      </c>
      <c r="I49" s="102">
        <f>INDEX(FS_H!49:49,,MATCH(I$2,FS_H!$3:$3,0))</f>
        <v/>
      </c>
      <c r="J49" s="102">
        <f>INDEX(FS_H!49:49,,MATCH(J$2,FS_H!$3:$3,0))</f>
        <v/>
      </c>
      <c r="K49" s="102">
        <f>INDEX(FS_H!49:49,,MATCH(K$2,FS_H!$3:$3,0))</f>
        <v/>
      </c>
      <c r="L49" s="102">
        <f>INDEX(FS_H!49:49,,MATCH(L$2,FS_H!$3:$3,0))</f>
        <v/>
      </c>
      <c r="M49" s="102">
        <f>INDEX(FS_H!49:49,,MATCH(M$2,FS_H!$3:$3,0))</f>
        <v/>
      </c>
      <c r="N49" s="102">
        <f>INDEX(FS_H!49:49,,MATCH(N$2,FS_H!$3:$3,0))</f>
        <v/>
      </c>
      <c r="O49" s="102">
        <f>INDEX(FS_H!49:49,,MATCH(O$2,FS_H!$3:$3,0))</f>
        <v/>
      </c>
      <c r="P49" s="102">
        <f>INDEX(FS_H!49:49,,MATCH(P$2,FS_H!$3:$3,0))</f>
        <v/>
      </c>
      <c r="Q49" s="102">
        <f>INDEX(FS_H!49:49,,MATCH(Q$2,FS_H!$3:$3,0))</f>
        <v/>
      </c>
      <c r="R49" s="102">
        <f>INDEX(FS_H!49:49,,MATCH(R$2,FS_H!$3:$3,0))</f>
        <v/>
      </c>
      <c r="S49" s="102">
        <f>INDEX(FS_H!49:49,,MATCH(S$2,FS_H!$3:$3,0))</f>
        <v/>
      </c>
      <c r="T49" s="102">
        <f>INDEX(FS_H!49:49,,MATCH(T$2,FS_H!$3:$3,0))</f>
        <v/>
      </c>
      <c r="U49" s="102">
        <f>INDEX(FS_H!49:49,,MATCH(U$2,FS_H!$3:$3,0))</f>
        <v/>
      </c>
    </row>
    <row r="50">
      <c r="A50" s="74" t="inlineStr">
        <is>
          <t>Goodwill</t>
        </is>
      </c>
      <c r="G50" s="102">
        <f>INDEX(FS_H!50:50,,MATCH(G$2,FS_H!$3:$3,0))</f>
        <v/>
      </c>
      <c r="H50" s="102">
        <f>INDEX(FS_H!50:50,,MATCH(H$2,FS_H!$3:$3,0))</f>
        <v/>
      </c>
      <c r="I50" s="102">
        <f>INDEX(FS_H!50:50,,MATCH(I$2,FS_H!$3:$3,0))</f>
        <v/>
      </c>
      <c r="J50" s="102">
        <f>INDEX(FS_H!50:50,,MATCH(J$2,FS_H!$3:$3,0))</f>
        <v/>
      </c>
      <c r="K50" s="102">
        <f>INDEX(FS_H!50:50,,MATCH(K$2,FS_H!$3:$3,0))</f>
        <v/>
      </c>
      <c r="L50" s="102">
        <f>INDEX(FS_H!50:50,,MATCH(L$2,FS_H!$3:$3,0))</f>
        <v/>
      </c>
      <c r="M50" s="102">
        <f>INDEX(FS_H!50:50,,MATCH(M$2,FS_H!$3:$3,0))</f>
        <v/>
      </c>
      <c r="N50" s="102">
        <f>INDEX(FS_H!50:50,,MATCH(N$2,FS_H!$3:$3,0))</f>
        <v/>
      </c>
      <c r="O50" s="102">
        <f>INDEX(FS_H!50:50,,MATCH(O$2,FS_H!$3:$3,0))</f>
        <v/>
      </c>
      <c r="P50" s="102">
        <f>INDEX(FS_H!50:50,,MATCH(P$2,FS_H!$3:$3,0))</f>
        <v/>
      </c>
      <c r="Q50" s="102">
        <f>INDEX(FS_H!50:50,,MATCH(Q$2,FS_H!$3:$3,0))</f>
        <v/>
      </c>
      <c r="R50" s="102">
        <f>INDEX(FS_H!50:50,,MATCH(R$2,FS_H!$3:$3,0))</f>
        <v/>
      </c>
      <c r="S50" s="102">
        <f>INDEX(FS_H!50:50,,MATCH(S$2,FS_H!$3:$3,0))</f>
        <v/>
      </c>
      <c r="T50" s="102">
        <f>INDEX(FS_H!50:50,,MATCH(T$2,FS_H!$3:$3,0))</f>
        <v/>
      </c>
      <c r="U50" s="102">
        <f>INDEX(FS_H!50:50,,MATCH(U$2,FS_H!$3:$3,0))</f>
        <v/>
      </c>
    </row>
    <row r="51">
      <c r="A51" s="74" t="inlineStr">
        <is>
          <t>Other intangible assets</t>
        </is>
      </c>
      <c r="G51" s="102">
        <f>INDEX(FS_H!51:51,,MATCH(G$2,FS_H!$3:$3,0))</f>
        <v/>
      </c>
      <c r="H51" s="102">
        <f>INDEX(FS_H!51:51,,MATCH(H$2,FS_H!$3:$3,0))</f>
        <v/>
      </c>
      <c r="I51" s="102">
        <f>INDEX(FS_H!51:51,,MATCH(I$2,FS_H!$3:$3,0))</f>
        <v/>
      </c>
      <c r="J51" s="102">
        <f>INDEX(FS_H!51:51,,MATCH(J$2,FS_H!$3:$3,0))</f>
        <v/>
      </c>
      <c r="K51" s="102">
        <f>INDEX(FS_H!51:51,,MATCH(K$2,FS_H!$3:$3,0))</f>
        <v/>
      </c>
      <c r="L51" s="102">
        <f>INDEX(FS_H!51:51,,MATCH(L$2,FS_H!$3:$3,0))</f>
        <v/>
      </c>
      <c r="M51" s="102">
        <f>INDEX(FS_H!51:51,,MATCH(M$2,FS_H!$3:$3,0))</f>
        <v/>
      </c>
      <c r="N51" s="102">
        <f>INDEX(FS_H!51:51,,MATCH(N$2,FS_H!$3:$3,0))</f>
        <v/>
      </c>
      <c r="O51" s="102">
        <f>INDEX(FS_H!51:51,,MATCH(O$2,FS_H!$3:$3,0))</f>
        <v/>
      </c>
      <c r="P51" s="102">
        <f>INDEX(FS_H!51:51,,MATCH(P$2,FS_H!$3:$3,0))</f>
        <v/>
      </c>
      <c r="Q51" s="102">
        <f>INDEX(FS_H!51:51,,MATCH(Q$2,FS_H!$3:$3,0))</f>
        <v/>
      </c>
      <c r="R51" s="102">
        <f>INDEX(FS_H!51:51,,MATCH(R$2,FS_H!$3:$3,0))</f>
        <v/>
      </c>
      <c r="S51" s="102">
        <f>INDEX(FS_H!51:51,,MATCH(S$2,FS_H!$3:$3,0))</f>
        <v/>
      </c>
      <c r="T51" s="102">
        <f>INDEX(FS_H!51:51,,MATCH(T$2,FS_H!$3:$3,0))</f>
        <v/>
      </c>
      <c r="U51" s="102">
        <f>INDEX(FS_H!51:51,,MATCH(U$2,FS_H!$3:$3,0))</f>
        <v/>
      </c>
    </row>
    <row r="52">
      <c r="A52" s="74" t="inlineStr">
        <is>
          <t>Investments in JV/Associates</t>
        </is>
      </c>
      <c r="G52" s="102">
        <f>INDEX(FS_H!52:52,,MATCH(G$2,FS_H!$3:$3,0))</f>
        <v/>
      </c>
      <c r="H52" s="102">
        <f>INDEX(FS_H!52:52,,MATCH(H$2,FS_H!$3:$3,0))</f>
        <v/>
      </c>
      <c r="I52" s="102">
        <f>INDEX(FS_H!52:52,,MATCH(I$2,FS_H!$3:$3,0))</f>
        <v/>
      </c>
      <c r="J52" s="102">
        <f>INDEX(FS_H!52:52,,MATCH(J$2,FS_H!$3:$3,0))</f>
        <v/>
      </c>
      <c r="K52" s="102">
        <f>INDEX(FS_H!52:52,,MATCH(K$2,FS_H!$3:$3,0))</f>
        <v/>
      </c>
      <c r="L52" s="102">
        <f>INDEX(FS_H!52:52,,MATCH(L$2,FS_H!$3:$3,0))</f>
        <v/>
      </c>
      <c r="M52" s="102">
        <f>INDEX(FS_H!52:52,,MATCH(M$2,FS_H!$3:$3,0))</f>
        <v/>
      </c>
      <c r="N52" s="102">
        <f>INDEX(FS_H!52:52,,MATCH(N$2,FS_H!$3:$3,0))</f>
        <v/>
      </c>
      <c r="O52" s="102">
        <f>INDEX(FS_H!52:52,,MATCH(O$2,FS_H!$3:$3,0))</f>
        <v/>
      </c>
      <c r="P52" s="102">
        <f>INDEX(FS_H!52:52,,MATCH(P$2,FS_H!$3:$3,0))</f>
        <v/>
      </c>
      <c r="Q52" s="102">
        <f>INDEX(FS_H!52:52,,MATCH(Q$2,FS_H!$3:$3,0))</f>
        <v/>
      </c>
      <c r="R52" s="102">
        <f>INDEX(FS_H!52:52,,MATCH(R$2,FS_H!$3:$3,0))</f>
        <v/>
      </c>
      <c r="S52" s="102">
        <f>INDEX(FS_H!52:52,,MATCH(S$2,FS_H!$3:$3,0))</f>
        <v/>
      </c>
      <c r="T52" s="102">
        <f>INDEX(FS_H!52:52,,MATCH(T$2,FS_H!$3:$3,0))</f>
        <v/>
      </c>
      <c r="U52" s="102">
        <f>INDEX(FS_H!52:52,,MATCH(U$2,FS_H!$3:$3,0))</f>
        <v/>
      </c>
    </row>
    <row r="53">
      <c r="A53" s="74" t="inlineStr">
        <is>
          <t>Loans receivables</t>
        </is>
      </c>
      <c r="G53" s="102">
        <f>INDEX(FS_H!53:53,,MATCH(G$2,FS_H!$3:$3,0))</f>
        <v/>
      </c>
      <c r="H53" s="102">
        <f>INDEX(FS_H!53:53,,MATCH(H$2,FS_H!$3:$3,0))</f>
        <v/>
      </c>
      <c r="I53" s="102">
        <f>INDEX(FS_H!53:53,,MATCH(I$2,FS_H!$3:$3,0))</f>
        <v/>
      </c>
      <c r="J53" s="102">
        <f>INDEX(FS_H!53:53,,MATCH(J$2,FS_H!$3:$3,0))</f>
        <v/>
      </c>
      <c r="K53" s="102">
        <f>INDEX(FS_H!53:53,,MATCH(K$2,FS_H!$3:$3,0))</f>
        <v/>
      </c>
      <c r="L53" s="102">
        <f>INDEX(FS_H!53:53,,MATCH(L$2,FS_H!$3:$3,0))</f>
        <v/>
      </c>
      <c r="M53" s="102">
        <f>INDEX(FS_H!53:53,,MATCH(M$2,FS_H!$3:$3,0))</f>
        <v/>
      </c>
      <c r="N53" s="102">
        <f>INDEX(FS_H!53:53,,MATCH(N$2,FS_H!$3:$3,0))</f>
        <v/>
      </c>
      <c r="O53" s="102">
        <f>INDEX(FS_H!53:53,,MATCH(O$2,FS_H!$3:$3,0))</f>
        <v/>
      </c>
      <c r="P53" s="102">
        <f>INDEX(FS_H!53:53,,MATCH(P$2,FS_H!$3:$3,0))</f>
        <v/>
      </c>
      <c r="Q53" s="102">
        <f>INDEX(FS_H!53:53,,MATCH(Q$2,FS_H!$3:$3,0))</f>
        <v/>
      </c>
      <c r="R53" s="102">
        <f>INDEX(FS_H!53:53,,MATCH(R$2,FS_H!$3:$3,0))</f>
        <v/>
      </c>
      <c r="S53" s="102">
        <f>INDEX(FS_H!53:53,,MATCH(S$2,FS_H!$3:$3,0))</f>
        <v/>
      </c>
      <c r="T53" s="102">
        <f>INDEX(FS_H!53:53,,MATCH(T$2,FS_H!$3:$3,0))</f>
        <v/>
      </c>
      <c r="U53" s="102">
        <f>INDEX(FS_H!53:53,,MATCH(U$2,FS_H!$3:$3,0))</f>
        <v/>
      </c>
    </row>
    <row r="54">
      <c r="A54" s="74">
        <f>#REF!</f>
        <v/>
      </c>
      <c r="G54" s="102">
        <f>INDEX(FS_H!54:54,,MATCH(G$2,FS_H!$3:$3,0))</f>
        <v/>
      </c>
      <c r="H54" s="102">
        <f>INDEX(FS_H!54:54,,MATCH(H$2,FS_H!$3:$3,0))</f>
        <v/>
      </c>
      <c r="I54" s="102">
        <f>INDEX(FS_H!54:54,,MATCH(I$2,FS_H!$3:$3,0))</f>
        <v/>
      </c>
      <c r="J54" s="102">
        <f>INDEX(FS_H!54:54,,MATCH(J$2,FS_H!$3:$3,0))</f>
        <v/>
      </c>
      <c r="K54" s="102">
        <f>INDEX(FS_H!54:54,,MATCH(K$2,FS_H!$3:$3,0))</f>
        <v/>
      </c>
      <c r="L54" s="102">
        <f>INDEX(FS_H!54:54,,MATCH(L$2,FS_H!$3:$3,0))</f>
        <v/>
      </c>
      <c r="M54" s="102">
        <f>INDEX(FS_H!54:54,,MATCH(M$2,FS_H!$3:$3,0))</f>
        <v/>
      </c>
      <c r="N54" s="102">
        <f>INDEX(FS_H!54:54,,MATCH(N$2,FS_H!$3:$3,0))</f>
        <v/>
      </c>
      <c r="O54" s="102">
        <f>INDEX(FS_H!54:54,,MATCH(O$2,FS_H!$3:$3,0))</f>
        <v/>
      </c>
      <c r="P54" s="102">
        <f>INDEX(FS_H!54:54,,MATCH(P$2,FS_H!$3:$3,0))</f>
        <v/>
      </c>
      <c r="Q54" s="102">
        <f>INDEX(FS_H!54:54,,MATCH(Q$2,FS_H!$3:$3,0))</f>
        <v/>
      </c>
      <c r="R54" s="102">
        <f>INDEX(FS_H!54:54,,MATCH(R$2,FS_H!$3:$3,0))</f>
        <v/>
      </c>
      <c r="S54" s="102">
        <f>INDEX(FS_H!54:54,,MATCH(S$2,FS_H!$3:$3,0))</f>
        <v/>
      </c>
      <c r="T54" s="102">
        <f>INDEX(FS_H!54:54,,MATCH(T$2,FS_H!$3:$3,0))</f>
        <v/>
      </c>
      <c r="U54" s="102">
        <f>INDEX(FS_H!54:54,,MATCH(U$2,FS_H!$3:$3,0))</f>
        <v/>
      </c>
    </row>
    <row r="55">
      <c r="A55" s="74" t="inlineStr">
        <is>
          <t>Others</t>
        </is>
      </c>
      <c r="G55" s="102">
        <f>INDEX(FS_H!55:55,,MATCH(G$2,FS_H!$3:$3,0))</f>
        <v/>
      </c>
      <c r="H55" s="102">
        <f>INDEX(FS_H!55:55,,MATCH(H$2,FS_H!$3:$3,0))</f>
        <v/>
      </c>
      <c r="I55" s="102">
        <f>INDEX(FS_H!55:55,,MATCH(I$2,FS_H!$3:$3,0))</f>
        <v/>
      </c>
      <c r="J55" s="102">
        <f>INDEX(FS_H!55:55,,MATCH(J$2,FS_H!$3:$3,0))</f>
        <v/>
      </c>
      <c r="K55" s="102">
        <f>INDEX(FS_H!55:55,,MATCH(K$2,FS_H!$3:$3,0))</f>
        <v/>
      </c>
      <c r="L55" s="102">
        <f>INDEX(FS_H!55:55,,MATCH(L$2,FS_H!$3:$3,0))</f>
        <v/>
      </c>
      <c r="M55" s="102">
        <f>INDEX(FS_H!55:55,,MATCH(M$2,FS_H!$3:$3,0))</f>
        <v/>
      </c>
      <c r="N55" s="102">
        <f>INDEX(FS_H!55:55,,MATCH(N$2,FS_H!$3:$3,0))</f>
        <v/>
      </c>
      <c r="O55" s="102">
        <f>INDEX(FS_H!55:55,,MATCH(O$2,FS_H!$3:$3,0))</f>
        <v/>
      </c>
      <c r="P55" s="102">
        <f>INDEX(FS_H!55:55,,MATCH(P$2,FS_H!$3:$3,0))</f>
        <v/>
      </c>
      <c r="Q55" s="102">
        <f>INDEX(FS_H!55:55,,MATCH(Q$2,FS_H!$3:$3,0))</f>
        <v/>
      </c>
      <c r="R55" s="102">
        <f>INDEX(FS_H!55:55,,MATCH(R$2,FS_H!$3:$3,0))</f>
        <v/>
      </c>
      <c r="S55" s="102">
        <f>INDEX(FS_H!55:55,,MATCH(S$2,FS_H!$3:$3,0))</f>
        <v/>
      </c>
      <c r="T55" s="102">
        <f>INDEX(FS_H!55:55,,MATCH(T$2,FS_H!$3:$3,0))</f>
        <v/>
      </c>
      <c r="U55" s="102">
        <f>INDEX(FS_H!55:55,,MATCH(U$2,FS_H!$3:$3,0))</f>
        <v/>
      </c>
    </row>
    <row r="56">
      <c r="A56" s="40" t="inlineStr">
        <is>
          <t>Total non-current assets</t>
        </is>
      </c>
      <c r="G56" s="128">
        <f>SUM(G48:G55)</f>
        <v/>
      </c>
      <c r="H56" s="128">
        <f>SUM(H48:H55)</f>
        <v/>
      </c>
      <c r="I56" s="128">
        <f>SUM(I48:I55)</f>
        <v/>
      </c>
      <c r="J56" s="128">
        <f>SUM(J48:J55)</f>
        <v/>
      </c>
      <c r="K56" s="128">
        <f>SUM(K48:K55)</f>
        <v/>
      </c>
      <c r="L56" s="128">
        <f>SUM(L48:L55)</f>
        <v/>
      </c>
      <c r="M56" s="128">
        <f>SUM(M48:M55)</f>
        <v/>
      </c>
      <c r="N56" s="128">
        <f>SUM(N48:N55)</f>
        <v/>
      </c>
      <c r="O56" s="128">
        <f>SUM(O48:O55)</f>
        <v/>
      </c>
      <c r="P56" s="128">
        <f>SUM(P48:P55)</f>
        <v/>
      </c>
      <c r="Q56" s="128">
        <f>SUM(Q48:Q55)</f>
        <v/>
      </c>
      <c r="R56" s="128">
        <f>SUM(R48:R55)</f>
        <v/>
      </c>
      <c r="S56" s="128">
        <f>SUM(S48:S55)</f>
        <v/>
      </c>
      <c r="T56" s="128">
        <f>SUM(T48:T55)</f>
        <v/>
      </c>
      <c r="U56" s="128">
        <f>SUM(U48:U55)</f>
        <v/>
      </c>
    </row>
    <row r="57"/>
    <row r="58">
      <c r="A58" s="22" t="inlineStr">
        <is>
          <t>Total assets</t>
        </is>
      </c>
      <c r="G58" s="128">
        <f>G56+G45</f>
        <v/>
      </c>
      <c r="H58" s="128">
        <f>H56+H45</f>
        <v/>
      </c>
      <c r="I58" s="128">
        <f>I56+I45</f>
        <v/>
      </c>
      <c r="J58" s="128">
        <f>J56+J45</f>
        <v/>
      </c>
      <c r="K58" s="128">
        <f>K56+K45</f>
        <v/>
      </c>
      <c r="L58" s="128">
        <f>L56+L45</f>
        <v/>
      </c>
      <c r="M58" s="128">
        <f>M56+M45</f>
        <v/>
      </c>
      <c r="N58" s="128">
        <f>N56+N45</f>
        <v/>
      </c>
      <c r="O58" s="128">
        <f>O56+O45</f>
        <v/>
      </c>
      <c r="P58" s="128">
        <f>P56+P45</f>
        <v/>
      </c>
      <c r="Q58" s="128">
        <f>Q56+Q45</f>
        <v/>
      </c>
      <c r="R58" s="128">
        <f>R56+R45</f>
        <v/>
      </c>
      <c r="S58" s="128">
        <f>S56+S45</f>
        <v/>
      </c>
      <c r="T58" s="128">
        <f>T56+T45</f>
        <v/>
      </c>
      <c r="U58" s="128">
        <f>U56+U45</f>
        <v/>
      </c>
    </row>
    <row r="59">
      <c r="G59" s="102" t="n"/>
      <c r="H59" s="102" t="n"/>
      <c r="I59" s="102" t="n"/>
      <c r="J59" s="102" t="n"/>
      <c r="K59" s="102" t="n"/>
      <c r="L59" s="102" t="n"/>
      <c r="M59" s="102" t="n"/>
      <c r="N59" s="102" t="n"/>
      <c r="O59" s="102" t="n"/>
      <c r="P59" s="102" t="n"/>
      <c r="Q59" s="102" t="n"/>
      <c r="R59" s="102" t="n"/>
      <c r="S59" s="102" t="n"/>
      <c r="T59" s="102" t="n"/>
      <c r="U59" s="102" t="n"/>
    </row>
    <row r="60">
      <c r="A60" s="22" t="inlineStr">
        <is>
          <t>Current liabilities</t>
        </is>
      </c>
      <c r="G60" s="102" t="n"/>
      <c r="H60" s="102" t="n"/>
      <c r="I60" s="102" t="n"/>
      <c r="J60" s="102" t="n"/>
      <c r="K60" s="102" t="n"/>
      <c r="L60" s="102" t="n"/>
      <c r="M60" s="102" t="n"/>
      <c r="N60" s="102" t="n"/>
      <c r="O60" s="102" t="n"/>
      <c r="P60" s="102" t="n"/>
      <c r="Q60" s="102" t="n"/>
      <c r="R60" s="102" t="n"/>
      <c r="S60" s="102" t="n"/>
      <c r="T60" s="102" t="n"/>
      <c r="U60" s="102" t="n"/>
    </row>
    <row r="61">
      <c r="A61" s="74" t="inlineStr">
        <is>
          <t>Trade payables</t>
        </is>
      </c>
      <c r="G61" s="102">
        <f>INDEX(FS_H!61:61,,MATCH(G$2,FS_H!$3:$3,0))</f>
        <v/>
      </c>
      <c r="H61" s="102">
        <f>INDEX(FS_H!61:61,,MATCH(H$2,FS_H!$3:$3,0))</f>
        <v/>
      </c>
      <c r="I61" s="102">
        <f>INDEX(FS_H!61:61,,MATCH(I$2,FS_H!$3:$3,0))</f>
        <v/>
      </c>
      <c r="J61" s="102">
        <f>INDEX(FS_H!61:61,,MATCH(J$2,FS_H!$3:$3,0))</f>
        <v/>
      </c>
      <c r="K61" s="102">
        <f>INDEX(FS_H!61:61,,MATCH(K$2,FS_H!$3:$3,0))</f>
        <v/>
      </c>
      <c r="L61" s="102">
        <f>INDEX(FS_H!61:61,,MATCH(L$2,FS_H!$3:$3,0))</f>
        <v/>
      </c>
      <c r="M61" s="102">
        <f>INDEX(FS_H!61:61,,MATCH(M$2,FS_H!$3:$3,0))</f>
        <v/>
      </c>
      <c r="N61" s="102">
        <f>INDEX(FS_H!61:61,,MATCH(N$2,FS_H!$3:$3,0))</f>
        <v/>
      </c>
      <c r="O61" s="102">
        <f>INDEX(FS_H!61:61,,MATCH(O$2,FS_H!$3:$3,0))</f>
        <v/>
      </c>
      <c r="P61" s="102">
        <f>INDEX(FS_H!61:61,,MATCH(P$2,FS_H!$3:$3,0))</f>
        <v/>
      </c>
      <c r="Q61" s="102">
        <f>INDEX(FS_H!61:61,,MATCH(Q$2,FS_H!$3:$3,0))</f>
        <v/>
      </c>
      <c r="R61" s="102">
        <f>INDEX(FS_H!61:61,,MATCH(R$2,FS_H!$3:$3,0))</f>
        <v/>
      </c>
      <c r="S61" s="102">
        <f>INDEX(FS_H!61:61,,MATCH(S$2,FS_H!$3:$3,0))</f>
        <v/>
      </c>
      <c r="T61" s="102">
        <f>INDEX(FS_H!61:61,,MATCH(T$2,FS_H!$3:$3,0))</f>
        <v/>
      </c>
      <c r="U61" s="102">
        <f>INDEX(FS_H!61:61,,MATCH(U$2,FS_H!$3:$3,0))</f>
        <v/>
      </c>
    </row>
    <row r="62">
      <c r="A62" s="74" t="inlineStr">
        <is>
          <t>Customer payable</t>
        </is>
      </c>
      <c r="G62" s="102">
        <f>INDEX(FS_H!62:62,,MATCH(G$2,FS_H!$3:$3,0))</f>
        <v/>
      </c>
      <c r="H62" s="102">
        <f>INDEX(FS_H!62:62,,MATCH(H$2,FS_H!$3:$3,0))</f>
        <v/>
      </c>
      <c r="I62" s="102">
        <f>INDEX(FS_H!62:62,,MATCH(I$2,FS_H!$3:$3,0))</f>
        <v/>
      </c>
      <c r="J62" s="102">
        <f>INDEX(FS_H!62:62,,MATCH(J$2,FS_H!$3:$3,0))</f>
        <v/>
      </c>
      <c r="K62" s="102">
        <f>INDEX(FS_H!62:62,,MATCH(K$2,FS_H!$3:$3,0))</f>
        <v/>
      </c>
      <c r="L62" s="102">
        <f>INDEX(FS_H!62:62,,MATCH(L$2,FS_H!$3:$3,0))</f>
        <v/>
      </c>
      <c r="M62" s="102">
        <f>INDEX(FS_H!62:62,,MATCH(M$2,FS_H!$3:$3,0))</f>
        <v/>
      </c>
      <c r="N62" s="102">
        <f>INDEX(FS_H!62:62,,MATCH(N$2,FS_H!$3:$3,0))</f>
        <v/>
      </c>
      <c r="O62" s="102">
        <f>INDEX(FS_H!62:62,,MATCH(O$2,FS_H!$3:$3,0))</f>
        <v/>
      </c>
      <c r="P62" s="102">
        <f>INDEX(FS_H!62:62,,MATCH(P$2,FS_H!$3:$3,0))</f>
        <v/>
      </c>
      <c r="Q62" s="102">
        <f>INDEX(FS_H!62:62,,MATCH(Q$2,FS_H!$3:$3,0))</f>
        <v/>
      </c>
      <c r="R62" s="102">
        <f>INDEX(FS_H!62:62,,MATCH(R$2,FS_H!$3:$3,0))</f>
        <v/>
      </c>
      <c r="S62" s="102">
        <f>INDEX(FS_H!62:62,,MATCH(S$2,FS_H!$3:$3,0))</f>
        <v/>
      </c>
      <c r="T62" s="102">
        <f>INDEX(FS_H!62:62,,MATCH(T$2,FS_H!$3:$3,0))</f>
        <v/>
      </c>
      <c r="U62" s="102">
        <f>INDEX(FS_H!62:62,,MATCH(U$2,FS_H!$3:$3,0))</f>
        <v/>
      </c>
    </row>
    <row r="63">
      <c r="A63" s="74" t="inlineStr">
        <is>
          <t>Borrowings</t>
        </is>
      </c>
      <c r="G63" s="102">
        <f>INDEX(FS_H!63:63,,MATCH(G$2,FS_H!$3:$3,0))</f>
        <v/>
      </c>
      <c r="H63" s="102">
        <f>INDEX(FS_H!63:63,,MATCH(H$2,FS_H!$3:$3,0))</f>
        <v/>
      </c>
      <c r="I63" s="102">
        <f>INDEX(FS_H!63:63,,MATCH(I$2,FS_H!$3:$3,0))</f>
        <v/>
      </c>
      <c r="J63" s="102">
        <f>INDEX(FS_H!63:63,,MATCH(J$2,FS_H!$3:$3,0))</f>
        <v/>
      </c>
      <c r="K63" s="102">
        <f>INDEX(FS_H!63:63,,MATCH(K$2,FS_H!$3:$3,0))</f>
        <v/>
      </c>
      <c r="L63" s="102">
        <f>INDEX(FS_H!63:63,,MATCH(L$2,FS_H!$3:$3,0))</f>
        <v/>
      </c>
      <c r="M63" s="102">
        <f>INDEX(FS_H!63:63,,MATCH(M$2,FS_H!$3:$3,0))</f>
        <v/>
      </c>
      <c r="N63" s="102">
        <f>INDEX(FS_H!63:63,,MATCH(N$2,FS_H!$3:$3,0))</f>
        <v/>
      </c>
      <c r="O63" s="102">
        <f>INDEX(FS_H!63:63,,MATCH(O$2,FS_H!$3:$3,0))</f>
        <v/>
      </c>
      <c r="P63" s="102">
        <f>INDEX(FS_H!63:63,,MATCH(P$2,FS_H!$3:$3,0))</f>
        <v/>
      </c>
      <c r="Q63" s="102">
        <f>INDEX(FS_H!63:63,,MATCH(Q$2,FS_H!$3:$3,0))</f>
        <v/>
      </c>
      <c r="R63" s="102">
        <f>INDEX(FS_H!63:63,,MATCH(R$2,FS_H!$3:$3,0))</f>
        <v/>
      </c>
      <c r="S63" s="102">
        <f>INDEX(FS_H!63:63,,MATCH(S$2,FS_H!$3:$3,0))</f>
        <v/>
      </c>
      <c r="T63" s="102">
        <f>INDEX(FS_H!63:63,,MATCH(T$2,FS_H!$3:$3,0))</f>
        <v/>
      </c>
      <c r="U63" s="102">
        <f>INDEX(FS_H!63:63,,MATCH(U$2,FS_H!$3:$3,0))</f>
        <v/>
      </c>
    </row>
    <row r="64">
      <c r="A64" s="74">
        <f>#REF!</f>
        <v/>
      </c>
      <c r="G64" s="102">
        <f>INDEX(FS_H!64:64,,MATCH(G$2,FS_H!$3:$3,0))</f>
        <v/>
      </c>
      <c r="H64" s="102">
        <f>INDEX(FS_H!64:64,,MATCH(H$2,FS_H!$3:$3,0))</f>
        <v/>
      </c>
      <c r="I64" s="102">
        <f>INDEX(FS_H!64:64,,MATCH(I$2,FS_H!$3:$3,0))</f>
        <v/>
      </c>
      <c r="J64" s="102">
        <f>INDEX(FS_H!64:64,,MATCH(J$2,FS_H!$3:$3,0))</f>
        <v/>
      </c>
      <c r="K64" s="102">
        <f>INDEX(FS_H!64:64,,MATCH(K$2,FS_H!$3:$3,0))</f>
        <v/>
      </c>
      <c r="L64" s="102">
        <f>INDEX(FS_H!64:64,,MATCH(L$2,FS_H!$3:$3,0))</f>
        <v/>
      </c>
      <c r="M64" s="102">
        <f>INDEX(FS_H!64:64,,MATCH(M$2,FS_H!$3:$3,0))</f>
        <v/>
      </c>
      <c r="N64" s="102">
        <f>INDEX(FS_H!64:64,,MATCH(N$2,FS_H!$3:$3,0))</f>
        <v/>
      </c>
      <c r="O64" s="102">
        <f>INDEX(FS_H!64:64,,MATCH(O$2,FS_H!$3:$3,0))</f>
        <v/>
      </c>
      <c r="P64" s="102">
        <f>INDEX(FS_H!64:64,,MATCH(P$2,FS_H!$3:$3,0))</f>
        <v/>
      </c>
      <c r="Q64" s="102">
        <f>INDEX(FS_H!64:64,,MATCH(Q$2,FS_H!$3:$3,0))</f>
        <v/>
      </c>
      <c r="R64" s="102">
        <f>INDEX(FS_H!64:64,,MATCH(R$2,FS_H!$3:$3,0))</f>
        <v/>
      </c>
      <c r="S64" s="102">
        <f>INDEX(FS_H!64:64,,MATCH(S$2,FS_H!$3:$3,0))</f>
        <v/>
      </c>
      <c r="T64" s="102">
        <f>INDEX(FS_H!64:64,,MATCH(T$2,FS_H!$3:$3,0))</f>
        <v/>
      </c>
      <c r="U64" s="102">
        <f>INDEX(FS_H!64:64,,MATCH(U$2,FS_H!$3:$3,0))</f>
        <v/>
      </c>
    </row>
    <row r="65">
      <c r="A65" s="74" t="inlineStr">
        <is>
          <t>Taxes payable</t>
        </is>
      </c>
      <c r="G65" s="102">
        <f>INDEX(FS_H!65:65,,MATCH(G$2,FS_H!$3:$3,0))</f>
        <v/>
      </c>
      <c r="H65" s="102">
        <f>INDEX(FS_H!65:65,,MATCH(H$2,FS_H!$3:$3,0))</f>
        <v/>
      </c>
      <c r="I65" s="102">
        <f>INDEX(FS_H!65:65,,MATCH(I$2,FS_H!$3:$3,0))</f>
        <v/>
      </c>
      <c r="J65" s="102">
        <f>INDEX(FS_H!65:65,,MATCH(J$2,FS_H!$3:$3,0))</f>
        <v/>
      </c>
      <c r="K65" s="102">
        <f>INDEX(FS_H!65:65,,MATCH(K$2,FS_H!$3:$3,0))</f>
        <v/>
      </c>
      <c r="L65" s="102">
        <f>INDEX(FS_H!65:65,,MATCH(L$2,FS_H!$3:$3,0))</f>
        <v/>
      </c>
      <c r="M65" s="102">
        <f>INDEX(FS_H!65:65,,MATCH(M$2,FS_H!$3:$3,0))</f>
        <v/>
      </c>
      <c r="N65" s="102">
        <f>INDEX(FS_H!65:65,,MATCH(N$2,FS_H!$3:$3,0))</f>
        <v/>
      </c>
      <c r="O65" s="102">
        <f>INDEX(FS_H!65:65,,MATCH(O$2,FS_H!$3:$3,0))</f>
        <v/>
      </c>
      <c r="P65" s="102">
        <f>INDEX(FS_H!65:65,,MATCH(P$2,FS_H!$3:$3,0))</f>
        <v/>
      </c>
      <c r="Q65" s="102">
        <f>INDEX(FS_H!65:65,,MATCH(Q$2,FS_H!$3:$3,0))</f>
        <v/>
      </c>
      <c r="R65" s="102">
        <f>INDEX(FS_H!65:65,,MATCH(R$2,FS_H!$3:$3,0))</f>
        <v/>
      </c>
      <c r="S65" s="102">
        <f>INDEX(FS_H!65:65,,MATCH(S$2,FS_H!$3:$3,0))</f>
        <v/>
      </c>
      <c r="T65" s="102">
        <f>INDEX(FS_H!65:65,,MATCH(T$2,FS_H!$3:$3,0))</f>
        <v/>
      </c>
      <c r="U65" s="102">
        <f>INDEX(FS_H!65:65,,MATCH(U$2,FS_H!$3:$3,0))</f>
        <v/>
      </c>
    </row>
    <row r="66">
      <c r="A66" s="74" t="inlineStr">
        <is>
          <t>Others</t>
        </is>
      </c>
      <c r="G66" s="102">
        <f>INDEX(FS_H!66:66,,MATCH(G$2,FS_H!$3:$3,0))</f>
        <v/>
      </c>
      <c r="H66" s="102">
        <f>INDEX(FS_H!66:66,,MATCH(H$2,FS_H!$3:$3,0))</f>
        <v/>
      </c>
      <c r="I66" s="102">
        <f>INDEX(FS_H!66:66,,MATCH(I$2,FS_H!$3:$3,0))</f>
        <v/>
      </c>
      <c r="J66" s="102">
        <f>INDEX(FS_H!66:66,,MATCH(J$2,FS_H!$3:$3,0))</f>
        <v/>
      </c>
      <c r="K66" s="102">
        <f>INDEX(FS_H!66:66,,MATCH(K$2,FS_H!$3:$3,0))</f>
        <v/>
      </c>
      <c r="L66" s="102">
        <f>INDEX(FS_H!66:66,,MATCH(L$2,FS_H!$3:$3,0))</f>
        <v/>
      </c>
      <c r="M66" s="102">
        <f>INDEX(FS_H!66:66,,MATCH(M$2,FS_H!$3:$3,0))</f>
        <v/>
      </c>
      <c r="N66" s="102">
        <f>INDEX(FS_H!66:66,,MATCH(N$2,FS_H!$3:$3,0))</f>
        <v/>
      </c>
      <c r="O66" s="102">
        <f>INDEX(FS_H!66:66,,MATCH(O$2,FS_H!$3:$3,0))</f>
        <v/>
      </c>
      <c r="P66" s="102">
        <f>INDEX(FS_H!66:66,,MATCH(P$2,FS_H!$3:$3,0))</f>
        <v/>
      </c>
      <c r="Q66" s="102">
        <f>INDEX(FS_H!66:66,,MATCH(Q$2,FS_H!$3:$3,0))</f>
        <v/>
      </c>
      <c r="R66" s="102">
        <f>INDEX(FS_H!66:66,,MATCH(R$2,FS_H!$3:$3,0))</f>
        <v/>
      </c>
      <c r="S66" s="102">
        <f>INDEX(FS_H!66:66,,MATCH(S$2,FS_H!$3:$3,0))</f>
        <v/>
      </c>
      <c r="T66" s="102">
        <f>INDEX(FS_H!66:66,,MATCH(T$2,FS_H!$3:$3,0))</f>
        <v/>
      </c>
      <c r="U66" s="102">
        <f>INDEX(FS_H!66:66,,MATCH(U$2,FS_H!$3:$3,0))</f>
        <v/>
      </c>
    </row>
    <row r="67">
      <c r="A67" s="40" t="inlineStr">
        <is>
          <t>Total current liabilities</t>
        </is>
      </c>
      <c r="G67" s="128">
        <f>SUM(G61:G66)</f>
        <v/>
      </c>
      <c r="H67" s="128">
        <f>SUM(H61:H66)</f>
        <v/>
      </c>
      <c r="I67" s="128">
        <f>SUM(I61:I66)</f>
        <v/>
      </c>
      <c r="J67" s="128">
        <f>SUM(J61:J66)</f>
        <v/>
      </c>
      <c r="K67" s="128">
        <f>SUM(K61:K66)</f>
        <v/>
      </c>
      <c r="L67" s="128">
        <f>SUM(L61:L66)</f>
        <v/>
      </c>
      <c r="M67" s="128">
        <f>SUM(M61:M66)</f>
        <v/>
      </c>
      <c r="N67" s="128">
        <f>SUM(N61:N66)</f>
        <v/>
      </c>
      <c r="O67" s="128">
        <f>SUM(O61:O66)</f>
        <v/>
      </c>
      <c r="P67" s="128">
        <f>SUM(P61:P66)</f>
        <v/>
      </c>
      <c r="Q67" s="128">
        <f>SUM(Q61:Q66)</f>
        <v/>
      </c>
      <c r="R67" s="128">
        <f>SUM(R61:R66)</f>
        <v/>
      </c>
      <c r="S67" s="128">
        <f>SUM(S61:S66)</f>
        <v/>
      </c>
      <c r="T67" s="128">
        <f>SUM(T61:T66)</f>
        <v/>
      </c>
      <c r="U67" s="128">
        <f>SUM(U61:U66)</f>
        <v/>
      </c>
    </row>
    <row r="68">
      <c r="G68" s="31" t="n"/>
      <c r="H68" s="31" t="n"/>
      <c r="I68" s="31" t="n"/>
      <c r="J68" s="31" t="n"/>
      <c r="K68" s="31" t="n"/>
      <c r="L68" s="31" t="n"/>
      <c r="M68" s="31" t="n"/>
      <c r="N68" s="31" t="n"/>
      <c r="O68" s="31" t="n"/>
      <c r="P68" s="31" t="n"/>
      <c r="Q68" s="31" t="n"/>
      <c r="R68" s="31" t="n"/>
      <c r="S68" s="31" t="n"/>
      <c r="T68" s="31" t="n"/>
      <c r="U68" s="31" t="n"/>
    </row>
    <row r="69">
      <c r="A69" s="22" t="inlineStr">
        <is>
          <t>Net current assets</t>
        </is>
      </c>
      <c r="G69" s="86">
        <f>G45-G67</f>
        <v/>
      </c>
      <c r="H69" s="86">
        <f>H45-H67</f>
        <v/>
      </c>
      <c r="I69" s="86">
        <f>I45-I67</f>
        <v/>
      </c>
      <c r="J69" s="86">
        <f>J45-J67</f>
        <v/>
      </c>
      <c r="K69" s="86">
        <f>K45-K67</f>
        <v/>
      </c>
      <c r="L69" s="86">
        <f>L45-L67</f>
        <v/>
      </c>
      <c r="M69" s="86">
        <f>M45-M67</f>
        <v/>
      </c>
      <c r="N69" s="86">
        <f>N45-N67</f>
        <v/>
      </c>
      <c r="O69" s="86">
        <f>O45-O67</f>
        <v/>
      </c>
      <c r="P69" s="86">
        <f>P45-P67</f>
        <v/>
      </c>
      <c r="Q69" s="86">
        <f>Q45-Q67</f>
        <v/>
      </c>
      <c r="R69" s="86">
        <f>R45-R67</f>
        <v/>
      </c>
      <c r="S69" s="86">
        <f>S45-S67</f>
        <v/>
      </c>
      <c r="T69" s="86">
        <f>T45-T67</f>
        <v/>
      </c>
      <c r="U69" s="86">
        <f>U45-U67</f>
        <v/>
      </c>
    </row>
    <row r="70">
      <c r="A70" s="22" t="inlineStr">
        <is>
          <t>Total assets less current liabilities</t>
        </is>
      </c>
      <c r="G70" s="86">
        <f>G58-G67</f>
        <v/>
      </c>
      <c r="H70" s="86">
        <f>H58-H67</f>
        <v/>
      </c>
      <c r="I70" s="86">
        <f>I58-I67</f>
        <v/>
      </c>
      <c r="J70" s="86">
        <f>J58-J67</f>
        <v/>
      </c>
      <c r="K70" s="86">
        <f>K58-K67</f>
        <v/>
      </c>
      <c r="L70" s="86">
        <f>L58-L67</f>
        <v/>
      </c>
      <c r="M70" s="86">
        <f>M58-M67</f>
        <v/>
      </c>
      <c r="N70" s="86">
        <f>N58-N67</f>
        <v/>
      </c>
      <c r="O70" s="86">
        <f>O58-O67</f>
        <v/>
      </c>
      <c r="P70" s="86">
        <f>P58-P67</f>
        <v/>
      </c>
      <c r="Q70" s="86">
        <f>Q58-Q67</f>
        <v/>
      </c>
      <c r="R70" s="86">
        <f>R58-R67</f>
        <v/>
      </c>
      <c r="S70" s="86">
        <f>S58-S67</f>
        <v/>
      </c>
      <c r="T70" s="86">
        <f>T58-T67</f>
        <v/>
      </c>
      <c r="U70" s="86">
        <f>U58-U67</f>
        <v/>
      </c>
    </row>
    <row r="71">
      <c r="G71" s="76" t="n"/>
      <c r="H71" s="76" t="n"/>
      <c r="I71" s="76" t="n"/>
      <c r="J71" s="76" t="n"/>
      <c r="K71" s="76" t="n"/>
      <c r="L71" s="76" t="n"/>
      <c r="M71" s="76" t="n"/>
      <c r="N71" s="76" t="n"/>
      <c r="O71" s="76" t="n"/>
      <c r="P71" s="76" t="n"/>
      <c r="Q71" s="76" t="n"/>
      <c r="R71" s="76" t="n"/>
      <c r="S71" s="76" t="n"/>
      <c r="T71" s="76" t="n"/>
      <c r="U71" s="76" t="n"/>
    </row>
    <row r="72">
      <c r="A72" s="22" t="inlineStr">
        <is>
          <t>Non-current liabilities</t>
        </is>
      </c>
      <c r="G72" s="31" t="n"/>
      <c r="H72" s="31" t="n"/>
      <c r="I72" s="31" t="n"/>
      <c r="J72" s="31" t="n"/>
      <c r="K72" s="31" t="n"/>
      <c r="L72" s="31" t="n"/>
      <c r="M72" s="31" t="n"/>
      <c r="N72" s="31" t="n"/>
      <c r="O72" s="31" t="n"/>
      <c r="P72" s="31" t="n"/>
      <c r="Q72" s="31" t="n"/>
      <c r="R72" s="31" t="n"/>
      <c r="S72" s="31" t="n"/>
      <c r="T72" s="31" t="n"/>
      <c r="U72" s="31" t="n"/>
    </row>
    <row r="73">
      <c r="A73" s="74" t="inlineStr">
        <is>
          <t>Borrowings</t>
        </is>
      </c>
      <c r="G73" s="102">
        <f>INDEX(FS_H!73:73,,MATCH(G$2,FS_H!$3:$3,0))</f>
        <v/>
      </c>
      <c r="H73" s="102">
        <f>INDEX(FS_H!73:73,,MATCH(H$2,FS_H!$3:$3,0))</f>
        <v/>
      </c>
      <c r="I73" s="102">
        <f>INDEX(FS_H!73:73,,MATCH(I$2,FS_H!$3:$3,0))</f>
        <v/>
      </c>
      <c r="J73" s="102">
        <f>INDEX(FS_H!73:73,,MATCH(J$2,FS_H!$3:$3,0))</f>
        <v/>
      </c>
      <c r="K73" s="102">
        <f>INDEX(FS_H!73:73,,MATCH(K$2,FS_H!$3:$3,0))</f>
        <v/>
      </c>
      <c r="L73" s="102">
        <f>INDEX(FS_H!73:73,,MATCH(L$2,FS_H!$3:$3,0))</f>
        <v/>
      </c>
      <c r="M73" s="102">
        <f>INDEX(FS_H!73:73,,MATCH(M$2,FS_H!$3:$3,0))</f>
        <v/>
      </c>
      <c r="N73" s="102">
        <f>INDEX(FS_H!73:73,,MATCH(N$2,FS_H!$3:$3,0))</f>
        <v/>
      </c>
      <c r="O73" s="102">
        <f>INDEX(FS_H!73:73,,MATCH(O$2,FS_H!$3:$3,0))</f>
        <v/>
      </c>
      <c r="P73" s="102">
        <f>INDEX(FS_H!73:73,,MATCH(P$2,FS_H!$3:$3,0))</f>
        <v/>
      </c>
      <c r="Q73" s="102">
        <f>INDEX(FS_H!73:73,,MATCH(Q$2,FS_H!$3:$3,0))</f>
        <v/>
      </c>
      <c r="R73" s="102">
        <f>INDEX(FS_H!73:73,,MATCH(R$2,FS_H!$3:$3,0))</f>
        <v/>
      </c>
      <c r="S73" s="102">
        <f>INDEX(FS_H!73:73,,MATCH(S$2,FS_H!$3:$3,0))</f>
        <v/>
      </c>
      <c r="T73" s="102">
        <f>INDEX(FS_H!73:73,,MATCH(T$2,FS_H!$3:$3,0))</f>
        <v/>
      </c>
      <c r="U73" s="102">
        <f>INDEX(FS_H!73:73,,MATCH(U$2,FS_H!$3:$3,0))</f>
        <v/>
      </c>
    </row>
    <row r="74">
      <c r="A74" s="74" t="inlineStr">
        <is>
          <t>Convertible bond</t>
        </is>
      </c>
      <c r="G74" s="374" t="n"/>
      <c r="H74" s="374" t="n"/>
      <c r="I74" s="374" t="n"/>
      <c r="J74" s="374" t="n"/>
      <c r="K74" s="374" t="n"/>
      <c r="L74" s="374" t="n"/>
      <c r="M74" s="374" t="n"/>
      <c r="N74" s="374" t="n"/>
      <c r="O74" s="102" t="n"/>
      <c r="P74" s="102">
        <f>INDEX(FS_H!74:74,,MATCH(P$2,FS_H!$3:$3,0))</f>
        <v/>
      </c>
      <c r="Q74" s="102">
        <f>INDEX(FS_H!74:74,,MATCH(Q$2,FS_H!$3:$3,0))</f>
        <v/>
      </c>
      <c r="R74" s="102">
        <f>INDEX(FS_H!74:74,,MATCH(R$2,FS_H!$3:$3,0))</f>
        <v/>
      </c>
      <c r="S74" s="102">
        <f>INDEX(FS_H!74:74,,MATCH(S$2,FS_H!$3:$3,0))</f>
        <v/>
      </c>
      <c r="T74" s="102">
        <f>INDEX(FS_H!74:74,,MATCH(T$2,FS_H!$3:$3,0))</f>
        <v/>
      </c>
      <c r="U74" s="102">
        <f>INDEX(FS_H!74:74,,MATCH(U$2,FS_H!$3:$3,0))</f>
        <v/>
      </c>
    </row>
    <row r="75">
      <c r="A75" s="74" t="inlineStr">
        <is>
          <t>Government grants</t>
        </is>
      </c>
      <c r="G75" s="102">
        <f>INDEX(FS_H!75:75,,MATCH(G$2,FS_H!$3:$3,0))</f>
        <v/>
      </c>
      <c r="H75" s="102">
        <f>INDEX(FS_H!75:75,,MATCH(H$2,FS_H!$3:$3,0))</f>
        <v/>
      </c>
      <c r="I75" s="102">
        <f>INDEX(FS_H!75:75,,MATCH(I$2,FS_H!$3:$3,0))</f>
        <v/>
      </c>
      <c r="J75" s="102">
        <f>INDEX(FS_H!75:75,,MATCH(J$2,FS_H!$3:$3,0))</f>
        <v/>
      </c>
      <c r="K75" s="102">
        <f>INDEX(FS_H!75:75,,MATCH(K$2,FS_H!$3:$3,0))</f>
        <v/>
      </c>
      <c r="L75" s="102">
        <f>INDEX(FS_H!75:75,,MATCH(L$2,FS_H!$3:$3,0))</f>
        <v/>
      </c>
      <c r="M75" s="102">
        <f>INDEX(FS_H!75:75,,MATCH(M$2,FS_H!$3:$3,0))</f>
        <v/>
      </c>
      <c r="N75" s="102">
        <f>INDEX(FS_H!75:75,,MATCH(N$2,FS_H!$3:$3,0))</f>
        <v/>
      </c>
      <c r="O75" s="102">
        <f>INDEX(FS_H!75:75,,MATCH(O$2,FS_H!$3:$3,0))</f>
        <v/>
      </c>
      <c r="P75" s="102">
        <f>INDEX(FS_H!75:75,,MATCH(P$2,FS_H!$3:$3,0))</f>
        <v/>
      </c>
      <c r="Q75" s="102">
        <f>INDEX(FS_H!75:75,,MATCH(Q$2,FS_H!$3:$3,0))</f>
        <v/>
      </c>
      <c r="R75" s="102">
        <f>INDEX(FS_H!75:75,,MATCH(R$2,FS_H!$3:$3,0))</f>
        <v/>
      </c>
      <c r="S75" s="102">
        <f>INDEX(FS_H!75:75,,MATCH(S$2,FS_H!$3:$3,0))</f>
        <v/>
      </c>
      <c r="T75" s="102">
        <f>INDEX(FS_H!75:75,,MATCH(T$2,FS_H!$3:$3,0))</f>
        <v/>
      </c>
      <c r="U75" s="102">
        <f>INDEX(FS_H!75:75,,MATCH(U$2,FS_H!$3:$3,0))</f>
        <v/>
      </c>
    </row>
    <row r="76">
      <c r="A76" s="74" t="inlineStr">
        <is>
          <t>Provisions</t>
        </is>
      </c>
      <c r="G76" s="102">
        <f>INDEX(FS_H!76:76,,MATCH(G$2,FS_H!$3:$3,0))</f>
        <v/>
      </c>
      <c r="H76" s="102">
        <f>INDEX(FS_H!76:76,,MATCH(H$2,FS_H!$3:$3,0))</f>
        <v/>
      </c>
      <c r="I76" s="102">
        <f>INDEX(FS_H!76:76,,MATCH(I$2,FS_H!$3:$3,0))</f>
        <v/>
      </c>
      <c r="J76" s="102">
        <f>INDEX(FS_H!76:76,,MATCH(J$2,FS_H!$3:$3,0))</f>
        <v/>
      </c>
      <c r="K76" s="102">
        <f>INDEX(FS_H!76:76,,MATCH(K$2,FS_H!$3:$3,0))</f>
        <v/>
      </c>
      <c r="L76" s="102">
        <f>INDEX(FS_H!76:76,,MATCH(L$2,FS_H!$3:$3,0))</f>
        <v/>
      </c>
      <c r="M76" s="102">
        <f>INDEX(FS_H!76:76,,MATCH(M$2,FS_H!$3:$3,0))</f>
        <v/>
      </c>
      <c r="N76" s="102">
        <f>INDEX(FS_H!76:76,,MATCH(N$2,FS_H!$3:$3,0))</f>
        <v/>
      </c>
      <c r="O76" s="102">
        <f>INDEX(FS_H!76:76,,MATCH(O$2,FS_H!$3:$3,0))</f>
        <v/>
      </c>
      <c r="P76" s="102">
        <f>INDEX(FS_H!76:76,,MATCH(P$2,FS_H!$3:$3,0))</f>
        <v/>
      </c>
      <c r="Q76" s="102">
        <f>INDEX(FS_H!76:76,,MATCH(Q$2,FS_H!$3:$3,0))</f>
        <v/>
      </c>
      <c r="R76" s="102">
        <f>INDEX(FS_H!76:76,,MATCH(R$2,FS_H!$3:$3,0))</f>
        <v/>
      </c>
      <c r="S76" s="102">
        <f>INDEX(FS_H!76:76,,MATCH(S$2,FS_H!$3:$3,0))</f>
        <v/>
      </c>
      <c r="T76" s="102">
        <f>INDEX(FS_H!76:76,,MATCH(T$2,FS_H!$3:$3,0))</f>
        <v/>
      </c>
      <c r="U76" s="102">
        <f>INDEX(FS_H!76:76,,MATCH(U$2,FS_H!$3:$3,0))</f>
        <v/>
      </c>
    </row>
    <row r="77">
      <c r="A77" s="74">
        <f>#REF!</f>
        <v/>
      </c>
      <c r="G77" s="102">
        <f>INDEX(FS_H!77:77,,MATCH(G$2,FS_H!$3:$3,0))</f>
        <v/>
      </c>
      <c r="H77" s="102">
        <f>INDEX(FS_H!77:77,,MATCH(H$2,FS_H!$3:$3,0))</f>
        <v/>
      </c>
      <c r="I77" s="102">
        <f>INDEX(FS_H!77:77,,MATCH(I$2,FS_H!$3:$3,0))</f>
        <v/>
      </c>
      <c r="J77" s="102">
        <f>INDEX(FS_H!77:77,,MATCH(J$2,FS_H!$3:$3,0))</f>
        <v/>
      </c>
      <c r="K77" s="102">
        <f>INDEX(FS_H!77:77,,MATCH(K$2,FS_H!$3:$3,0))</f>
        <v/>
      </c>
      <c r="L77" s="102">
        <f>INDEX(FS_H!77:77,,MATCH(L$2,FS_H!$3:$3,0))</f>
        <v/>
      </c>
      <c r="M77" s="102">
        <f>INDEX(FS_H!77:77,,MATCH(M$2,FS_H!$3:$3,0))</f>
        <v/>
      </c>
      <c r="N77" s="102">
        <f>INDEX(FS_H!77:77,,MATCH(N$2,FS_H!$3:$3,0))</f>
        <v/>
      </c>
      <c r="O77" s="102">
        <f>INDEX(FS_H!77:77,,MATCH(O$2,FS_H!$3:$3,0))</f>
        <v/>
      </c>
      <c r="P77" s="102">
        <f>INDEX(FS_H!77:77,,MATCH(P$2,FS_H!$3:$3,0))</f>
        <v/>
      </c>
      <c r="Q77" s="102">
        <f>INDEX(FS_H!77:77,,MATCH(Q$2,FS_H!$3:$3,0))</f>
        <v/>
      </c>
      <c r="R77" s="102">
        <f>INDEX(FS_H!77:77,,MATCH(R$2,FS_H!$3:$3,0))</f>
        <v/>
      </c>
      <c r="S77" s="102">
        <f>INDEX(FS_H!77:77,,MATCH(S$2,FS_H!$3:$3,0))</f>
        <v/>
      </c>
      <c r="T77" s="102">
        <f>INDEX(FS_H!77:77,,MATCH(T$2,FS_H!$3:$3,0))</f>
        <v/>
      </c>
      <c r="U77" s="102">
        <f>INDEX(FS_H!77:77,,MATCH(U$2,FS_H!$3:$3,0))</f>
        <v/>
      </c>
    </row>
    <row r="78">
      <c r="A78" s="74" t="inlineStr">
        <is>
          <t>Others</t>
        </is>
      </c>
      <c r="G78" s="102">
        <f>INDEX(FS_H!78:78,,MATCH(G$2,FS_H!$3:$3,0))</f>
        <v/>
      </c>
      <c r="H78" s="102">
        <f>INDEX(FS_H!78:78,,MATCH(H$2,FS_H!$3:$3,0))</f>
        <v/>
      </c>
      <c r="I78" s="102">
        <f>INDEX(FS_H!78:78,,MATCH(I$2,FS_H!$3:$3,0))</f>
        <v/>
      </c>
      <c r="J78" s="102">
        <f>INDEX(FS_H!78:78,,MATCH(J$2,FS_H!$3:$3,0))</f>
        <v/>
      </c>
      <c r="K78" s="102">
        <f>INDEX(FS_H!78:78,,MATCH(K$2,FS_H!$3:$3,0))</f>
        <v/>
      </c>
      <c r="L78" s="102">
        <f>INDEX(FS_H!78:78,,MATCH(L$2,FS_H!$3:$3,0))</f>
        <v/>
      </c>
      <c r="M78" s="102">
        <f>INDEX(FS_H!78:78,,MATCH(M$2,FS_H!$3:$3,0))</f>
        <v/>
      </c>
      <c r="N78" s="102">
        <f>INDEX(FS_H!78:78,,MATCH(N$2,FS_H!$3:$3,0))</f>
        <v/>
      </c>
      <c r="O78" s="102">
        <f>INDEX(FS_H!78:78,,MATCH(O$2,FS_H!$3:$3,0))</f>
        <v/>
      </c>
      <c r="P78" s="102">
        <f>INDEX(FS_H!78:78,,MATCH(P$2,FS_H!$3:$3,0))</f>
        <v/>
      </c>
      <c r="Q78" s="102">
        <f>INDEX(FS_H!78:78,,MATCH(Q$2,FS_H!$3:$3,0))</f>
        <v/>
      </c>
      <c r="R78" s="102">
        <f>INDEX(FS_H!78:78,,MATCH(R$2,FS_H!$3:$3,0))</f>
        <v/>
      </c>
      <c r="S78" s="102">
        <f>INDEX(FS_H!78:78,,MATCH(S$2,FS_H!$3:$3,0))</f>
        <v/>
      </c>
      <c r="T78" s="102">
        <f>INDEX(FS_H!78:78,,MATCH(T$2,FS_H!$3:$3,0))</f>
        <v/>
      </c>
      <c r="U78" s="102">
        <f>INDEX(FS_H!78:78,,MATCH(U$2,FS_H!$3:$3,0))</f>
        <v/>
      </c>
    </row>
    <row r="79">
      <c r="A79" s="40" t="inlineStr">
        <is>
          <t>Total non-current liabilities</t>
        </is>
      </c>
      <c r="G79" s="123">
        <f>SUM(G73:G78)</f>
        <v/>
      </c>
      <c r="H79" s="123">
        <f>SUM(H73:H78)</f>
        <v/>
      </c>
      <c r="I79" s="123">
        <f>SUM(I73:I78)</f>
        <v/>
      </c>
      <c r="J79" s="123">
        <f>SUM(J73:J78)</f>
        <v/>
      </c>
      <c r="K79" s="123">
        <f>SUM(K73:K78)</f>
        <v/>
      </c>
      <c r="L79" s="123">
        <f>SUM(L73:L78)</f>
        <v/>
      </c>
      <c r="M79" s="123">
        <f>SUM(M73:M78)</f>
        <v/>
      </c>
      <c r="N79" s="123">
        <f>SUM(N73:N78)</f>
        <v/>
      </c>
      <c r="O79" s="123">
        <f>SUM(O73:O78)</f>
        <v/>
      </c>
      <c r="P79" s="123">
        <f>SUM(P73:P78)</f>
        <v/>
      </c>
      <c r="Q79" s="123">
        <f>SUM(Q73:Q78)</f>
        <v/>
      </c>
      <c r="R79" s="123">
        <f>SUM(R73:R78)</f>
        <v/>
      </c>
      <c r="S79" s="123">
        <f>SUM(S73:S78)</f>
        <v/>
      </c>
      <c r="T79" s="123">
        <f>SUM(T73:T78)</f>
        <v/>
      </c>
      <c r="U79" s="123">
        <f>SUM(U73:U78)</f>
        <v/>
      </c>
    </row>
    <row r="80">
      <c r="G80" s="31" t="n"/>
      <c r="H80" s="31" t="n"/>
      <c r="I80" s="31" t="n"/>
      <c r="J80" s="31" t="n"/>
      <c r="K80" s="31" t="n"/>
      <c r="L80" s="31" t="n"/>
      <c r="M80" s="31" t="n"/>
      <c r="N80" s="31" t="n"/>
      <c r="O80" s="31" t="n"/>
      <c r="P80" s="31" t="n"/>
      <c r="Q80" s="31" t="n"/>
      <c r="R80" s="31" t="n"/>
      <c r="S80" s="31" t="n"/>
      <c r="T80" s="31" t="n"/>
      <c r="U80" s="31" t="n"/>
    </row>
    <row r="81">
      <c r="A81" s="22" t="inlineStr">
        <is>
          <t>Total liabilities</t>
        </is>
      </c>
      <c r="G81" s="121">
        <f>SUM(G67,G79)</f>
        <v/>
      </c>
      <c r="H81" s="121">
        <f>SUM(H67,H79)</f>
        <v/>
      </c>
      <c r="I81" s="121">
        <f>SUM(I67,I79)</f>
        <v/>
      </c>
      <c r="J81" s="121">
        <f>SUM(J67,J79)</f>
        <v/>
      </c>
      <c r="K81" s="121">
        <f>SUM(K67,K79)</f>
        <v/>
      </c>
      <c r="L81" s="121">
        <f>SUM(L67,L79)</f>
        <v/>
      </c>
      <c r="M81" s="121">
        <f>SUM(M67,M79)</f>
        <v/>
      </c>
      <c r="N81" s="121">
        <f>SUM(N67,N79)</f>
        <v/>
      </c>
      <c r="O81" s="121">
        <f>SUM(O67,O79)</f>
        <v/>
      </c>
      <c r="P81" s="121">
        <f>SUM(P67,P79)</f>
        <v/>
      </c>
      <c r="Q81" s="121">
        <f>SUM(Q67,Q79)</f>
        <v/>
      </c>
      <c r="R81" s="121">
        <f>SUM(R67,R79)</f>
        <v/>
      </c>
      <c r="S81" s="121">
        <f>SUM(S67,S79)</f>
        <v/>
      </c>
      <c r="T81" s="121">
        <f>SUM(T67,T79)</f>
        <v/>
      </c>
      <c r="U81" s="121">
        <f>SUM(U67,U79)</f>
        <v/>
      </c>
    </row>
    <row r="82">
      <c r="G82" s="31" t="n"/>
      <c r="H82" s="31" t="n"/>
      <c r="I82" s="31" t="n"/>
      <c r="J82" s="31" t="n"/>
      <c r="K82" s="31" t="n"/>
      <c r="L82" s="31" t="n"/>
      <c r="M82" s="31" t="n"/>
      <c r="N82" s="31" t="n"/>
      <c r="O82" s="31" t="n"/>
      <c r="P82" s="31" t="n"/>
      <c r="Q82" s="31" t="n"/>
      <c r="R82" s="31" t="n"/>
      <c r="S82" s="31" t="n"/>
      <c r="T82" s="31" t="n"/>
      <c r="U82" s="31" t="n"/>
    </row>
    <row r="83">
      <c r="A83" s="22" t="inlineStr">
        <is>
          <t>NET ASSETS</t>
        </is>
      </c>
      <c r="G83" s="121">
        <f>G58-G81</f>
        <v/>
      </c>
      <c r="H83" s="121">
        <f>H58-H81</f>
        <v/>
      </c>
      <c r="I83" s="121">
        <f>I58-I81</f>
        <v/>
      </c>
      <c r="J83" s="121">
        <f>J58-J81</f>
        <v/>
      </c>
      <c r="K83" s="121">
        <f>K58-K81</f>
        <v/>
      </c>
      <c r="L83" s="121">
        <f>L58-L81</f>
        <v/>
      </c>
      <c r="M83" s="121">
        <f>M58-M81</f>
        <v/>
      </c>
      <c r="N83" s="121">
        <f>N58-N81</f>
        <v/>
      </c>
      <c r="O83" s="121">
        <f>O58-O81</f>
        <v/>
      </c>
      <c r="P83" s="121">
        <f>P58-P81</f>
        <v/>
      </c>
      <c r="Q83" s="121">
        <f>Q58-Q81</f>
        <v/>
      </c>
      <c r="R83" s="121">
        <f>R58-R81</f>
        <v/>
      </c>
      <c r="S83" s="121">
        <f>S58-S81</f>
        <v/>
      </c>
      <c r="T83" s="121">
        <f>T58-T81</f>
        <v/>
      </c>
      <c r="U83" s="121">
        <f>U58-U81</f>
        <v/>
      </c>
    </row>
    <row r="84">
      <c r="G84" s="31" t="n"/>
      <c r="H84" s="31" t="n"/>
      <c r="I84" s="31" t="n"/>
      <c r="J84" s="31" t="n"/>
      <c r="K84" s="31" t="n"/>
      <c r="L84" s="31" t="n"/>
      <c r="M84" s="31" t="n"/>
      <c r="N84" s="31" t="n"/>
      <c r="O84" s="31" t="n"/>
      <c r="P84" s="31" t="n"/>
      <c r="Q84" s="31" t="n"/>
      <c r="R84" s="31" t="n"/>
      <c r="S84" s="31" t="n"/>
      <c r="T84" s="31" t="n"/>
      <c r="U84" s="31" t="n"/>
    </row>
    <row r="85">
      <c r="A85" s="22" t="inlineStr">
        <is>
          <t>Equity</t>
        </is>
      </c>
      <c r="G85" s="31" t="n"/>
      <c r="H85" s="31" t="n"/>
      <c r="I85" s="31" t="n"/>
      <c r="J85" s="31" t="n"/>
      <c r="K85" s="31" t="n"/>
      <c r="L85" s="31" t="n"/>
      <c r="M85" s="31" t="n"/>
      <c r="N85" s="31" t="n"/>
      <c r="O85" s="31" t="n"/>
      <c r="P85" s="31" t="n"/>
      <c r="Q85" s="31" t="n"/>
      <c r="R85" s="31" t="n"/>
      <c r="S85" s="31" t="n"/>
      <c r="T85" s="31" t="n"/>
      <c r="U85" s="31" t="n"/>
    </row>
    <row r="86">
      <c r="A86" s="74" t="inlineStr">
        <is>
          <t>Equity attributable to owners of the parent</t>
        </is>
      </c>
      <c r="G86" s="143" t="n"/>
      <c r="H86" s="143" t="n"/>
      <c r="I86" s="143" t="n"/>
      <c r="J86" s="143" t="n"/>
      <c r="K86" s="143" t="n"/>
      <c r="L86" s="143" t="n"/>
      <c r="M86" s="143" t="n"/>
      <c r="N86" s="143" t="n"/>
      <c r="O86" s="143" t="n"/>
      <c r="P86" s="143" t="n"/>
      <c r="Q86" s="143" t="n"/>
      <c r="R86" s="143" t="n"/>
      <c r="S86" s="143" t="n"/>
      <c r="T86" s="143" t="n"/>
      <c r="U86" s="143" t="n"/>
    </row>
    <row r="87">
      <c r="A87" s="33" t="inlineStr">
        <is>
          <t>Share capital</t>
        </is>
      </c>
      <c r="G87" s="102">
        <f>INDEX(FS_H!87:87,,MATCH(G$2,FS_H!$3:$3,0))</f>
        <v/>
      </c>
      <c r="H87" s="102">
        <f>INDEX(FS_H!87:87,,MATCH(H$2,FS_H!$3:$3,0))</f>
        <v/>
      </c>
      <c r="I87" s="102">
        <f>INDEX(FS_H!87:87,,MATCH(I$2,FS_H!$3:$3,0))</f>
        <v/>
      </c>
      <c r="J87" s="102">
        <f>INDEX(FS_H!87:87,,MATCH(J$2,FS_H!$3:$3,0))</f>
        <v/>
      </c>
      <c r="K87" s="102">
        <f>INDEX(FS_H!87:87,,MATCH(K$2,FS_H!$3:$3,0))</f>
        <v/>
      </c>
      <c r="L87" s="102">
        <f>INDEX(FS_H!87:87,,MATCH(L$2,FS_H!$3:$3,0))</f>
        <v/>
      </c>
      <c r="M87" s="102">
        <f>INDEX(FS_H!87:87,,MATCH(M$2,FS_H!$3:$3,0))</f>
        <v/>
      </c>
      <c r="N87" s="102">
        <f>INDEX(FS_H!87:87,,MATCH(N$2,FS_H!$3:$3,0))</f>
        <v/>
      </c>
      <c r="O87" s="102">
        <f>INDEX(FS_H!87:87,,MATCH(O$2,FS_H!$3:$3,0))</f>
        <v/>
      </c>
      <c r="P87" s="102">
        <f>INDEX(FS_H!87:87,,MATCH(P$2,FS_H!$3:$3,0))</f>
        <v/>
      </c>
      <c r="Q87" s="102">
        <f>INDEX(FS_H!87:87,,MATCH(Q$2,FS_H!$3:$3,0))</f>
        <v/>
      </c>
      <c r="R87" s="102">
        <f>INDEX(FS_H!87:87,,MATCH(R$2,FS_H!$3:$3,0))</f>
        <v/>
      </c>
      <c r="S87" s="102">
        <f>INDEX(FS_H!87:87,,MATCH(S$2,FS_H!$3:$3,0))</f>
        <v/>
      </c>
      <c r="T87" s="102">
        <f>INDEX(FS_H!87:87,,MATCH(T$2,FS_H!$3:$3,0))</f>
        <v/>
      </c>
      <c r="U87" s="102">
        <f>INDEX(FS_H!87:87,,MATCH(U$2,FS_H!$3:$3,0))</f>
        <v/>
      </c>
    </row>
    <row r="88">
      <c r="A88" s="33" t="inlineStr">
        <is>
          <t>Reserves</t>
        </is>
      </c>
      <c r="G88" s="102">
        <f>INDEX(FS_H!88:88,,MATCH(G$2,FS_H!$3:$3,0))</f>
        <v/>
      </c>
      <c r="H88" s="102">
        <f>INDEX(FS_H!88:88,,MATCH(H$2,FS_H!$3:$3,0))</f>
        <v/>
      </c>
      <c r="I88" s="102">
        <f>INDEX(FS_H!88:88,,MATCH(I$2,FS_H!$3:$3,0))</f>
        <v/>
      </c>
      <c r="J88" s="102">
        <f>INDEX(FS_H!88:88,,MATCH(J$2,FS_H!$3:$3,0))</f>
        <v/>
      </c>
      <c r="K88" s="102">
        <f>INDEX(FS_H!88:88,,MATCH(K$2,FS_H!$3:$3,0))</f>
        <v/>
      </c>
      <c r="L88" s="102">
        <f>INDEX(FS_H!88:88,,MATCH(L$2,FS_H!$3:$3,0))</f>
        <v/>
      </c>
      <c r="M88" s="102">
        <f>INDEX(FS_H!88:88,,MATCH(M$2,FS_H!$3:$3,0))</f>
        <v/>
      </c>
      <c r="N88" s="102">
        <f>INDEX(FS_H!88:88,,MATCH(N$2,FS_H!$3:$3,0))</f>
        <v/>
      </c>
      <c r="O88" s="102">
        <f>INDEX(FS_H!88:88,,MATCH(O$2,FS_H!$3:$3,0))</f>
        <v/>
      </c>
      <c r="P88" s="102">
        <f>INDEX(FS_H!88:88,,MATCH(P$2,FS_H!$3:$3,0))</f>
        <v/>
      </c>
      <c r="Q88" s="102">
        <f>INDEX(FS_H!88:88,,MATCH(Q$2,FS_H!$3:$3,0))</f>
        <v/>
      </c>
      <c r="R88" s="102">
        <f>INDEX(FS_H!88:88,,MATCH(R$2,FS_H!$3:$3,0))</f>
        <v/>
      </c>
      <c r="S88" s="102">
        <f>INDEX(FS_H!88:88,,MATCH(S$2,FS_H!$3:$3,0))</f>
        <v/>
      </c>
      <c r="T88" s="102">
        <f>INDEX(FS_H!88:88,,MATCH(T$2,FS_H!$3:$3,0))</f>
        <v/>
      </c>
      <c r="U88" s="102">
        <f>INDEX(FS_H!88:88,,MATCH(U$2,FS_H!$3:$3,0))</f>
        <v/>
      </c>
    </row>
    <row r="89">
      <c r="A89" s="22" t="inlineStr">
        <is>
          <t>Subtotal</t>
        </is>
      </c>
      <c r="G89" s="123">
        <f>SUM(G87:G88)</f>
        <v/>
      </c>
      <c r="H89" s="123">
        <f>SUM(H87:H88)</f>
        <v/>
      </c>
      <c r="I89" s="123">
        <f>SUM(I87:I88)</f>
        <v/>
      </c>
      <c r="J89" s="123">
        <f>SUM(J87:J88)</f>
        <v/>
      </c>
      <c r="K89" s="123">
        <f>SUM(K87:K88)</f>
        <v/>
      </c>
      <c r="L89" s="123">
        <f>SUM(L87:L88)</f>
        <v/>
      </c>
      <c r="M89" s="123">
        <f>SUM(M87:M88)</f>
        <v/>
      </c>
      <c r="N89" s="123">
        <f>SUM(N87:N88)</f>
        <v/>
      </c>
      <c r="O89" s="123">
        <f>SUM(O87:O88)</f>
        <v/>
      </c>
      <c r="P89" s="123">
        <f>SUM(P87:P88)</f>
        <v/>
      </c>
      <c r="Q89" s="123">
        <f>SUM(Q87:Q88)</f>
        <v/>
      </c>
      <c r="R89" s="123">
        <f>SUM(R87:R88)</f>
        <v/>
      </c>
      <c r="S89" s="123">
        <f>SUM(S87:S88)</f>
        <v/>
      </c>
      <c r="T89" s="123">
        <f>SUM(T87:T88)</f>
        <v/>
      </c>
      <c r="U89" s="123">
        <f>SUM(U87:U88)</f>
        <v/>
      </c>
    </row>
    <row r="90">
      <c r="A90" s="22" t="n"/>
      <c r="G90" s="76" t="n"/>
      <c r="H90" s="76" t="n"/>
      <c r="I90" s="76" t="n"/>
      <c r="J90" s="76" t="n"/>
      <c r="K90" s="76" t="n"/>
      <c r="L90" s="76" t="n"/>
      <c r="M90" s="76" t="n"/>
      <c r="N90" s="76" t="n"/>
      <c r="O90" s="76" t="n"/>
      <c r="P90" s="76" t="n"/>
      <c r="Q90" s="76" t="n"/>
      <c r="R90" s="76" t="n"/>
      <c r="S90" s="76" t="n"/>
      <c r="T90" s="76" t="n"/>
      <c r="U90" s="76" t="n"/>
    </row>
    <row r="91">
      <c r="A91" s="44">
        <f>#REF!</f>
        <v/>
      </c>
      <c r="G91" s="102">
        <f>INDEX(FS_H!91:91,,MATCH(G$2,FS_H!$3:$3,0))</f>
        <v/>
      </c>
      <c r="H91" s="102">
        <f>INDEX(FS_H!91:91,,MATCH(H$2,FS_H!$3:$3,0))</f>
        <v/>
      </c>
      <c r="I91" s="102">
        <f>INDEX(FS_H!91:91,,MATCH(I$2,FS_H!$3:$3,0))</f>
        <v/>
      </c>
      <c r="J91" s="102">
        <f>INDEX(FS_H!91:91,,MATCH(J$2,FS_H!$3:$3,0))</f>
        <v/>
      </c>
      <c r="K91" s="102">
        <f>INDEX(FS_H!91:91,,MATCH(K$2,FS_H!$3:$3,0))</f>
        <v/>
      </c>
      <c r="L91" s="102">
        <f>INDEX(FS_H!91:91,,MATCH(L$2,FS_H!$3:$3,0))</f>
        <v/>
      </c>
      <c r="M91" s="102">
        <f>INDEX(FS_H!91:91,,MATCH(M$2,FS_H!$3:$3,0))</f>
        <v/>
      </c>
      <c r="N91" s="102">
        <f>INDEX(FS_H!91:91,,MATCH(N$2,FS_H!$3:$3,0))</f>
        <v/>
      </c>
      <c r="O91" s="102">
        <f>INDEX(FS_H!91:91,,MATCH(O$2,FS_H!$3:$3,0))</f>
        <v/>
      </c>
      <c r="P91" s="102">
        <f>INDEX(FS_H!91:91,,MATCH(P$2,FS_H!$3:$3,0))</f>
        <v/>
      </c>
      <c r="Q91" s="102">
        <f>INDEX(FS_H!91:91,,MATCH(Q$2,FS_H!$3:$3,0))</f>
        <v/>
      </c>
      <c r="R91" s="102">
        <f>INDEX(FS_H!91:91,,MATCH(R$2,FS_H!$3:$3,0))</f>
        <v/>
      </c>
      <c r="S91" s="102">
        <f>INDEX(FS_H!91:91,,MATCH(S$2,FS_H!$3:$3,0))</f>
        <v/>
      </c>
      <c r="T91" s="102">
        <f>INDEX(FS_H!91:91,,MATCH(T$2,FS_H!$3:$3,0))</f>
        <v/>
      </c>
      <c r="U91" s="102">
        <f>INDEX(FS_H!91:91,,MATCH(U$2,FS_H!$3:$3,0))</f>
        <v/>
      </c>
    </row>
    <row r="92">
      <c r="A92" s="22" t="inlineStr">
        <is>
          <t>Total Equity</t>
        </is>
      </c>
      <c r="G92" s="121">
        <f>G89+G91</f>
        <v/>
      </c>
      <c r="H92" s="121">
        <f>H89+H91</f>
        <v/>
      </c>
      <c r="I92" s="121">
        <f>I89+I91</f>
        <v/>
      </c>
      <c r="J92" s="121">
        <f>J89+J91</f>
        <v/>
      </c>
      <c r="K92" s="121">
        <f>K89+K91</f>
        <v/>
      </c>
      <c r="L92" s="121">
        <f>L89+L91</f>
        <v/>
      </c>
      <c r="M92" s="121">
        <f>M89+M91</f>
        <v/>
      </c>
      <c r="N92" s="121">
        <f>N89+N91</f>
        <v/>
      </c>
      <c r="O92" s="121">
        <f>O89+O91</f>
        <v/>
      </c>
      <c r="P92" s="121">
        <f>P89+P91</f>
        <v/>
      </c>
      <c r="Q92" s="121">
        <f>Q89+Q91</f>
        <v/>
      </c>
      <c r="R92" s="121">
        <f>R89+R91</f>
        <v/>
      </c>
      <c r="S92" s="121">
        <f>S89+S91</f>
        <v/>
      </c>
      <c r="T92" s="121">
        <f>T89+T91</f>
        <v/>
      </c>
      <c r="U92" s="121">
        <f>U89+U91</f>
        <v/>
      </c>
    </row>
    <row r="93" customFormat="1" s="281">
      <c r="A93" s="279" t="inlineStr">
        <is>
          <t>Error Check</t>
        </is>
      </c>
      <c r="B93" s="283" t="n"/>
      <c r="C93" s="283" t="n"/>
      <c r="D93" s="283" t="n"/>
      <c r="E93" s="283" t="n"/>
      <c r="F93" s="283" t="n"/>
      <c r="G93" s="280">
        <f>ROUND(G58-G81-G92,0)</f>
        <v/>
      </c>
      <c r="H93" s="280">
        <f>ROUND(H58-H81-H92,0)</f>
        <v/>
      </c>
      <c r="I93" s="280">
        <f>ROUND(I58-I81-I92,0)</f>
        <v/>
      </c>
      <c r="J93" s="280">
        <f>ROUND(J58-J81-J92,0)</f>
        <v/>
      </c>
      <c r="K93" s="280">
        <f>ROUND(K58-K81-K92,0)</f>
        <v/>
      </c>
      <c r="L93" s="280">
        <f>ROUND(L58-L81-L92,0)</f>
        <v/>
      </c>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row>
    <row r="94">
      <c r="A94" s="31" t="inlineStr">
        <is>
          <t>NC as % of total equity</t>
        </is>
      </c>
      <c r="G94" s="109">
        <f>G91/G92</f>
        <v/>
      </c>
      <c r="H94" s="109">
        <f>H91/H92</f>
        <v/>
      </c>
      <c r="I94" s="109">
        <f>I91/I92</f>
        <v/>
      </c>
      <c r="J94" s="109">
        <f>J91/J92</f>
        <v/>
      </c>
      <c r="K94" s="109">
        <f>K91/K92</f>
        <v/>
      </c>
      <c r="L94" s="109">
        <f>L91/L92</f>
        <v/>
      </c>
      <c r="M94" s="109">
        <f>M91/M92</f>
        <v/>
      </c>
      <c r="N94" s="109">
        <f>N91/N92</f>
        <v/>
      </c>
      <c r="O94" s="109">
        <f>O91/O92</f>
        <v/>
      </c>
      <c r="P94" s="109">
        <f>P91/P92</f>
        <v/>
      </c>
      <c r="Q94" s="109">
        <f>Q91/Q92</f>
        <v/>
      </c>
      <c r="R94" s="109">
        <f>R91/R92</f>
        <v/>
      </c>
      <c r="S94" s="109">
        <f>S91/S92</f>
        <v/>
      </c>
      <c r="T94" s="109">
        <f>T91/T92</f>
        <v/>
      </c>
      <c r="U94" s="109">
        <f>U91/U92</f>
        <v/>
      </c>
    </row>
    <row r="95">
      <c r="A95" s="31" t="n"/>
      <c r="G95" s="109" t="n"/>
      <c r="H95" s="109" t="n"/>
      <c r="I95" s="109" t="n"/>
      <c r="J95" s="109" t="n"/>
      <c r="K95" s="109" t="n"/>
      <c r="L95" s="109" t="n"/>
      <c r="M95" s="109" t="n"/>
      <c r="N95" s="109" t="n"/>
      <c r="O95" s="109" t="n"/>
      <c r="P95" s="109" t="n"/>
      <c r="Q95" s="109" t="n"/>
      <c r="R95" s="109" t="n"/>
      <c r="S95" s="109" t="n"/>
      <c r="T95" s="109" t="n"/>
      <c r="U95" s="109" t="n"/>
    </row>
    <row r="96">
      <c r="A96" s="22" t="inlineStr">
        <is>
          <t>BVPS  (Basic)</t>
        </is>
      </c>
      <c r="G96" s="381">
        <f>INDEX(FS_H!96:96,,MATCH(G$2,FS_H!$3:$3,0))</f>
        <v/>
      </c>
      <c r="H96" s="381">
        <f>INDEX(FS_H!96:96,,MATCH(H$2,FS_H!$3:$3,0))</f>
        <v/>
      </c>
      <c r="I96" s="381">
        <f>INDEX(FS_H!96:96,,MATCH(I$2,FS_H!$3:$3,0))</f>
        <v/>
      </c>
      <c r="J96" s="381">
        <f>INDEX(FS_H!96:96,,MATCH(J$2,FS_H!$3:$3,0))</f>
        <v/>
      </c>
      <c r="K96" s="381">
        <f>INDEX(FS_H!96:96,,MATCH(K$2,FS_H!$3:$3,0))</f>
        <v/>
      </c>
      <c r="L96" s="381">
        <f>INDEX(FS_H!96:96,,MATCH(L$2,FS_H!$3:$3,0))</f>
        <v/>
      </c>
      <c r="M96" s="381">
        <f>INDEX(FS_H!96:96,,MATCH(M$2,FS_H!$3:$3,0))</f>
        <v/>
      </c>
      <c r="N96" s="381">
        <f>INDEX(FS_H!96:96,,MATCH(N$2,FS_H!$3:$3,0))</f>
        <v/>
      </c>
      <c r="O96" s="381">
        <f>INDEX(FS_H!96:96,,MATCH(O$2,FS_H!$3:$3,0))</f>
        <v/>
      </c>
      <c r="P96" s="381">
        <f>INDEX(FS_H!96:96,,MATCH(P$2,FS_H!$3:$3,0))</f>
        <v/>
      </c>
      <c r="Q96" s="381">
        <f>INDEX(FS_H!96:96,,MATCH(Q$2,FS_H!$3:$3,0))</f>
        <v/>
      </c>
      <c r="R96" s="381">
        <f>INDEX(FS_H!96:96,,MATCH(R$2,FS_H!$3:$3,0))</f>
        <v/>
      </c>
      <c r="S96" s="381">
        <f>INDEX(FS_H!96:96,,MATCH(S$2,FS_H!$3:$3,0))</f>
        <v/>
      </c>
      <c r="T96" s="381">
        <f>INDEX(FS_H!96:96,,MATCH(T$2,FS_H!$3:$3,0))</f>
        <v/>
      </c>
      <c r="U96" s="381">
        <f>INDEX(FS_H!96:96,,MATCH(U$2,FS_H!$3:$3,0))</f>
        <v/>
      </c>
    </row>
    <row r="97">
      <c r="A97" s="22" t="inlineStr">
        <is>
          <t>BVPS  (Diluted)</t>
        </is>
      </c>
      <c r="G97" s="381">
        <f>INDEX(FS_H!97:97,,MATCH(G$2,FS_H!$3:$3,0))</f>
        <v/>
      </c>
      <c r="H97" s="381">
        <f>INDEX(FS_H!97:97,,MATCH(H$2,FS_H!$3:$3,0))</f>
        <v/>
      </c>
      <c r="I97" s="381">
        <f>INDEX(FS_H!97:97,,MATCH(I$2,FS_H!$3:$3,0))</f>
        <v/>
      </c>
      <c r="J97" s="381">
        <f>INDEX(FS_H!97:97,,MATCH(J$2,FS_H!$3:$3,0))</f>
        <v/>
      </c>
      <c r="K97" s="381">
        <f>INDEX(FS_H!97:97,,MATCH(K$2,FS_H!$3:$3,0))</f>
        <v/>
      </c>
      <c r="L97" s="381">
        <f>INDEX(FS_H!97:97,,MATCH(L$2,FS_H!$3:$3,0))</f>
        <v/>
      </c>
      <c r="M97" s="381">
        <f>INDEX(FS_H!97:97,,MATCH(M$2,FS_H!$3:$3,0))</f>
        <v/>
      </c>
      <c r="N97" s="381">
        <f>INDEX(FS_H!97:97,,MATCH(N$2,FS_H!$3:$3,0))</f>
        <v/>
      </c>
      <c r="O97" s="381">
        <f>INDEX(FS_H!97:97,,MATCH(O$2,FS_H!$3:$3,0))</f>
        <v/>
      </c>
      <c r="P97" s="381">
        <f>INDEX(FS_H!97:97,,MATCH(P$2,FS_H!$3:$3,0))</f>
        <v/>
      </c>
      <c r="Q97" s="381">
        <f>INDEX(FS_H!97:97,,MATCH(Q$2,FS_H!$3:$3,0))</f>
        <v/>
      </c>
      <c r="R97" s="381">
        <f>INDEX(FS_H!97:97,,MATCH(R$2,FS_H!$3:$3,0))</f>
        <v/>
      </c>
      <c r="S97" s="381">
        <f>INDEX(FS_H!97:97,,MATCH(S$2,FS_H!$3:$3,0))</f>
        <v/>
      </c>
      <c r="T97" s="381">
        <f>INDEX(FS_H!97:97,,MATCH(T$2,FS_H!$3:$3,0))</f>
        <v/>
      </c>
      <c r="U97" s="381">
        <f>INDEX(FS_H!97:97,,MATCH(U$2,FS_H!$3:$3,0))</f>
        <v/>
      </c>
    </row>
    <row r="98">
      <c r="A98" s="22" t="n"/>
      <c r="I98" s="128" t="n"/>
      <c r="J98" s="128" t="n"/>
      <c r="K98" s="128" t="n"/>
      <c r="L98" s="128" t="n"/>
      <c r="M98" s="128" t="n"/>
      <c r="N98" s="128" t="n"/>
      <c r="O98" s="128" t="n"/>
      <c r="P98" s="881" t="n"/>
      <c r="Q98" s="881" t="n"/>
      <c r="R98" s="881" t="n"/>
      <c r="S98" s="881" t="n"/>
      <c r="T98" s="881" t="n"/>
      <c r="U98" s="881" t="n"/>
    </row>
    <row r="99">
      <c r="A99" s="81" t="inlineStr">
        <is>
          <t>CONSOLIDATED CASH FLOW STATEMENT (RMB Million)</t>
        </is>
      </c>
      <c r="I99" s="128" t="n"/>
      <c r="J99" s="128" t="n"/>
      <c r="K99" s="128" t="n"/>
      <c r="L99" s="128" t="n"/>
      <c r="M99" s="128" t="n"/>
      <c r="N99" s="128" t="n"/>
      <c r="O99" s="128" t="n"/>
      <c r="P99" s="128" t="n"/>
      <c r="Q99" s="128" t="n"/>
      <c r="R99" s="128" t="n"/>
      <c r="S99" s="31" t="n"/>
      <c r="T99" s="128" t="n"/>
      <c r="U99" s="31" t="n"/>
    </row>
    <row r="100">
      <c r="I100" s="128" t="n"/>
      <c r="J100" s="128" t="n"/>
      <c r="K100" s="128" t="n"/>
      <c r="L100" s="128" t="n"/>
      <c r="M100" s="128" t="n"/>
      <c r="N100" s="128" t="n"/>
      <c r="O100" s="128" t="n"/>
      <c r="P100" s="128" t="n"/>
      <c r="Q100" s="128" t="n"/>
      <c r="R100" s="128" t="n"/>
      <c r="S100" s="140" t="n"/>
      <c r="T100" s="128" t="n"/>
      <c r="U100" s="140" t="n"/>
    </row>
    <row r="101">
      <c r="A101" s="22" t="inlineStr">
        <is>
          <t>Operating activities</t>
        </is>
      </c>
      <c r="I101" s="128" t="n"/>
      <c r="J101" s="128" t="n"/>
      <c r="K101" s="128" t="n"/>
      <c r="L101" s="128" t="n"/>
      <c r="M101" s="128" t="n"/>
      <c r="N101" s="128" t="n"/>
      <c r="O101" s="128" t="n"/>
      <c r="P101" s="128" t="n"/>
      <c r="Q101" s="128" t="n"/>
      <c r="R101" s="128" t="n"/>
      <c r="S101" s="31" t="n"/>
      <c r="T101" s="128" t="n"/>
      <c r="U101" s="31" t="n"/>
    </row>
    <row r="102">
      <c r="A102" s="105" t="inlineStr">
        <is>
          <t>Profit before taxation</t>
        </is>
      </c>
      <c r="G102" s="86">
        <f>G22</f>
        <v/>
      </c>
      <c r="H102" s="86">
        <f>H22</f>
        <v/>
      </c>
      <c r="I102" s="86">
        <f>I22</f>
        <v/>
      </c>
      <c r="J102" s="86">
        <f>J22</f>
        <v/>
      </c>
      <c r="K102" s="86">
        <f>K22</f>
        <v/>
      </c>
      <c r="L102" s="86">
        <f>L22</f>
        <v/>
      </c>
      <c r="M102" s="86">
        <f>M22</f>
        <v/>
      </c>
      <c r="N102" s="86">
        <f>N22</f>
        <v/>
      </c>
      <c r="O102" s="86">
        <f>O22</f>
        <v/>
      </c>
      <c r="P102" s="86">
        <f>P22</f>
        <v/>
      </c>
      <c r="Q102" s="86">
        <f>Q22</f>
        <v/>
      </c>
      <c r="R102" s="86">
        <f>R22</f>
        <v/>
      </c>
      <c r="S102" s="86">
        <f>S22</f>
        <v/>
      </c>
      <c r="T102" s="86">
        <f>T22</f>
        <v/>
      </c>
      <c r="U102" s="86">
        <f>U22</f>
        <v/>
      </c>
    </row>
    <row r="103">
      <c r="A103" t="inlineStr">
        <is>
          <t>Adjustments for:</t>
        </is>
      </c>
      <c r="G103" s="31" t="n"/>
      <c r="H103" s="31" t="n"/>
      <c r="I103" s="31" t="n"/>
      <c r="J103" s="31" t="n"/>
      <c r="K103" s="31" t="n"/>
      <c r="L103" s="31" t="n"/>
      <c r="M103" s="31" t="n"/>
      <c r="N103" s="31" t="n"/>
      <c r="O103" s="31" t="n"/>
      <c r="P103" s="31" t="n"/>
      <c r="Q103" s="31" t="n"/>
      <c r="R103" s="31" t="n"/>
      <c r="S103" s="31" t="n"/>
      <c r="T103" s="31" t="n"/>
      <c r="U103" s="31" t="n"/>
    </row>
    <row r="104">
      <c r="A104" s="74" t="inlineStr">
        <is>
          <t>Depreciation for property, plant and equipment</t>
        </is>
      </c>
      <c r="G104" s="141">
        <f>SUMIF(FS_H!$1:$1,G$1,FS_H!104:104)</f>
        <v/>
      </c>
      <c r="H104" s="141">
        <f>SUMIF(FS_H!$1:$1,H$1,FS_H!104:104)</f>
        <v/>
      </c>
      <c r="I104" s="141">
        <f>SUMIF(FS_H!$1:$1,I$1,FS_H!104:104)</f>
        <v/>
      </c>
      <c r="J104" s="141">
        <f>SUMIF(FS_H!$1:$1,J$1,FS_H!104:104)</f>
        <v/>
      </c>
      <c r="K104" s="141">
        <f>SUMIF(FS_H!$1:$1,K$1,FS_H!104:104)</f>
        <v/>
      </c>
      <c r="L104" s="141">
        <f>SUMIF(FS_H!$1:$1,L$1,FS_H!104:104)</f>
        <v/>
      </c>
      <c r="M104" s="141">
        <f>SUMIF(FS_H!$1:$1,M$1,FS_H!104:104)</f>
        <v/>
      </c>
      <c r="N104" s="141">
        <f>SUMIF(FS_H!$1:$1,N$1,FS_H!104:104)</f>
        <v/>
      </c>
      <c r="O104" s="141">
        <f>SUMIF(FS_H!$1:$1,O$1,FS_H!104:104)</f>
        <v/>
      </c>
      <c r="P104" s="141">
        <f>SUMIF(FS_H!$1:$1,P$1,FS_H!104:104)</f>
        <v/>
      </c>
      <c r="Q104" s="141">
        <f>SUMIF(FS_H!$1:$1,Q$1,FS_H!104:104)</f>
        <v/>
      </c>
      <c r="R104" s="141">
        <f>SUMIF(FS_H!$1:$1,R$1,FS_H!104:104)</f>
        <v/>
      </c>
      <c r="S104" s="141">
        <f>SUMIF(FS_H!$1:$1,S$1,FS_H!104:104)</f>
        <v/>
      </c>
      <c r="T104" s="141">
        <f>SUMIF(FS_H!$1:$1,T$1,FS_H!104:104)</f>
        <v/>
      </c>
      <c r="U104" s="141">
        <f>SUMIF(FS_H!$1:$1,U$1,FS_H!104:104)</f>
        <v/>
      </c>
    </row>
    <row r="105">
      <c r="A105" s="74" t="inlineStr">
        <is>
          <t>Amortization</t>
        </is>
      </c>
      <c r="G105" s="141">
        <f>SUMIF(FS_H!$1:$1,G$1,FS_H!105:105)</f>
        <v/>
      </c>
      <c r="H105" s="141">
        <f>SUMIF(FS_H!$1:$1,H$1,FS_H!105:105)</f>
        <v/>
      </c>
      <c r="I105" s="141">
        <f>SUMIF(FS_H!$1:$1,I$1,FS_H!105:105)</f>
        <v/>
      </c>
      <c r="J105" s="141">
        <f>SUMIF(FS_H!$1:$1,J$1,FS_H!105:105)</f>
        <v/>
      </c>
      <c r="K105" s="141">
        <f>SUMIF(FS_H!$1:$1,K$1,FS_H!105:105)</f>
        <v/>
      </c>
      <c r="L105" s="141">
        <f>SUMIF(FS_H!$1:$1,L$1,FS_H!105:105)</f>
        <v/>
      </c>
      <c r="M105" s="141">
        <f>SUMIF(FS_H!$1:$1,M$1,FS_H!105:105)</f>
        <v/>
      </c>
      <c r="N105" s="141">
        <f>SUMIF(FS_H!$1:$1,N$1,FS_H!105:105)</f>
        <v/>
      </c>
      <c r="O105" s="141">
        <f>SUMIF(FS_H!$1:$1,O$1,FS_H!105:105)</f>
        <v/>
      </c>
      <c r="P105" s="141">
        <f>SUMIF(FS_H!$1:$1,P$1,FS_H!105:105)</f>
        <v/>
      </c>
      <c r="Q105" s="141">
        <f>SUMIF(FS_H!$1:$1,Q$1,FS_H!105:105)</f>
        <v/>
      </c>
      <c r="R105" s="141">
        <f>SUMIF(FS_H!$1:$1,R$1,FS_H!105:105)</f>
        <v/>
      </c>
      <c r="S105" s="141">
        <f>SUMIF(FS_H!$1:$1,S$1,FS_H!105:105)</f>
        <v/>
      </c>
      <c r="T105" s="141">
        <f>SUMIF(FS_H!$1:$1,T$1,FS_H!105:105)</f>
        <v/>
      </c>
      <c r="U105" s="141">
        <f>SUMIF(FS_H!$1:$1,U$1,FS_H!105:105)</f>
        <v/>
      </c>
    </row>
    <row r="106">
      <c r="A106" s="74" t="inlineStr">
        <is>
          <t>Interest Expense</t>
        </is>
      </c>
      <c r="G106" s="152">
        <f>-G20-G19</f>
        <v/>
      </c>
      <c r="H106" s="152">
        <f>-H20-H19</f>
        <v/>
      </c>
      <c r="I106" s="152">
        <f>-I20-I19</f>
        <v/>
      </c>
      <c r="J106" s="152">
        <f>-J20-J19</f>
        <v/>
      </c>
      <c r="K106" s="152">
        <f>-K20-K19</f>
        <v/>
      </c>
      <c r="L106" s="152">
        <f>-L20-L19</f>
        <v/>
      </c>
      <c r="M106" s="152">
        <f>-M20-M19</f>
        <v/>
      </c>
      <c r="N106" s="152">
        <f>-N20-N19</f>
        <v/>
      </c>
      <c r="O106" s="152">
        <f>-O20-O19</f>
        <v/>
      </c>
      <c r="P106" s="152">
        <f>-P20-P19</f>
        <v/>
      </c>
      <c r="Q106" s="152">
        <f>-Q20-Q19</f>
        <v/>
      </c>
      <c r="R106" s="152">
        <f>-R20-R19</f>
        <v/>
      </c>
      <c r="S106" s="152">
        <f>-S20-S19</f>
        <v/>
      </c>
      <c r="T106" s="152">
        <f>-T20-T19</f>
        <v/>
      </c>
      <c r="U106" s="152">
        <f>-U20-U19</f>
        <v/>
      </c>
    </row>
    <row r="107">
      <c r="A107" s="74" t="inlineStr">
        <is>
          <t>Other Income</t>
        </is>
      </c>
      <c r="G107" s="86">
        <f>-G16</f>
        <v/>
      </c>
      <c r="H107" s="86">
        <f>-H16</f>
        <v/>
      </c>
      <c r="I107" s="86">
        <f>-I16</f>
        <v/>
      </c>
      <c r="J107" s="86">
        <f>-J16</f>
        <v/>
      </c>
      <c r="K107" s="86">
        <f>-K16</f>
        <v/>
      </c>
      <c r="L107" s="86">
        <f>-L16</f>
        <v/>
      </c>
      <c r="M107" s="86">
        <f>-M16</f>
        <v/>
      </c>
      <c r="N107" s="86">
        <f>-N16</f>
        <v/>
      </c>
      <c r="O107" s="86">
        <f>-O16</f>
        <v/>
      </c>
      <c r="P107" s="86">
        <f>-P16</f>
        <v/>
      </c>
      <c r="Q107" s="86">
        <f>-Q16</f>
        <v/>
      </c>
      <c r="R107" s="86">
        <f>-R16</f>
        <v/>
      </c>
      <c r="S107" s="86">
        <f>-S16</f>
        <v/>
      </c>
      <c r="T107" s="86">
        <f>-T16</f>
        <v/>
      </c>
      <c r="U107" s="86">
        <f>-U16</f>
        <v/>
      </c>
    </row>
    <row r="108">
      <c r="A108" s="74">
        <f>+A21</f>
        <v/>
      </c>
      <c r="G108" s="86">
        <f>-G21</f>
        <v/>
      </c>
      <c r="H108" s="86">
        <f>-H21</f>
        <v/>
      </c>
      <c r="I108" s="86">
        <f>-I21</f>
        <v/>
      </c>
      <c r="J108" s="86">
        <f>-J21</f>
        <v/>
      </c>
      <c r="K108" s="86">
        <f>-K21</f>
        <v/>
      </c>
      <c r="L108" s="86">
        <f>-L21</f>
        <v/>
      </c>
      <c r="M108" s="86">
        <f>-M21</f>
        <v/>
      </c>
      <c r="N108" s="86">
        <f>-N21</f>
        <v/>
      </c>
      <c r="O108" s="86">
        <f>-O21</f>
        <v/>
      </c>
      <c r="P108" s="86">
        <f>-P21</f>
        <v/>
      </c>
      <c r="Q108" s="86">
        <f>-Q21</f>
        <v/>
      </c>
      <c r="R108" s="86">
        <f>-R21</f>
        <v/>
      </c>
      <c r="S108" s="86">
        <f>-S21</f>
        <v/>
      </c>
      <c r="T108" s="86">
        <f>-T21</f>
        <v/>
      </c>
      <c r="U108" s="86">
        <f>-U21</f>
        <v/>
      </c>
    </row>
    <row r="109">
      <c r="A109" s="74" t="inlineStr">
        <is>
          <t>Decrease in loans receivable</t>
        </is>
      </c>
      <c r="G109" s="86">
        <f>-(G40+G53-F40-F53)</f>
        <v/>
      </c>
      <c r="H109" s="86">
        <f>-(H40+H53-G40-G53)</f>
        <v/>
      </c>
      <c r="I109" s="86">
        <f>-(I40+I53-H40-H53)</f>
        <v/>
      </c>
      <c r="J109" s="86">
        <f>-(J40+J53-I40-I53)</f>
        <v/>
      </c>
      <c r="K109" s="86">
        <f>-(K40+K53-J40-J53)</f>
        <v/>
      </c>
      <c r="L109" s="86">
        <f>-(L40+L53-K40-K53)</f>
        <v/>
      </c>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row>
    <row r="110">
      <c r="A110" s="105" t="inlineStr">
        <is>
          <t>Operating cash flows before movements in working capital</t>
        </is>
      </c>
      <c r="G110" s="86">
        <f>SUM(G102,G104:G109)</f>
        <v/>
      </c>
      <c r="H110" s="86">
        <f>SUM(H102,H104:H109)</f>
        <v/>
      </c>
      <c r="I110" s="86">
        <f>SUM(I102,I104:I109)</f>
        <v/>
      </c>
      <c r="J110" s="86">
        <f>SUM(J102,J104:J109)</f>
        <v/>
      </c>
      <c r="K110" s="86">
        <f>SUM(K102,K104:K109)</f>
        <v/>
      </c>
      <c r="L110" s="86">
        <f>SUM(L102,L104:L109)</f>
        <v/>
      </c>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row>
    <row r="111">
      <c r="A111" s="74" t="inlineStr">
        <is>
          <t>Decrease in inventories</t>
        </is>
      </c>
      <c r="G111" s="86">
        <f>-(G42-F42)</f>
        <v/>
      </c>
      <c r="H111" s="86">
        <f>-(H42-G42)</f>
        <v/>
      </c>
      <c r="I111" s="86">
        <f>-(I42-H42)</f>
        <v/>
      </c>
      <c r="J111" s="86">
        <f>-(J42-I42)</f>
        <v/>
      </c>
      <c r="K111" s="86">
        <f>-(K42-J42)</f>
        <v/>
      </c>
      <c r="L111" s="86">
        <f>-(L42-K42)</f>
        <v/>
      </c>
      <c r="M111" s="86">
        <f>-(M42-L42)</f>
        <v/>
      </c>
      <c r="N111" s="86">
        <f>-(N42-M42)</f>
        <v/>
      </c>
      <c r="O111" s="86">
        <f>-(O42-N42)</f>
        <v/>
      </c>
      <c r="P111" s="86">
        <f>-(P42-O42)</f>
        <v/>
      </c>
      <c r="Q111" s="86">
        <f>-(Q42-P42)</f>
        <v/>
      </c>
      <c r="R111" s="86">
        <f>-(R42-Q42)</f>
        <v/>
      </c>
      <c r="S111" s="86">
        <f>-(S42-R42)</f>
        <v/>
      </c>
      <c r="T111" s="86">
        <f>-(T42-S42)</f>
        <v/>
      </c>
      <c r="U111" s="86">
        <f>-(U42-T42)</f>
        <v/>
      </c>
    </row>
    <row r="112">
      <c r="A112" s="74" t="inlineStr">
        <is>
          <t>Decrease in receivables</t>
        </is>
      </c>
      <c r="G112" s="86">
        <f>-(SUM(G39,G41)-SUM(F39,F41))</f>
        <v/>
      </c>
      <c r="H112" s="86">
        <f>-(SUM(H39,H41)-SUM(G39,G41))</f>
        <v/>
      </c>
      <c r="I112" s="86">
        <f>-(SUM(I39,I41)-SUM(H39,H41))</f>
        <v/>
      </c>
      <c r="J112" s="86">
        <f>-(SUM(J39,J41)-SUM(I39,I41))</f>
        <v/>
      </c>
      <c r="K112" s="86">
        <f>-(SUM(K39,K41)-SUM(J39,J41))</f>
        <v/>
      </c>
      <c r="L112" s="86">
        <f>-(SUM(L39,L41)-SUM(K39,K41))</f>
        <v/>
      </c>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row>
    <row r="113">
      <c r="A113" s="74" t="inlineStr">
        <is>
          <t>Decrease in construction contracts</t>
        </is>
      </c>
      <c r="G113" s="86">
        <f>-(G43-F43)</f>
        <v/>
      </c>
      <c r="H113" s="86">
        <f>-(H43-G43)</f>
        <v/>
      </c>
      <c r="I113" s="86">
        <f>-(I43-H43)</f>
        <v/>
      </c>
      <c r="J113" s="86">
        <f>-(J43-I43)</f>
        <v/>
      </c>
      <c r="K113" s="86">
        <f>-(K43-J43)</f>
        <v/>
      </c>
      <c r="L113" s="86">
        <f>-(L43-K43)</f>
        <v/>
      </c>
      <c r="M113" s="86">
        <f>-(M43-L43)</f>
        <v/>
      </c>
      <c r="N113" s="86">
        <f>-(N43-M43)</f>
        <v/>
      </c>
      <c r="O113" s="86">
        <f>-(O43-N43)</f>
        <v/>
      </c>
      <c r="P113" s="86">
        <f>-(P43-O43)</f>
        <v/>
      </c>
      <c r="Q113" s="86">
        <f>-(Q43-P43)</f>
        <v/>
      </c>
      <c r="R113" s="86">
        <f>-(R43-Q43)</f>
        <v/>
      </c>
      <c r="S113" s="86">
        <f>-(S43-R43)</f>
        <v/>
      </c>
      <c r="T113" s="86">
        <f>-(T43-S43)</f>
        <v/>
      </c>
      <c r="U113" s="86">
        <f>-(U43-T43)</f>
        <v/>
      </c>
    </row>
    <row r="114">
      <c r="A114" s="74" t="inlineStr">
        <is>
          <t>Increase in payables</t>
        </is>
      </c>
      <c r="G114" s="86">
        <f>(G61-F61)+(G62-F62)</f>
        <v/>
      </c>
      <c r="H114" s="86">
        <f>(H61-G61)+(H62-G62)</f>
        <v/>
      </c>
      <c r="I114" s="86">
        <f>(I61-H61)+(I62-H62)</f>
        <v/>
      </c>
      <c r="J114" s="86">
        <f>(J61-I61)+(J62-I62)</f>
        <v/>
      </c>
      <c r="K114" s="86">
        <f>(K61-J61)+(K62-J62)</f>
        <v/>
      </c>
      <c r="L114" s="86">
        <f>(L61-K61)+(L62-K62)</f>
        <v/>
      </c>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row>
    <row r="115">
      <c r="A115" s="74" t="inlineStr">
        <is>
          <t>Increase in Provision</t>
        </is>
      </c>
      <c r="G115" s="86">
        <f>(G76-F76)+(G64-F64)</f>
        <v/>
      </c>
      <c r="H115" s="86">
        <f>(H76-G76)+(H64-G64)</f>
        <v/>
      </c>
      <c r="I115" s="86">
        <f>(I76-H76)+(I64-H64)</f>
        <v/>
      </c>
      <c r="J115" s="86">
        <f>(J76-I76)+(J64-I64)</f>
        <v/>
      </c>
      <c r="K115" s="86">
        <f>(K76-J76)+(K64-J64)</f>
        <v/>
      </c>
      <c r="L115" s="86">
        <f>(L76-K76)+(L64-K64)</f>
        <v/>
      </c>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row>
    <row r="116">
      <c r="A116" t="inlineStr">
        <is>
          <t>Cash generated from operations</t>
        </is>
      </c>
      <c r="G116" s="86">
        <f>SUM(G110,G111:G115)</f>
        <v/>
      </c>
      <c r="H116" s="86">
        <f>SUM(H110,H111:H115)</f>
        <v/>
      </c>
      <c r="I116" s="86">
        <f>SUM(I110,I111:I115)</f>
        <v/>
      </c>
      <c r="J116" s="86">
        <f>SUM(J110,J111:J115)</f>
        <v/>
      </c>
      <c r="K116" s="86">
        <f>SUM(K110,K111:K115)</f>
        <v/>
      </c>
      <c r="L116" s="86">
        <f>SUM(L110,L111:L115)</f>
        <v/>
      </c>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row>
    <row r="117">
      <c r="A117" s="74" t="inlineStr">
        <is>
          <t>Income tax paid</t>
        </is>
      </c>
      <c r="G117" s="86">
        <f>(G77-F77)+(G65-F65)-(G54-F54)+G23</f>
        <v/>
      </c>
      <c r="H117" s="86">
        <f>(H77-G77)+(H65-G65)-(H54-G54)+H23</f>
        <v/>
      </c>
      <c r="I117" s="86">
        <f>(I77-H77)+(I65-H65)-(I54-H54)+I23</f>
        <v/>
      </c>
      <c r="J117" s="86">
        <f>(J77-I77)+(J65-I65)-(J54-I54)+J23</f>
        <v/>
      </c>
      <c r="K117" s="86">
        <f>(K77-J77)+(K65-J65)-(K54-J54)+K23</f>
        <v/>
      </c>
      <c r="L117" s="86">
        <f>(L77-K77)+(L65-K65)-(L54-K54)+L23</f>
        <v/>
      </c>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row>
    <row r="118">
      <c r="A118" t="inlineStr">
        <is>
          <t>Adjustments for historical</t>
        </is>
      </c>
      <c r="G118" s="143">
        <f>G119-(G116+G117)</f>
        <v/>
      </c>
      <c r="H118" s="143">
        <f>H119-(H116+H117)</f>
        <v/>
      </c>
      <c r="I118" s="143">
        <f>I119-(I116+I117)</f>
        <v/>
      </c>
      <c r="J118" s="143">
        <f>J119-(J116+J117)</f>
        <v/>
      </c>
      <c r="K118" s="143">
        <f>K119-(K116+K117)</f>
        <v/>
      </c>
      <c r="L118" s="143">
        <f>L119-(L116+L117)</f>
        <v/>
      </c>
      <c r="M118" s="143">
        <f>M119-(M116+M117)</f>
        <v/>
      </c>
      <c r="N118" s="143">
        <f>N119-(N116+N117)</f>
        <v/>
      </c>
      <c r="O118" s="143">
        <f>O119-(O116+O117)</f>
        <v/>
      </c>
      <c r="P118" s="143">
        <f>P119-(P116+P117)</f>
        <v/>
      </c>
      <c r="Q118" s="143">
        <f>Q119-(Q116+Q117)</f>
        <v/>
      </c>
      <c r="R118" s="143">
        <f>R119-(R116+R117)</f>
        <v/>
      </c>
      <c r="S118" s="143">
        <f>S119-(S116+S117)</f>
        <v/>
      </c>
      <c r="T118" s="143">
        <f>T119-(T116+T117)</f>
        <v/>
      </c>
      <c r="U118" s="143">
        <f>U119-(U116+U117)</f>
        <v/>
      </c>
    </row>
    <row r="119">
      <c r="A119" s="22" t="inlineStr">
        <is>
          <t>Net Cash flows from operating activities</t>
        </is>
      </c>
      <c r="G119" s="121">
        <f>SUMIF(FS_H!$1:$1,G$1,FS_H!119:119)</f>
        <v/>
      </c>
      <c r="H119" s="121">
        <f>SUMIF(FS_H!$1:$1,H$1,FS_H!119:119)</f>
        <v/>
      </c>
      <c r="I119" s="121">
        <f>SUMIF(FS_H!$1:$1,I$1,FS_H!119:119)</f>
        <v/>
      </c>
      <c r="J119" s="121">
        <f>SUMIF(FS_H!$1:$1,J$1,FS_H!119:119)</f>
        <v/>
      </c>
      <c r="K119" s="121">
        <f>SUMIF(FS_H!$1:$1,K$1,FS_H!119:119)</f>
        <v/>
      </c>
      <c r="L119" s="121">
        <f>SUMIF(FS_H!$1:$1,L$1,FS_H!119:119)</f>
        <v/>
      </c>
      <c r="M119" s="121">
        <f>SUMIF(FS_H!$1:$1,M$1,FS_H!119:119)</f>
        <v/>
      </c>
      <c r="N119" s="121">
        <f>SUMIF(FS_H!$1:$1,N$1,FS_H!119:119)</f>
        <v/>
      </c>
      <c r="O119" s="121">
        <f>SUMIF(FS_H!$1:$1,O$1,FS_H!119:119)</f>
        <v/>
      </c>
      <c r="P119" s="121">
        <f>SUMIF(FS_H!$1:$1,P$1,FS_H!119:119)</f>
        <v/>
      </c>
      <c r="Q119" s="121">
        <f>SUMIF(FS_H!$1:$1,Q$1,FS_H!119:119)</f>
        <v/>
      </c>
      <c r="R119" s="121">
        <f>SUMIF(FS_H!$1:$1,R$1,FS_H!119:119)</f>
        <v/>
      </c>
      <c r="S119" s="121">
        <f>SUMIF(FS_H!$1:$1,S$1,FS_H!119:119)</f>
        <v/>
      </c>
      <c r="T119" s="121">
        <f>SUMIF(FS_H!$1:$1,T$1,FS_H!119:119)</f>
        <v/>
      </c>
      <c r="U119" s="121">
        <f>SUMIF(FS_H!$1:$1,U$1,FS_H!119:119)</f>
        <v/>
      </c>
    </row>
    <row r="120">
      <c r="G120" s="31" t="n"/>
      <c r="H120" s="31" t="n"/>
      <c r="I120" s="31" t="n"/>
      <c r="J120" s="31" t="n"/>
      <c r="K120" s="31" t="n"/>
      <c r="L120" s="31" t="n"/>
      <c r="M120" s="31" t="n"/>
      <c r="N120" s="31" t="n"/>
      <c r="O120" s="31" t="n"/>
      <c r="P120" s="31" t="n"/>
      <c r="Q120" s="31" t="n"/>
      <c r="R120" s="31" t="n"/>
      <c r="S120" s="31" t="n"/>
      <c r="T120" s="31" t="n"/>
      <c r="U120" s="31" t="n"/>
    </row>
    <row r="121">
      <c r="A121" s="77" t="inlineStr">
        <is>
          <t>Cash flows from investing activities</t>
        </is>
      </c>
      <c r="G121" s="31" t="n"/>
      <c r="H121" s="31" t="n"/>
      <c r="I121" s="31" t="n"/>
      <c r="J121" s="31" t="n"/>
      <c r="K121" s="31" t="n"/>
      <c r="L121" s="31" t="n"/>
      <c r="M121" s="31" t="n"/>
      <c r="N121" s="31" t="n"/>
      <c r="O121" s="31" t="n"/>
      <c r="P121" s="31" t="n"/>
      <c r="Q121" s="31" t="n"/>
      <c r="R121" s="31" t="n"/>
      <c r="S121" s="31" t="n"/>
      <c r="T121" s="31" t="n"/>
      <c r="U121" s="31" t="n"/>
    </row>
    <row r="122">
      <c r="A122" s="74" t="inlineStr">
        <is>
          <t>Cash paid to acquire fixed assets</t>
        </is>
      </c>
      <c r="G122" s="141">
        <f>SUMIF(FS_H!$1:$1,G$1,FS_H!122:122)</f>
        <v/>
      </c>
      <c r="H122" s="141">
        <f>SUMIF(FS_H!$1:$1,H$1,FS_H!122:122)</f>
        <v/>
      </c>
      <c r="I122" s="141">
        <f>SUMIF(FS_H!$1:$1,I$1,FS_H!122:122)</f>
        <v/>
      </c>
      <c r="J122" s="141">
        <f>SUMIF(FS_H!$1:$1,J$1,FS_H!122:122)</f>
        <v/>
      </c>
      <c r="K122" s="141">
        <f>SUMIF(FS_H!$1:$1,K$1,FS_H!122:122)</f>
        <v/>
      </c>
      <c r="L122" s="141">
        <f>SUMIF(FS_H!$1:$1,L$1,FS_H!122:122)</f>
        <v/>
      </c>
      <c r="M122" s="141">
        <f>SUMIF(FS_H!$1:$1,M$1,FS_H!122:122)</f>
        <v/>
      </c>
      <c r="N122" s="141">
        <f>SUMIF(FS_H!$1:$1,N$1,FS_H!122:122)</f>
        <v/>
      </c>
      <c r="O122" s="141">
        <f>SUMIF(FS_H!$1:$1,O$1,FS_H!122:122)</f>
        <v/>
      </c>
      <c r="P122" s="141">
        <f>SUMIF(FS_H!$1:$1,P$1,FS_H!122:122)</f>
        <v/>
      </c>
      <c r="Q122" s="141">
        <f>SUMIF(FS_H!$1:$1,Q$1,FS_H!122:122)</f>
        <v/>
      </c>
      <c r="R122" s="141">
        <f>SUMIF(FS_H!$1:$1,R$1,FS_H!122:122)</f>
        <v/>
      </c>
      <c r="S122" s="141">
        <f>SUMIF(FS_H!$1:$1,S$1,FS_H!122:122)</f>
        <v/>
      </c>
      <c r="T122" s="141">
        <f>SUMIF(FS_H!$1:$1,T$1,FS_H!122:122)</f>
        <v/>
      </c>
      <c r="U122" s="141">
        <f>SUMIF(FS_H!$1:$1,U$1,FS_H!122:122)</f>
        <v/>
      </c>
    </row>
    <row r="123">
      <c r="A123" s="74" t="inlineStr">
        <is>
          <t>Cash paid to acquire intangible assets</t>
        </is>
      </c>
      <c r="G123" s="141">
        <f>SUMIF(FS_H!$1:$1,G$1,FS_H!123:123)</f>
        <v/>
      </c>
      <c r="H123" s="141">
        <f>SUMIF(FS_H!$1:$1,H$1,FS_H!123:123)</f>
        <v/>
      </c>
      <c r="I123" s="141">
        <f>SUMIF(FS_H!$1:$1,I$1,FS_H!123:123)</f>
        <v/>
      </c>
      <c r="J123" s="141">
        <f>SUMIF(FS_H!$1:$1,J$1,FS_H!123:123)</f>
        <v/>
      </c>
      <c r="K123" s="141">
        <f>SUMIF(FS_H!$1:$1,K$1,FS_H!123:123)</f>
        <v/>
      </c>
      <c r="L123" s="141">
        <f>SUMIF(FS_H!$1:$1,L$1,FS_H!123:123)</f>
        <v/>
      </c>
      <c r="M123" s="141">
        <f>SUMIF(FS_H!$1:$1,M$1,FS_H!123:123)</f>
        <v/>
      </c>
      <c r="N123" s="141">
        <f>SUMIF(FS_H!$1:$1,N$1,FS_H!123:123)</f>
        <v/>
      </c>
      <c r="O123" s="141">
        <f>SUMIF(FS_H!$1:$1,O$1,FS_H!123:123)</f>
        <v/>
      </c>
      <c r="P123" s="141">
        <f>SUMIF(FS_H!$1:$1,P$1,FS_H!123:123)</f>
        <v/>
      </c>
      <c r="Q123" s="141">
        <f>SUMIF(FS_H!$1:$1,Q$1,FS_H!123:123)</f>
        <v/>
      </c>
      <c r="R123" s="141">
        <f>SUMIF(FS_H!$1:$1,R$1,FS_H!123:123)</f>
        <v/>
      </c>
      <c r="S123" s="141">
        <f>SUMIF(FS_H!$1:$1,S$1,FS_H!123:123)</f>
        <v/>
      </c>
      <c r="T123" s="141">
        <f>SUMIF(FS_H!$1:$1,T$1,FS_H!123:123)</f>
        <v/>
      </c>
      <c r="U123" s="141">
        <f>SUMIF(FS_H!$1:$1,U$1,FS_H!123:123)</f>
        <v/>
      </c>
    </row>
    <row r="124">
      <c r="A124" s="74" t="inlineStr">
        <is>
          <t>Changes in prepaid land lease payments</t>
        </is>
      </c>
      <c r="G124" s="152">
        <f>-(G49-F49)</f>
        <v/>
      </c>
      <c r="H124" s="152">
        <f>-(H49-G49)</f>
        <v/>
      </c>
      <c r="I124" s="152">
        <f>-(I49-H49)</f>
        <v/>
      </c>
      <c r="J124" s="152">
        <f>-(J49-I49)</f>
        <v/>
      </c>
      <c r="K124" s="152">
        <f>-(K49-J49)</f>
        <v/>
      </c>
      <c r="L124" s="152">
        <f>-(L49-K49)</f>
        <v/>
      </c>
      <c r="M124" s="152">
        <f>-(M49-L49)</f>
        <v/>
      </c>
      <c r="N124" s="152">
        <f>-(N49-M49)</f>
        <v/>
      </c>
      <c r="O124" s="152">
        <f>-(O49-N49)</f>
        <v/>
      </c>
      <c r="P124" s="152">
        <f>-(P49-O49)</f>
        <v/>
      </c>
      <c r="Q124" s="152">
        <f>-(Q49-P49)</f>
        <v/>
      </c>
      <c r="R124" s="152">
        <f>-(R49-Q49)</f>
        <v/>
      </c>
      <c r="S124" s="152">
        <f>-(S49-R49)</f>
        <v/>
      </c>
      <c r="T124" s="152">
        <f>-(T49-S49)</f>
        <v/>
      </c>
      <c r="U124" s="152">
        <f>-(U49-T49)</f>
        <v/>
      </c>
    </row>
    <row r="125">
      <c r="A125" s="74" t="inlineStr">
        <is>
          <t>Increase in investments</t>
        </is>
      </c>
      <c r="G125" s="86">
        <f>-(G44-F44)+(G78-F78)-(G52-F52)-(G55-F55)+(G66-F66)</f>
        <v/>
      </c>
      <c r="H125" s="86">
        <f>-(H44-G44)+(H78-G78)-(H52-G52)-(H55-G55)+(H66-G66)</f>
        <v/>
      </c>
      <c r="I125" s="86">
        <f>-(I44-H44)+(I78-H78)-(I52-H52)-(I55-H55)+(I66-H66)</f>
        <v/>
      </c>
      <c r="J125" s="86">
        <f>-(J44-I44)+(J78-I78)-(J52-I52)-(J55-I55)+(J66-I66)</f>
        <v/>
      </c>
      <c r="K125" s="86">
        <f>-(K44-J44)+(K78-J78)-(K52-J52)-(K55-J55)+(K66-J66)</f>
        <v/>
      </c>
      <c r="L125" s="86">
        <f>-(L44-K44)+(L78-K78)-(L52-K52)-(L55-K55)+(L66-K66)</f>
        <v/>
      </c>
      <c r="M125" s="86">
        <f>-(M44-L44)+(M78-L78)-(M52-L52)-(M55-L55)+(M66-L66)</f>
        <v/>
      </c>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row>
    <row r="126">
      <c r="A126" s="74" t="inlineStr">
        <is>
          <t>Finance income / (costs)</t>
        </is>
      </c>
      <c r="G126" s="86">
        <f>-G106</f>
        <v/>
      </c>
      <c r="H126" s="86">
        <f>-H106</f>
        <v/>
      </c>
      <c r="I126" s="86">
        <f>-I106</f>
        <v/>
      </c>
      <c r="J126" s="86">
        <f>-J106</f>
        <v/>
      </c>
      <c r="K126" s="86">
        <f>-K106</f>
        <v/>
      </c>
      <c r="L126" s="86">
        <f>-L106</f>
        <v/>
      </c>
      <c r="M126" s="86">
        <f>-M106</f>
        <v/>
      </c>
      <c r="N126" s="86">
        <f>-N106</f>
        <v/>
      </c>
      <c r="O126" s="86">
        <f>-O106</f>
        <v/>
      </c>
      <c r="P126" s="86">
        <f>-P106</f>
        <v/>
      </c>
      <c r="Q126" s="86">
        <f>-Q106</f>
        <v/>
      </c>
      <c r="R126" s="86">
        <f>-R106</f>
        <v/>
      </c>
      <c r="S126" s="86">
        <f>-S106</f>
        <v/>
      </c>
      <c r="T126" s="86">
        <f>-T106</f>
        <v/>
      </c>
      <c r="U126" s="86">
        <f>-U106</f>
        <v/>
      </c>
    </row>
    <row r="127">
      <c r="A127" s="74">
        <f>+A21</f>
        <v/>
      </c>
      <c r="G127" s="86">
        <f>+G21</f>
        <v/>
      </c>
      <c r="H127" s="86">
        <f>+H21</f>
        <v/>
      </c>
      <c r="I127" s="86">
        <f>+I21</f>
        <v/>
      </c>
      <c r="J127" s="86">
        <f>+J21</f>
        <v/>
      </c>
      <c r="K127" s="86">
        <f>+K21</f>
        <v/>
      </c>
      <c r="L127" s="86">
        <f>+L21</f>
        <v/>
      </c>
      <c r="M127" s="86">
        <f>+M21</f>
        <v/>
      </c>
      <c r="N127" s="86">
        <f>+N21</f>
        <v/>
      </c>
      <c r="O127" s="86">
        <f>+O21</f>
        <v/>
      </c>
      <c r="P127" s="86">
        <f>+P21</f>
        <v/>
      </c>
      <c r="Q127" s="86">
        <f>+Q21</f>
        <v/>
      </c>
      <c r="R127" s="86">
        <f>+R21</f>
        <v/>
      </c>
      <c r="S127" s="86">
        <f>+S21</f>
        <v/>
      </c>
      <c r="T127" s="86">
        <f>+T21</f>
        <v/>
      </c>
      <c r="U127" s="86">
        <f>+U21</f>
        <v/>
      </c>
    </row>
    <row r="128">
      <c r="A128" s="74" t="inlineStr">
        <is>
          <t>Other Income</t>
        </is>
      </c>
      <c r="G128" s="86">
        <f>-G107</f>
        <v/>
      </c>
      <c r="H128" s="86">
        <f>-H107</f>
        <v/>
      </c>
      <c r="I128" s="86">
        <f>-I107</f>
        <v/>
      </c>
      <c r="J128" s="86">
        <f>-J107</f>
        <v/>
      </c>
      <c r="K128" s="86">
        <f>-K107</f>
        <v/>
      </c>
      <c r="L128" s="86">
        <f>-L107</f>
        <v/>
      </c>
      <c r="M128" s="86">
        <f>-M107</f>
        <v/>
      </c>
      <c r="N128" s="86">
        <f>-N107</f>
        <v/>
      </c>
      <c r="O128" s="86">
        <f>-O107</f>
        <v/>
      </c>
      <c r="P128" s="86">
        <f>-P107</f>
        <v/>
      </c>
      <c r="Q128" s="86">
        <f>-Q107</f>
        <v/>
      </c>
      <c r="R128" s="86">
        <f>-R107</f>
        <v/>
      </c>
      <c r="S128" s="86">
        <f>-S107</f>
        <v/>
      </c>
      <c r="T128" s="86">
        <f>-T107</f>
        <v/>
      </c>
      <c r="U128" s="86">
        <f>-U107</f>
        <v/>
      </c>
    </row>
    <row r="129">
      <c r="A129" t="inlineStr">
        <is>
          <t>Adjustments for historical</t>
        </is>
      </c>
      <c r="G129" s="76">
        <f>+G130-SUM(G122:G128)</f>
        <v/>
      </c>
      <c r="H129" s="76">
        <f>+H130-SUM(H122:H128)</f>
        <v/>
      </c>
      <c r="I129" s="76">
        <f>+I130-SUM(I122:I128)</f>
        <v/>
      </c>
      <c r="J129" s="76">
        <f>+J130-SUM(J122:J128)</f>
        <v/>
      </c>
      <c r="K129" s="76">
        <f>+K130-SUM(K122:K128)</f>
        <v/>
      </c>
      <c r="L129" s="76">
        <f>+L130-SUM(L122:L128)</f>
        <v/>
      </c>
      <c r="M129" s="76">
        <f>+M130-SUM(M122:M128)</f>
        <v/>
      </c>
      <c r="N129" s="76">
        <f>+N130-SUM(N122:N128)</f>
        <v/>
      </c>
      <c r="O129" s="76">
        <f>+O130-SUM(O122:O128)</f>
        <v/>
      </c>
      <c r="P129" s="76">
        <f>+P130-SUM(P122:P128)</f>
        <v/>
      </c>
      <c r="Q129" s="76">
        <f>+Q130-SUM(Q122:Q128)</f>
        <v/>
      </c>
      <c r="R129" s="76">
        <f>+R130-SUM(R122:R128)</f>
        <v/>
      </c>
      <c r="S129" s="76">
        <f>+S130-SUM(S122:S128)</f>
        <v/>
      </c>
      <c r="T129" s="76">
        <f>+T130-SUM(T122:T128)</f>
        <v/>
      </c>
      <c r="U129" s="76">
        <f>+U130-SUM(U122:U128)</f>
        <v/>
      </c>
    </row>
    <row r="130">
      <c r="A130" s="22" t="inlineStr">
        <is>
          <t>Net cash flows used in investing activities</t>
        </is>
      </c>
      <c r="G130" s="121">
        <f>SUMIF(FS_H!$1:$1,G$1,FS_H!130:130)</f>
        <v/>
      </c>
      <c r="H130" s="121">
        <f>SUMIF(FS_H!$1:$1,H$1,FS_H!130:130)</f>
        <v/>
      </c>
      <c r="I130" s="121">
        <f>SUMIF(FS_H!$1:$1,I$1,FS_H!130:130)</f>
        <v/>
      </c>
      <c r="J130" s="121">
        <f>SUMIF(FS_H!$1:$1,J$1,FS_H!130:130)</f>
        <v/>
      </c>
      <c r="K130" s="121">
        <f>SUMIF(FS_H!$1:$1,K$1,FS_H!130:130)</f>
        <v/>
      </c>
      <c r="L130" s="121">
        <f>SUMIF(FS_H!$1:$1,L$1,FS_H!130:130)</f>
        <v/>
      </c>
      <c r="M130" s="121">
        <f>SUMIF(FS_H!$1:$1,M$1,FS_H!130:130)</f>
        <v/>
      </c>
      <c r="N130" s="121">
        <f>SUMIF(FS_H!$1:$1,N$1,FS_H!130:130)</f>
        <v/>
      </c>
      <c r="O130" s="121">
        <f>SUMIF(FS_H!$1:$1,O$1,FS_H!130:130)</f>
        <v/>
      </c>
      <c r="P130" s="121">
        <f>SUMIF(FS_H!$1:$1,P$1,FS_H!130:130)</f>
        <v/>
      </c>
      <c r="Q130" s="121">
        <f>SUMIF(FS_H!$1:$1,Q$1,FS_H!130:130)</f>
        <v/>
      </c>
      <c r="R130" s="121">
        <f>SUMIF(FS_H!$1:$1,R$1,FS_H!130:130)</f>
        <v/>
      </c>
      <c r="S130" s="121">
        <f>SUMIF(FS_H!$1:$1,S$1,FS_H!130:130)</f>
        <v/>
      </c>
      <c r="T130" s="121">
        <f>SUMIF(FS_H!$1:$1,T$1,FS_H!130:130)</f>
        <v/>
      </c>
      <c r="U130" s="121">
        <f>SUMIF(FS_H!$1:$1,U$1,FS_H!130:130)</f>
        <v/>
      </c>
    </row>
    <row r="131">
      <c r="G131" s="31" t="n"/>
      <c r="H131" s="31" t="n"/>
      <c r="I131" s="31" t="n"/>
      <c r="J131" s="31" t="n"/>
      <c r="K131" s="31" t="n"/>
      <c r="L131" s="31" t="n"/>
      <c r="M131" s="31" t="n"/>
      <c r="N131" s="31" t="n"/>
      <c r="O131" s="31" t="n"/>
      <c r="P131" s="31" t="n"/>
      <c r="Q131" s="31" t="n"/>
      <c r="R131" s="31" t="n"/>
      <c r="S131" s="31" t="n"/>
      <c r="T131" s="31" t="n"/>
      <c r="U131" s="31" t="n"/>
    </row>
    <row r="132">
      <c r="A132" s="77" t="inlineStr">
        <is>
          <t>Cash flows from financing activities</t>
        </is>
      </c>
      <c r="G132" s="31" t="n"/>
      <c r="H132" s="31" t="n"/>
      <c r="I132" s="31" t="n"/>
      <c r="J132" s="31" t="n"/>
      <c r="K132" s="31" t="n"/>
      <c r="L132" s="31" t="n"/>
      <c r="M132" s="31" t="n"/>
      <c r="N132" s="31" t="n"/>
      <c r="O132" s="31" t="n"/>
      <c r="P132" s="31" t="n"/>
      <c r="Q132" s="31" t="n"/>
      <c r="R132" s="31" t="n"/>
      <c r="S132" s="31" t="n"/>
      <c r="T132" s="31" t="n"/>
      <c r="U132" s="31" t="n"/>
    </row>
    <row r="133">
      <c r="A133" s="74" t="inlineStr">
        <is>
          <t>Increase in borrowings</t>
        </is>
      </c>
      <c r="G133" s="86">
        <f>+G63-F63+G73-F73</f>
        <v/>
      </c>
      <c r="H133" s="86">
        <f>+H63-G63+H73-G73</f>
        <v/>
      </c>
      <c r="I133" s="86">
        <f>+I63-H63+I73-H73</f>
        <v/>
      </c>
      <c r="J133" s="86">
        <f>+J63-I63+J73-I73</f>
        <v/>
      </c>
      <c r="K133" s="86">
        <f>+K63-J63+K73-J73</f>
        <v/>
      </c>
      <c r="L133" s="86">
        <f>+L63-K63+L73-K73</f>
        <v/>
      </c>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row>
    <row r="134">
      <c r="A134" s="74" t="inlineStr">
        <is>
          <t>Convertible Bond issuance proceeds</t>
        </is>
      </c>
      <c r="G134" s="141">
        <f>SUMIF(FS_H!$1:$1,G$1,FS_H!134:134)</f>
        <v/>
      </c>
      <c r="H134" s="141">
        <f>SUMIF(FS_H!$1:$1,H$1,FS_H!134:134)</f>
        <v/>
      </c>
      <c r="I134" s="141">
        <f>SUMIF(FS_H!$1:$1,I$1,FS_H!134:134)</f>
        <v/>
      </c>
      <c r="J134" s="141">
        <f>SUMIF(FS_H!$1:$1,J$1,FS_H!134:134)</f>
        <v/>
      </c>
      <c r="K134" s="141">
        <f>SUMIF(FS_H!$1:$1,K$1,FS_H!134:134)</f>
        <v/>
      </c>
      <c r="L134" s="141">
        <f>SUMIF(FS_H!$1:$1,L$1,FS_H!134:134)</f>
        <v/>
      </c>
      <c r="M134" s="141">
        <f>SUMIF(FS_H!$1:$1,M$1,FS_H!134:134)</f>
        <v/>
      </c>
      <c r="N134" s="141">
        <f>SUMIF(FS_H!$1:$1,N$1,FS_H!134:134)</f>
        <v/>
      </c>
      <c r="O134" s="141">
        <f>SUMIF(FS_H!$1:$1,O$1,FS_H!134:134)</f>
        <v/>
      </c>
      <c r="P134" s="141">
        <f>SUMIF(FS_H!$1:$1,P$1,FS_H!134:134)</f>
        <v/>
      </c>
      <c r="Q134" s="141">
        <f>SUMIF(FS_H!$1:$1,Q$1,FS_H!134:134)</f>
        <v/>
      </c>
      <c r="R134" s="141">
        <f>SUMIF(FS_H!$1:$1,R$1,FS_H!134:134)</f>
        <v/>
      </c>
      <c r="S134" s="141">
        <f>SUMIF(FS_H!$1:$1,S$1,FS_H!134:134)</f>
        <v/>
      </c>
      <c r="T134" s="141">
        <f>SUMIF(FS_H!$1:$1,T$1,FS_H!134:134)</f>
        <v/>
      </c>
      <c r="U134" s="141">
        <f>SUMIF(FS_H!$1:$1,U$1,FS_H!134:134)</f>
        <v/>
      </c>
    </row>
    <row r="135">
      <c r="A135" s="74" t="inlineStr">
        <is>
          <t>Share issuance proceeds</t>
        </is>
      </c>
      <c r="G135" s="141">
        <f>SUMIF(FS_H!$1:$1,G$1,FS_H!135:135)</f>
        <v/>
      </c>
      <c r="H135" s="141">
        <f>SUMIF(FS_H!$1:$1,H$1,FS_H!135:135)</f>
        <v/>
      </c>
      <c r="I135" s="141">
        <f>SUMIF(FS_H!$1:$1,I$1,FS_H!135:135)</f>
        <v/>
      </c>
      <c r="J135" s="141">
        <f>SUMIF(FS_H!$1:$1,J$1,FS_H!135:135)</f>
        <v/>
      </c>
      <c r="K135" s="141">
        <f>SUMIF(FS_H!$1:$1,K$1,FS_H!135:135)</f>
        <v/>
      </c>
      <c r="L135" s="141">
        <f>SUMIF(FS_H!$1:$1,L$1,FS_H!135:135)</f>
        <v/>
      </c>
      <c r="M135" s="141">
        <f>SUMIF(FS_H!$1:$1,M$1,FS_H!135:135)</f>
        <v/>
      </c>
      <c r="N135" s="141">
        <f>SUMIF(FS_H!$1:$1,N$1,FS_H!135:135)</f>
        <v/>
      </c>
      <c r="O135" s="141">
        <f>SUMIF(FS_H!$1:$1,O$1,FS_H!135:135)</f>
        <v/>
      </c>
      <c r="P135" s="141">
        <f>SUMIF(FS_H!$1:$1,P$1,FS_H!135:135)</f>
        <v/>
      </c>
      <c r="Q135" s="141">
        <f>SUMIF(FS_H!$1:$1,Q$1,FS_H!135:135)</f>
        <v/>
      </c>
      <c r="R135" s="141">
        <f>SUMIF(FS_H!$1:$1,R$1,FS_H!135:135)</f>
        <v/>
      </c>
      <c r="S135" s="141">
        <f>SUMIF(FS_H!$1:$1,S$1,FS_H!135:135)</f>
        <v/>
      </c>
      <c r="T135" s="141">
        <f>SUMIF(FS_H!$1:$1,T$1,FS_H!135:135)</f>
        <v/>
      </c>
      <c r="U135" s="141">
        <f>SUMIF(FS_H!$1:$1,U$1,FS_H!135:135)</f>
        <v/>
      </c>
    </row>
    <row r="136">
      <c r="A136" s="74" t="inlineStr">
        <is>
          <t>Change in government grants</t>
        </is>
      </c>
      <c r="G136" s="141">
        <f>SUMIF(FS_H!$1:$1,G$1,FS_H!136:136)</f>
        <v/>
      </c>
      <c r="H136" s="141">
        <f>SUMIF(FS_H!$1:$1,H$1,FS_H!136:136)</f>
        <v/>
      </c>
      <c r="I136" s="141">
        <f>SUMIF(FS_H!$1:$1,I$1,FS_H!136:136)</f>
        <v/>
      </c>
      <c r="J136" s="141">
        <f>SUMIF(FS_H!$1:$1,J$1,FS_H!136:136)</f>
        <v/>
      </c>
      <c r="K136" s="141">
        <f>SUMIF(FS_H!$1:$1,K$1,FS_H!136:136)</f>
        <v/>
      </c>
      <c r="L136" s="141">
        <f>SUMIF(FS_H!$1:$1,L$1,FS_H!136:136)</f>
        <v/>
      </c>
      <c r="M136" s="141">
        <f>SUMIF(FS_H!$1:$1,M$1,FS_H!136:136)</f>
        <v/>
      </c>
      <c r="N136" s="141">
        <f>SUMIF(FS_H!$1:$1,N$1,FS_H!136:136)</f>
        <v/>
      </c>
      <c r="O136" s="141">
        <f>SUMIF(FS_H!$1:$1,O$1,FS_H!136:136)</f>
        <v/>
      </c>
      <c r="P136" s="141">
        <f>SUMIF(FS_H!$1:$1,P$1,FS_H!136:136)</f>
        <v/>
      </c>
      <c r="Q136" s="141">
        <f>SUMIF(FS_H!$1:$1,Q$1,FS_H!136:136)</f>
        <v/>
      </c>
      <c r="R136" s="141">
        <f>SUMIF(FS_H!$1:$1,R$1,FS_H!136:136)</f>
        <v/>
      </c>
      <c r="S136" s="141">
        <f>SUMIF(FS_H!$1:$1,S$1,FS_H!136:136)</f>
        <v/>
      </c>
      <c r="T136" s="141">
        <f>SUMIF(FS_H!$1:$1,T$1,FS_H!136:136)</f>
        <v/>
      </c>
      <c r="U136" s="141">
        <f>SUMIF(FS_H!$1:$1,U$1,FS_H!136:136)</f>
        <v/>
      </c>
    </row>
    <row r="137">
      <c r="A137" s="74" t="inlineStr">
        <is>
          <t>Dividends paid</t>
        </is>
      </c>
      <c r="G137" s="141">
        <f>SUMIF(FS_H!$1:$1,G$1,FS_H!137:137)</f>
        <v/>
      </c>
      <c r="H137" s="141">
        <f>SUMIF(FS_H!$1:$1,H$1,FS_H!137:137)</f>
        <v/>
      </c>
      <c r="I137" s="141">
        <f>SUMIF(FS_H!$1:$1,I$1,FS_H!137:137)</f>
        <v/>
      </c>
      <c r="J137" s="141">
        <f>SUMIF(FS_H!$1:$1,J$1,FS_H!137:137)</f>
        <v/>
      </c>
      <c r="K137" s="141">
        <f>SUMIF(FS_H!$1:$1,K$1,FS_H!137:137)</f>
        <v/>
      </c>
      <c r="L137" s="141">
        <f>SUMIF(FS_H!$1:$1,L$1,FS_H!137:137)</f>
        <v/>
      </c>
      <c r="M137" s="141">
        <f>SUMIF(FS_H!$1:$1,M$1,FS_H!137:137)</f>
        <v/>
      </c>
      <c r="N137" s="141">
        <f>SUMIF(FS_H!$1:$1,N$1,FS_H!137:137)</f>
        <v/>
      </c>
      <c r="O137" s="141">
        <f>SUMIF(FS_H!$1:$1,O$1,FS_H!137:137)</f>
        <v/>
      </c>
      <c r="P137" s="141">
        <f>SUMIF(FS_H!$1:$1,P$1,FS_H!137:137)</f>
        <v/>
      </c>
      <c r="Q137" s="141">
        <f>SUMIF(FS_H!$1:$1,Q$1,FS_H!137:137)</f>
        <v/>
      </c>
      <c r="R137" s="141">
        <f>SUMIF(FS_H!$1:$1,R$1,FS_H!137:137)</f>
        <v/>
      </c>
      <c r="S137" s="141">
        <f>SUMIF(FS_H!$1:$1,S$1,FS_H!137:137)</f>
        <v/>
      </c>
      <c r="T137" s="141">
        <f>SUMIF(FS_H!$1:$1,T$1,FS_H!137:137)</f>
        <v/>
      </c>
      <c r="U137" s="141">
        <f>SUMIF(FS_H!$1:$1,U$1,FS_H!137:137)</f>
        <v/>
      </c>
    </row>
    <row r="138">
      <c r="A138" t="inlineStr">
        <is>
          <t>Adjustments for historical</t>
        </is>
      </c>
      <c r="G138" s="76">
        <f>G139-SUM(G133:G137)</f>
        <v/>
      </c>
      <c r="H138" s="76">
        <f>H139-SUM(H133:H137)</f>
        <v/>
      </c>
      <c r="I138" s="76">
        <f>I139-SUM(I133:I137)</f>
        <v/>
      </c>
      <c r="J138" s="76">
        <f>J139-SUM(J133:J137)</f>
        <v/>
      </c>
      <c r="K138" s="76">
        <f>K139-SUM(K133:K137)</f>
        <v/>
      </c>
      <c r="L138" s="76">
        <f>L139-SUM(L133:L137)</f>
        <v/>
      </c>
      <c r="M138" s="76">
        <f>M139-SUM(M133:M137)</f>
        <v/>
      </c>
      <c r="N138" s="76">
        <f>N139-SUM(N133:N137)</f>
        <v/>
      </c>
      <c r="O138" s="76">
        <f>O139-SUM(O133:O137)</f>
        <v/>
      </c>
      <c r="P138" s="76">
        <f>P139-SUM(P133:P137)</f>
        <v/>
      </c>
      <c r="Q138" s="76">
        <f>Q139-SUM(Q133:Q137)</f>
        <v/>
      </c>
      <c r="R138" s="76">
        <f>R139-SUM(R133:R137)</f>
        <v/>
      </c>
      <c r="S138" s="76">
        <f>S139-SUM(S133:S137)</f>
        <v/>
      </c>
      <c r="T138" s="76">
        <f>T139-SUM(T133:T137)</f>
        <v/>
      </c>
      <c r="U138" s="76">
        <f>U139-SUM(U133:U137)</f>
        <v/>
      </c>
    </row>
    <row r="139">
      <c r="A139" s="22" t="inlineStr">
        <is>
          <t>Net cash flows (used in)/from financing activities</t>
        </is>
      </c>
      <c r="G139" s="121">
        <f>SUMIF(FS_H!$1:$1,G$1,FS_H!139:139)</f>
        <v/>
      </c>
      <c r="H139" s="121">
        <f>SUMIF(FS_H!$1:$1,H$1,FS_H!139:139)</f>
        <v/>
      </c>
      <c r="I139" s="121">
        <f>SUMIF(FS_H!$1:$1,I$1,FS_H!139:139)</f>
        <v/>
      </c>
      <c r="J139" s="121">
        <f>SUMIF(FS_H!$1:$1,J$1,FS_H!139:139)</f>
        <v/>
      </c>
      <c r="K139" s="121">
        <f>SUMIF(FS_H!$1:$1,K$1,FS_H!139:139)</f>
        <v/>
      </c>
      <c r="L139" s="121">
        <f>SUMIF(FS_H!$1:$1,L$1,FS_H!139:139)</f>
        <v/>
      </c>
      <c r="M139" s="121">
        <f>SUMIF(FS_H!$1:$1,M$1,FS_H!139:139)</f>
        <v/>
      </c>
      <c r="N139" s="121">
        <f>SUMIF(FS_H!$1:$1,N$1,FS_H!139:139)</f>
        <v/>
      </c>
      <c r="O139" s="121">
        <f>SUMIF(FS_H!$1:$1,O$1,FS_H!139:139)</f>
        <v/>
      </c>
      <c r="P139" s="121">
        <f>SUMIF(FS_H!$1:$1,P$1,FS_H!139:139)</f>
        <v/>
      </c>
      <c r="Q139" s="121">
        <f>SUMIF(FS_H!$1:$1,Q$1,FS_H!139:139)</f>
        <v/>
      </c>
      <c r="R139" s="121">
        <f>SUMIF(FS_H!$1:$1,R$1,FS_H!139:139)</f>
        <v/>
      </c>
      <c r="S139" s="121">
        <f>SUMIF(FS_H!$1:$1,S$1,FS_H!139:139)</f>
        <v/>
      </c>
      <c r="T139" s="121">
        <f>SUMIF(FS_H!$1:$1,T$1,FS_H!139:139)</f>
        <v/>
      </c>
      <c r="U139" s="121">
        <f>SUMIF(FS_H!$1:$1,U$1,FS_H!139:139)</f>
        <v/>
      </c>
    </row>
    <row r="140">
      <c r="G140" s="31" t="n"/>
      <c r="H140" s="31" t="n"/>
      <c r="I140" s="31" t="n"/>
      <c r="J140" s="31" t="n"/>
      <c r="K140" s="31" t="n"/>
      <c r="L140" s="31" t="n"/>
      <c r="M140" s="31" t="n"/>
      <c r="N140" s="31" t="n"/>
      <c r="O140" s="31" t="n"/>
      <c r="P140" s="31" t="n"/>
      <c r="Q140" s="31" t="n"/>
      <c r="R140" s="31" t="n"/>
      <c r="S140" s="31" t="n"/>
      <c r="T140" s="31" t="n"/>
      <c r="U140" s="31" t="n"/>
    </row>
    <row r="141">
      <c r="A141" s="22" t="inlineStr">
        <is>
          <t>Net (decrease)/increase in cash and cash equivalents</t>
        </is>
      </c>
      <c r="H141" s="121">
        <f>H119+H130+H139</f>
        <v/>
      </c>
      <c r="I141" s="121">
        <f>I119+I130+I139</f>
        <v/>
      </c>
      <c r="J141" s="121">
        <f>J119+J130+J139</f>
        <v/>
      </c>
      <c r="K141" s="121">
        <f>K119+K130+K139</f>
        <v/>
      </c>
      <c r="L141" s="121">
        <f>L119+L130+L139</f>
        <v/>
      </c>
      <c r="M141" s="121">
        <f>M119+M130+M139</f>
        <v/>
      </c>
      <c r="N141" s="121">
        <f>N119+N130+N139</f>
        <v/>
      </c>
      <c r="O141" s="121">
        <f>O119+O130+O139</f>
        <v/>
      </c>
      <c r="P141" s="121">
        <f>P119+P130+P139</f>
        <v/>
      </c>
      <c r="Q141" s="121">
        <f>Q119+Q130+Q139</f>
        <v/>
      </c>
      <c r="R141" s="121">
        <f>R119+R130+R139</f>
        <v/>
      </c>
      <c r="S141" s="121">
        <f>S119+S130+S139</f>
        <v/>
      </c>
      <c r="T141" s="121">
        <f>T119+T130+T139</f>
        <v/>
      </c>
      <c r="U141" s="121">
        <f>U119+U130+U139</f>
        <v/>
      </c>
    </row>
    <row r="142">
      <c r="A142" t="inlineStr">
        <is>
          <t>Cash and cash equivalents at beginning of Period</t>
        </is>
      </c>
      <c r="H142" s="86">
        <f>+G145</f>
        <v/>
      </c>
      <c r="I142" s="86">
        <f>+H145</f>
        <v/>
      </c>
      <c r="J142" s="86">
        <f>+I145</f>
        <v/>
      </c>
      <c r="K142" s="86">
        <f>+J145</f>
        <v/>
      </c>
      <c r="L142" s="86">
        <f>+K145</f>
        <v/>
      </c>
      <c r="M142" s="86">
        <f>+L145</f>
        <v/>
      </c>
      <c r="N142" s="86">
        <f>+M145</f>
        <v/>
      </c>
      <c r="O142" s="86">
        <f>+N145</f>
        <v/>
      </c>
      <c r="P142" s="86">
        <f>+O145</f>
        <v/>
      </c>
      <c r="Q142" s="86">
        <f>+P145</f>
        <v/>
      </c>
      <c r="R142" s="86">
        <f>+Q145</f>
        <v/>
      </c>
      <c r="S142" s="86">
        <f>+R145</f>
        <v/>
      </c>
      <c r="T142" s="86">
        <f>+S145</f>
        <v/>
      </c>
      <c r="U142" s="86">
        <f>+T145</f>
        <v/>
      </c>
    </row>
    <row r="143">
      <c r="A143" t="inlineStr">
        <is>
          <t>Effect of foreign exchange rate changes</t>
        </is>
      </c>
      <c r="H143" s="141">
        <f>SUMIF(FS_H!$1:$1,H$1,FS_H!143:143)</f>
        <v/>
      </c>
      <c r="I143" s="141">
        <f>SUMIF(FS_H!$1:$1,I$1,FS_H!143:143)</f>
        <v/>
      </c>
      <c r="J143" s="141">
        <f>SUMIF(FS_H!$1:$1,J$1,FS_H!143:143)</f>
        <v/>
      </c>
      <c r="K143" s="141">
        <f>SUMIF(FS_H!$1:$1,K$1,FS_H!143:143)</f>
        <v/>
      </c>
      <c r="L143" s="141">
        <f>SUMIF(FS_H!$1:$1,L$1,FS_H!143:143)</f>
        <v/>
      </c>
      <c r="M143" s="141">
        <f>SUMIF(FS_H!$1:$1,M$1,FS_H!143:143)</f>
        <v/>
      </c>
      <c r="N143" s="141">
        <f>SUMIF(FS_H!$1:$1,N$1,FS_H!143:143)</f>
        <v/>
      </c>
      <c r="O143" s="141">
        <f>SUMIF(FS_H!$1:$1,O$1,FS_H!143:143)</f>
        <v/>
      </c>
      <c r="P143" s="141">
        <f>SUMIF(FS_H!$1:$1,P$1,FS_H!143:143)</f>
        <v/>
      </c>
      <c r="Q143" s="141">
        <f>SUMIF(FS_H!$1:$1,Q$1,FS_H!143:143)</f>
        <v/>
      </c>
      <c r="R143" s="141">
        <f>SUMIF(FS_H!$1:$1,R$1,FS_H!143:143)</f>
        <v/>
      </c>
      <c r="S143" s="141">
        <f>SUMIF(FS_H!$1:$1,S$1,FS_H!143:143)</f>
        <v/>
      </c>
      <c r="T143" s="141">
        <f>SUMIF(FS_H!$1:$1,T$1,FS_H!143:143)</f>
        <v/>
      </c>
      <c r="U143" s="141">
        <f>SUMIF(FS_H!$1:$1,U$1,FS_H!143:143)</f>
        <v/>
      </c>
    </row>
    <row r="144">
      <c r="A144" t="inlineStr">
        <is>
          <t>Adjustments for historical</t>
        </is>
      </c>
      <c r="H144" s="143">
        <f>H145-SUM(H141:H143)</f>
        <v/>
      </c>
      <c r="I144" s="143">
        <f>I145-SUM(I141:I143)</f>
        <v/>
      </c>
      <c r="J144" s="143">
        <f>J145-SUM(J141:J143)</f>
        <v/>
      </c>
      <c r="K144" s="143">
        <f>K145-SUM(K141:K143)</f>
        <v/>
      </c>
      <c r="L144" s="143">
        <f>L145-SUM(L141:L143)</f>
        <v/>
      </c>
      <c r="M144" s="143">
        <f>M145-SUM(M141:M143)</f>
        <v/>
      </c>
      <c r="N144" s="143">
        <f>N145-SUM(N141:N143)</f>
        <v/>
      </c>
      <c r="O144" s="143">
        <f>O145-SUM(O141:O143)</f>
        <v/>
      </c>
      <c r="P144" s="143">
        <f>P145-SUM(P141:P143)</f>
        <v/>
      </c>
      <c r="Q144" s="143">
        <f>Q145-SUM(Q141:Q143)</f>
        <v/>
      </c>
      <c r="R144" s="143">
        <f>R145-SUM(R141:R143)</f>
        <v/>
      </c>
      <c r="S144" s="143">
        <f>S145-SUM(S141:S143)</f>
        <v/>
      </c>
      <c r="T144" s="143">
        <f>T145-SUM(T141:T143)</f>
        <v/>
      </c>
      <c r="U144" s="143">
        <f>U145-SUM(U141:U143)</f>
        <v/>
      </c>
    </row>
    <row r="145">
      <c r="A145" s="22" t="inlineStr">
        <is>
          <t>Cash and cash equivalents at end of period</t>
        </is>
      </c>
      <c r="G145" s="86">
        <f>+G38</f>
        <v/>
      </c>
      <c r="H145" s="86">
        <f>+H38</f>
        <v/>
      </c>
      <c r="I145" s="86">
        <f>+I38</f>
        <v/>
      </c>
      <c r="J145" s="86">
        <f>+J38</f>
        <v/>
      </c>
      <c r="K145" s="86">
        <f>+K38</f>
        <v/>
      </c>
      <c r="L145" s="86">
        <f>+L38</f>
        <v/>
      </c>
      <c r="M145" s="86">
        <f>+M38</f>
        <v/>
      </c>
      <c r="N145" s="86">
        <f>+N38</f>
        <v/>
      </c>
      <c r="O145" s="86">
        <f>+O38</f>
        <v/>
      </c>
      <c r="P145" s="86">
        <f>+P38</f>
        <v/>
      </c>
      <c r="Q145" s="86">
        <f>+Q38</f>
        <v/>
      </c>
      <c r="R145" s="86">
        <f>+R38</f>
        <v/>
      </c>
      <c r="S145" s="86">
        <f>+S38</f>
        <v/>
      </c>
      <c r="T145" s="86">
        <f>+T38</f>
        <v/>
      </c>
      <c r="U145" s="86">
        <f>+U38</f>
        <v/>
      </c>
    </row>
    <row r="146">
      <c r="A146" s="22" t="n"/>
      <c r="I146" s="128" t="n"/>
      <c r="J146" s="128" t="n"/>
      <c r="K146" s="128" t="n"/>
      <c r="L146" s="128" t="n"/>
      <c r="M146" s="128" t="n"/>
      <c r="N146" s="128" t="n"/>
      <c r="O146" s="128" t="n"/>
      <c r="P146" s="128" t="n"/>
      <c r="Q146" s="128" t="n"/>
      <c r="R146" s="128" t="n"/>
      <c r="S146" s="31" t="n"/>
      <c r="T146" s="128" t="n"/>
      <c r="U146" s="31" t="n"/>
    </row>
    <row r="147">
      <c r="I147" s="128" t="n"/>
      <c r="J147" s="128" t="n"/>
      <c r="K147" s="128" t="n"/>
      <c r="L147" s="128" t="n"/>
      <c r="M147" s="128" t="n"/>
      <c r="N147" s="128" t="n"/>
      <c r="O147" s="128" t="n"/>
      <c r="P147" s="128" t="n"/>
      <c r="Q147" s="128" t="n"/>
      <c r="R147" s="128" t="n"/>
      <c r="S147" s="31" t="n"/>
      <c r="T147" s="128" t="n"/>
      <c r="U147" s="31" t="n"/>
    </row>
    <row r="148">
      <c r="A148" s="81" t="inlineStr">
        <is>
          <t>KEY OPERATIONAL INDICATORS</t>
        </is>
      </c>
      <c r="I148" s="128" t="n"/>
      <c r="J148" s="128" t="n"/>
      <c r="K148" s="128" t="n"/>
      <c r="L148" s="128" t="n"/>
      <c r="M148" s="128" t="n"/>
      <c r="N148" s="128" t="n"/>
      <c r="O148" s="128" t="n"/>
      <c r="P148" s="128" t="n"/>
      <c r="Q148" s="128" t="n"/>
      <c r="R148" s="128" t="n"/>
      <c r="S148" s="31" t="n"/>
      <c r="T148" s="128" t="n"/>
      <c r="U148" s="31" t="n"/>
    </row>
    <row r="149">
      <c r="A149" s="169" t="n"/>
      <c r="I149" s="128" t="n"/>
      <c r="J149" s="128" t="n"/>
      <c r="K149" s="128" t="n"/>
      <c r="L149" s="128" t="n"/>
      <c r="M149" s="128" t="n"/>
      <c r="N149" s="128" t="n"/>
      <c r="O149" s="128" t="n"/>
      <c r="P149" s="128" t="n"/>
      <c r="Q149" s="128" t="n"/>
      <c r="R149" s="128" t="n"/>
      <c r="S149" s="31" t="n"/>
      <c r="T149" s="128" t="n"/>
      <c r="U149" s="31" t="n"/>
    </row>
    <row r="150">
      <c r="A150" s="40" t="inlineStr">
        <is>
          <t>Organic turnover</t>
        </is>
      </c>
      <c r="G150" s="86">
        <f>G11</f>
        <v/>
      </c>
      <c r="H150" s="86">
        <f>H11</f>
        <v/>
      </c>
      <c r="I150" s="86">
        <f>I11</f>
        <v/>
      </c>
      <c r="J150" s="86">
        <f>J11</f>
        <v/>
      </c>
      <c r="K150" s="86">
        <f>K11</f>
        <v/>
      </c>
      <c r="L150" s="86">
        <f>L11</f>
        <v/>
      </c>
      <c r="M150" s="86">
        <f>M11</f>
        <v/>
      </c>
      <c r="N150" s="86">
        <f>N11</f>
        <v/>
      </c>
      <c r="O150" s="86">
        <f>O11</f>
        <v/>
      </c>
      <c r="P150" s="86">
        <f>P11</f>
        <v/>
      </c>
      <c r="Q150" s="86">
        <f>Q11</f>
        <v/>
      </c>
      <c r="R150" s="86">
        <f>R11</f>
        <v/>
      </c>
      <c r="S150" s="86">
        <f>S11</f>
        <v/>
      </c>
      <c r="T150" s="86">
        <f>T11</f>
        <v/>
      </c>
      <c r="U150" s="86">
        <f>U11</f>
        <v/>
      </c>
    </row>
    <row r="151" hidden="1">
      <c r="A151" s="74" t="n"/>
      <c r="G151" s="882" t="n"/>
      <c r="H151" s="882" t="n"/>
      <c r="I151" s="882" t="n"/>
      <c r="J151" s="882" t="n"/>
      <c r="K151" s="882" t="n"/>
      <c r="L151" s="882" t="n"/>
      <c r="M151" s="882" t="n"/>
      <c r="N151" s="882" t="n"/>
      <c r="O151" s="882" t="n"/>
      <c r="P151" s="882" t="n"/>
      <c r="Q151" s="882" t="n"/>
      <c r="R151" s="882" t="n"/>
      <c r="S151" s="882" t="n"/>
      <c r="T151" s="882" t="n"/>
      <c r="U151" s="882" t="n"/>
    </row>
    <row r="152">
      <c r="A152" s="74" t="inlineStr">
        <is>
          <t>YoY Growth</t>
        </is>
      </c>
      <c r="G152" s="882" t="n"/>
      <c r="H152" s="882">
        <f>H150/G150-1</f>
        <v/>
      </c>
      <c r="I152" s="882">
        <f>I150/H150-1</f>
        <v/>
      </c>
      <c r="J152" s="882">
        <f>J150/I150-1</f>
        <v/>
      </c>
      <c r="K152" s="882">
        <f>K150/J150-1</f>
        <v/>
      </c>
      <c r="L152" s="882">
        <f>L150/K150-1</f>
        <v/>
      </c>
      <c r="M152" s="882">
        <f>M150/L150-1</f>
        <v/>
      </c>
      <c r="N152" s="882">
        <f>N150/M150-1</f>
        <v/>
      </c>
      <c r="O152" s="882">
        <f>O150/N150-1</f>
        <v/>
      </c>
      <c r="P152" s="882">
        <f>P150/O150-1</f>
        <v/>
      </c>
      <c r="Q152" s="882">
        <f>Q150/P150-1</f>
        <v/>
      </c>
      <c r="R152" s="882">
        <f>R150/Q150-1</f>
        <v/>
      </c>
      <c r="S152" s="882">
        <f>S150/R150-1</f>
        <v/>
      </c>
      <c r="T152" s="882">
        <f>T150/S150-1</f>
        <v/>
      </c>
      <c r="U152" s="882">
        <f>U150/T150-1</f>
        <v/>
      </c>
    </row>
    <row r="153">
      <c r="G153" s="31" t="n"/>
      <c r="H153" s="31" t="n"/>
      <c r="I153" s="31" t="n"/>
      <c r="J153" s="31" t="n"/>
      <c r="K153" s="31" t="n"/>
      <c r="L153" s="31" t="n"/>
      <c r="M153" s="31" t="n"/>
      <c r="N153" s="31" t="n"/>
      <c r="O153" s="31" t="n"/>
      <c r="P153" s="76" t="n"/>
      <c r="Q153" s="31" t="n"/>
      <c r="R153" s="31" t="n"/>
      <c r="S153" s="31" t="n"/>
      <c r="T153" s="31" t="n"/>
      <c r="U153" s="31" t="n"/>
    </row>
    <row r="154">
      <c r="A154" s="40" t="inlineStr">
        <is>
          <t>EBITDA</t>
        </is>
      </c>
      <c r="G154" s="86">
        <f>+G18+G104+G105</f>
        <v/>
      </c>
      <c r="H154" s="86">
        <f>+H18+H104+H105</f>
        <v/>
      </c>
      <c r="I154" s="86">
        <f>+I18+I104+I105</f>
        <v/>
      </c>
      <c r="J154" s="86">
        <f>+J18+J104+J105</f>
        <v/>
      </c>
      <c r="K154" s="86">
        <f>+K18+K104+K105</f>
        <v/>
      </c>
      <c r="L154" s="86">
        <f>+L18+L104+L105</f>
        <v/>
      </c>
      <c r="M154" s="86">
        <f>+M18+M104+M105</f>
        <v/>
      </c>
      <c r="N154" s="86">
        <f>+N18+N104+N105</f>
        <v/>
      </c>
      <c r="O154" s="86">
        <f>+O18+O104+O105</f>
        <v/>
      </c>
      <c r="P154" s="86">
        <f>+P18+P104+P105</f>
        <v/>
      </c>
      <c r="Q154" s="86">
        <f>+Q18+Q104+Q105</f>
        <v/>
      </c>
      <c r="R154" s="86">
        <f>+R18+R104+R105</f>
        <v/>
      </c>
      <c r="S154" s="86">
        <f>+S18+S104+S105</f>
        <v/>
      </c>
      <c r="T154" s="86">
        <f>+T18+T104+T105</f>
        <v/>
      </c>
      <c r="U154" s="86">
        <f>+U18+U104+U105</f>
        <v/>
      </c>
    </row>
    <row r="155">
      <c r="A155" s="74" t="inlineStr">
        <is>
          <t>YoY growth</t>
        </is>
      </c>
      <c r="G155" s="31" t="n"/>
      <c r="H155" s="190">
        <f>H154/G154-1</f>
        <v/>
      </c>
      <c r="I155" s="190">
        <f>I154/H154-1</f>
        <v/>
      </c>
      <c r="J155" s="190">
        <f>J154/I154-1</f>
        <v/>
      </c>
      <c r="K155" s="190">
        <f>K154/J154-1</f>
        <v/>
      </c>
      <c r="L155" s="190">
        <f>L154/K154-1</f>
        <v/>
      </c>
      <c r="M155" s="190">
        <f>M154/L154-1</f>
        <v/>
      </c>
      <c r="N155" s="190">
        <f>N154/M154-1</f>
        <v/>
      </c>
      <c r="O155" s="190">
        <f>O154/N154-1</f>
        <v/>
      </c>
      <c r="P155" s="190">
        <f>P154/O154-1</f>
        <v/>
      </c>
      <c r="Q155" s="190">
        <f>Q154/P154-1</f>
        <v/>
      </c>
      <c r="R155" s="190">
        <f>R154/Q154-1</f>
        <v/>
      </c>
      <c r="S155" s="190">
        <f>S154/R154-1</f>
        <v/>
      </c>
      <c r="T155" s="190">
        <f>T154/S154-1</f>
        <v/>
      </c>
      <c r="U155" s="190">
        <f>U154/T154-1</f>
        <v/>
      </c>
    </row>
    <row r="156">
      <c r="A156" s="22" t="inlineStr">
        <is>
          <t>Cash and cash equivalent from balance sheet</t>
        </is>
      </c>
      <c r="G156" s="86">
        <f>G38</f>
        <v/>
      </c>
      <c r="H156" s="86">
        <f>H38</f>
        <v/>
      </c>
      <c r="I156" s="86">
        <f>I38</f>
        <v/>
      </c>
      <c r="J156" s="86">
        <f>J38</f>
        <v/>
      </c>
      <c r="K156" s="86">
        <f>K38</f>
        <v/>
      </c>
      <c r="L156" s="86">
        <f>L38</f>
        <v/>
      </c>
      <c r="M156" s="86">
        <f>M38</f>
        <v/>
      </c>
      <c r="N156" s="86">
        <f>N38</f>
        <v/>
      </c>
      <c r="O156" s="86">
        <f>O38</f>
        <v/>
      </c>
      <c r="P156" s="86">
        <f>P38</f>
        <v/>
      </c>
      <c r="Q156" s="86">
        <f>Q38</f>
        <v/>
      </c>
      <c r="R156" s="86">
        <f>R38</f>
        <v/>
      </c>
      <c r="S156" s="86">
        <f>S38</f>
        <v/>
      </c>
      <c r="T156" s="86">
        <f>T38</f>
        <v/>
      </c>
      <c r="U156" s="86">
        <f>U38</f>
        <v/>
      </c>
    </row>
    <row r="157">
      <c r="A157" s="104" t="inlineStr">
        <is>
          <t>Excess cash (above 10% of annualized revenue)</t>
        </is>
      </c>
      <c r="G157" s="88">
        <f>G156-(0.1*G11*G$223)</f>
        <v/>
      </c>
      <c r="H157" s="88">
        <f>H156-(0.1*H11*H$223)</f>
        <v/>
      </c>
      <c r="I157" s="88">
        <f>I156-(0.1*I11*I$223)</f>
        <v/>
      </c>
      <c r="J157" s="88">
        <f>J156-(0.1*J11*J$223)</f>
        <v/>
      </c>
      <c r="K157" s="88">
        <f>K156-(0.1*K11*K$223)</f>
        <v/>
      </c>
      <c r="L157" s="88">
        <f>L156-(0.1*L11*L$223)</f>
        <v/>
      </c>
      <c r="M157" s="88">
        <f>M156-(0.1*M11*M$223)</f>
        <v/>
      </c>
      <c r="N157" s="88">
        <f>N156-(0.1*N11*N$223)</f>
        <v/>
      </c>
      <c r="O157" s="88">
        <f>O156-(0.1*O11*O$223)</f>
        <v/>
      </c>
      <c r="P157" s="88">
        <f>P156-(0.1*P11*P$223)</f>
        <v/>
      </c>
      <c r="Q157" s="88">
        <f>Q156-(0.1*Q11*Q$223)</f>
        <v/>
      </c>
      <c r="R157" s="88">
        <f>R156-(0.1*R11*R$223)</f>
        <v/>
      </c>
      <c r="S157" s="88">
        <f>S156-(0.1*S11*S$223)</f>
        <v/>
      </c>
      <c r="T157" s="88">
        <f>T156-(0.1*T11*T$223)</f>
        <v/>
      </c>
      <c r="U157" s="88">
        <f>U156-(0.1*U11*U$223)</f>
        <v/>
      </c>
    </row>
    <row r="158">
      <c r="A158" s="104" t="inlineStr">
        <is>
          <t>Working cash</t>
        </is>
      </c>
      <c r="G158" s="88">
        <f>+G156-G157</f>
        <v/>
      </c>
      <c r="H158" s="88">
        <f>+H156-H157</f>
        <v/>
      </c>
      <c r="I158" s="88">
        <f>+I156-I157</f>
        <v/>
      </c>
      <c r="J158" s="88">
        <f>+J156-J157</f>
        <v/>
      </c>
      <c r="K158" s="88">
        <f>+K156-K157</f>
        <v/>
      </c>
      <c r="L158" s="88">
        <f>+L156-L157</f>
        <v/>
      </c>
      <c r="M158" s="88">
        <f>+M156-M157</f>
        <v/>
      </c>
      <c r="N158" s="88">
        <f>+N156-N157</f>
        <v/>
      </c>
      <c r="O158" s="88">
        <f>+O156-O157</f>
        <v/>
      </c>
      <c r="P158" s="88">
        <f>+P156-P157</f>
        <v/>
      </c>
      <c r="Q158" s="88">
        <f>+Q156-Q157</f>
        <v/>
      </c>
      <c r="R158" s="88">
        <f>+R156-R157</f>
        <v/>
      </c>
      <c r="S158" s="88">
        <f>+S156-S157</f>
        <v/>
      </c>
      <c r="T158" s="88">
        <f>+T156-T157</f>
        <v/>
      </c>
      <c r="U158" s="88">
        <f>+U156-U157</f>
        <v/>
      </c>
    </row>
    <row r="159">
      <c r="A159" s="104" t="n"/>
      <c r="G159" s="143" t="n"/>
      <c r="H159" s="143" t="n"/>
      <c r="I159" s="143" t="n"/>
      <c r="J159" s="143" t="n"/>
      <c r="K159" s="143" t="n"/>
      <c r="L159" s="143" t="n"/>
      <c r="M159" s="143" t="n"/>
      <c r="N159" s="143" t="n"/>
      <c r="O159" s="143" t="n"/>
      <c r="P159" s="143" t="n"/>
      <c r="Q159" s="143" t="n"/>
      <c r="R159" s="143" t="n"/>
      <c r="S159" s="143" t="n"/>
      <c r="T159" s="143" t="n"/>
      <c r="U159" s="143" t="n"/>
    </row>
    <row r="160">
      <c r="A160" s="22" t="inlineStr">
        <is>
          <t>Total debt</t>
        </is>
      </c>
      <c r="G160" s="143" t="n"/>
      <c r="H160" s="143" t="n"/>
      <c r="I160" s="143" t="n"/>
      <c r="J160" s="143" t="n"/>
      <c r="K160" s="143" t="n"/>
      <c r="L160" s="143" t="n"/>
      <c r="M160" s="143" t="n"/>
      <c r="N160" s="143" t="n"/>
      <c r="O160" s="143" t="n"/>
      <c r="P160" s="143" t="n"/>
      <c r="Q160" s="143" t="n"/>
      <c r="R160" s="143" t="n"/>
      <c r="S160" s="143" t="n"/>
      <c r="T160" s="143" t="n"/>
      <c r="U160" s="143" t="n"/>
    </row>
    <row r="161">
      <c r="A161" s="89" t="inlineStr">
        <is>
          <t>Current</t>
        </is>
      </c>
      <c r="G161" s="88">
        <f>G63</f>
        <v/>
      </c>
      <c r="H161" s="88">
        <f>H63</f>
        <v/>
      </c>
      <c r="I161" s="88">
        <f>I63</f>
        <v/>
      </c>
      <c r="J161" s="88">
        <f>J63</f>
        <v/>
      </c>
      <c r="K161" s="88">
        <f>K63</f>
        <v/>
      </c>
      <c r="L161" s="88">
        <f>L63</f>
        <v/>
      </c>
      <c r="M161" s="88">
        <f>M63</f>
        <v/>
      </c>
      <c r="N161" s="88">
        <f>N63</f>
        <v/>
      </c>
      <c r="O161" s="88">
        <f>O63</f>
        <v/>
      </c>
      <c r="P161" s="88">
        <f>P63</f>
        <v/>
      </c>
      <c r="Q161" s="88">
        <f>Q63</f>
        <v/>
      </c>
      <c r="R161" s="88">
        <f>R63</f>
        <v/>
      </c>
      <c r="S161" s="88">
        <f>S63</f>
        <v/>
      </c>
      <c r="T161" s="88">
        <f>T63</f>
        <v/>
      </c>
      <c r="U161" s="88">
        <f>U63</f>
        <v/>
      </c>
    </row>
    <row r="162">
      <c r="A162" s="89" t="inlineStr">
        <is>
          <t>Non-current</t>
        </is>
      </c>
      <c r="G162" s="88">
        <f>G73+G74</f>
        <v/>
      </c>
      <c r="H162" s="88">
        <f>H73+H74</f>
        <v/>
      </c>
      <c r="I162" s="88">
        <f>I73+I74</f>
        <v/>
      </c>
      <c r="J162" s="88">
        <f>J73+J74</f>
        <v/>
      </c>
      <c r="K162" s="88">
        <f>K73+K74</f>
        <v/>
      </c>
      <c r="L162" s="88">
        <f>L73+L74</f>
        <v/>
      </c>
      <c r="M162" s="88">
        <f>M73+M74</f>
        <v/>
      </c>
      <c r="N162" s="88">
        <f>N73+N74</f>
        <v/>
      </c>
      <c r="O162" s="88">
        <f>O73+O74</f>
        <v/>
      </c>
      <c r="P162" s="88">
        <f>P73+P74</f>
        <v/>
      </c>
      <c r="Q162" s="88">
        <f>Q73+Q74</f>
        <v/>
      </c>
      <c r="R162" s="88">
        <f>R73+R74</f>
        <v/>
      </c>
      <c r="S162" s="88">
        <f>S73+S74</f>
        <v/>
      </c>
      <c r="T162" s="88">
        <f>T73+T74</f>
        <v/>
      </c>
      <c r="U162" s="88">
        <f>U73+U74</f>
        <v/>
      </c>
    </row>
    <row r="163">
      <c r="A163" s="90" t="inlineStr">
        <is>
          <t>Total debt</t>
        </is>
      </c>
      <c r="G163" s="123">
        <f>SUM(G161:G162)</f>
        <v/>
      </c>
      <c r="H163" s="123">
        <f>SUM(H161:H162)</f>
        <v/>
      </c>
      <c r="I163" s="123">
        <f>SUM(I161:I162)</f>
        <v/>
      </c>
      <c r="J163" s="123">
        <f>SUM(J161:J162)</f>
        <v/>
      </c>
      <c r="K163" s="123">
        <f>SUM(K161:K162)</f>
        <v/>
      </c>
      <c r="L163" s="123">
        <f>SUM(L161:L162)</f>
        <v/>
      </c>
      <c r="M163" s="123">
        <f>SUM(M161:M162)</f>
        <v/>
      </c>
      <c r="N163" s="123">
        <f>SUM(N161:N162)</f>
        <v/>
      </c>
      <c r="O163" s="123">
        <f>SUM(O161:O162)</f>
        <v/>
      </c>
      <c r="P163" s="123">
        <f>SUM(P161:P162)</f>
        <v/>
      </c>
      <c r="Q163" s="123">
        <f>SUM(Q161:Q162)</f>
        <v/>
      </c>
      <c r="R163" s="123">
        <f>SUM(R161:R162)</f>
        <v/>
      </c>
      <c r="S163" s="123">
        <f>SUM(S161:S162)</f>
        <v/>
      </c>
      <c r="T163" s="123">
        <f>SUM(T161:T162)</f>
        <v/>
      </c>
      <c r="U163" s="123">
        <f>SUM(U161:U162)</f>
        <v/>
      </c>
    </row>
    <row r="164">
      <c r="A164" s="92" t="inlineStr">
        <is>
          <t>Total debt to equity ratio</t>
        </is>
      </c>
      <c r="G164" s="883">
        <f>G163/G83</f>
        <v/>
      </c>
      <c r="H164" s="883">
        <f>H163/H83</f>
        <v/>
      </c>
      <c r="I164" s="883">
        <f>I163/I83</f>
        <v/>
      </c>
      <c r="J164" s="883">
        <f>J163/J83</f>
        <v/>
      </c>
      <c r="K164" s="883">
        <f>K163/K83</f>
        <v/>
      </c>
      <c r="L164" s="883">
        <f>L163/L83</f>
        <v/>
      </c>
      <c r="M164" s="883">
        <f>M163/M83</f>
        <v/>
      </c>
      <c r="N164" s="883">
        <f>N163/N83</f>
        <v/>
      </c>
      <c r="O164" s="883">
        <f>O163/O83</f>
        <v/>
      </c>
      <c r="P164" s="883">
        <f>P163/P83</f>
        <v/>
      </c>
      <c r="Q164" s="883">
        <f>Q163/Q83</f>
        <v/>
      </c>
      <c r="R164" s="883">
        <f>R163/R83</f>
        <v/>
      </c>
      <c r="S164" s="883">
        <f>S163/S83</f>
        <v/>
      </c>
      <c r="T164" s="883">
        <f>T163/T83</f>
        <v/>
      </c>
      <c r="U164" s="883">
        <f>U163/U83</f>
        <v/>
      </c>
    </row>
    <row r="165">
      <c r="A165" s="92" t="n"/>
      <c r="G165" s="93" t="n"/>
      <c r="H165" s="93" t="n"/>
      <c r="I165" s="93" t="n"/>
      <c r="J165" s="93" t="n"/>
      <c r="K165" s="93" t="n"/>
      <c r="L165" s="93" t="n"/>
      <c r="M165" s="93" t="n"/>
      <c r="N165" s="93" t="n"/>
      <c r="O165" s="93" t="n"/>
      <c r="P165" s="93" t="n"/>
      <c r="Q165" s="93" t="n"/>
      <c r="R165" s="93" t="n"/>
      <c r="S165" s="93" t="n"/>
      <c r="T165" s="93" t="n"/>
      <c r="U165" s="93" t="n"/>
    </row>
    <row r="166">
      <c r="A166" s="22" t="inlineStr">
        <is>
          <t>Net debt</t>
        </is>
      </c>
      <c r="G166" s="86">
        <f>G163-G157</f>
        <v/>
      </c>
      <c r="H166" s="86">
        <f>H163-H157</f>
        <v/>
      </c>
      <c r="I166" s="86">
        <f>I163-I157</f>
        <v/>
      </c>
      <c r="J166" s="86">
        <f>J163-J157</f>
        <v/>
      </c>
      <c r="K166" s="86">
        <f>K163-K157</f>
        <v/>
      </c>
      <c r="L166" s="86">
        <f>L163-L157</f>
        <v/>
      </c>
      <c r="M166" s="86">
        <f>M163-M157</f>
        <v/>
      </c>
      <c r="N166" s="86">
        <f>N163-N157</f>
        <v/>
      </c>
      <c r="O166" s="86">
        <f>O163-O157</f>
        <v/>
      </c>
      <c r="P166" s="86">
        <f>P163-P157</f>
        <v/>
      </c>
      <c r="Q166" s="86">
        <f>Q163-Q157</f>
        <v/>
      </c>
      <c r="R166" s="86">
        <f>R163-R157</f>
        <v/>
      </c>
      <c r="S166" s="86">
        <f>S163-S157</f>
        <v/>
      </c>
      <c r="T166" s="86">
        <f>T163-T157</f>
        <v/>
      </c>
      <c r="U166" s="86">
        <f>U163-U157</f>
        <v/>
      </c>
    </row>
    <row r="167">
      <c r="A167" s="105" t="inlineStr">
        <is>
          <t>EBITDA / interest expense</t>
        </is>
      </c>
      <c r="G167" s="94">
        <f>-G154/G20</f>
        <v/>
      </c>
      <c r="H167" s="94">
        <f>-H154/H20</f>
        <v/>
      </c>
      <c r="I167" s="94">
        <f>-I154/I20</f>
        <v/>
      </c>
      <c r="J167" s="94">
        <f>-J154/J20</f>
        <v/>
      </c>
      <c r="K167" s="94">
        <f>-K154/K20</f>
        <v/>
      </c>
      <c r="L167" s="94">
        <f>-L154/L20</f>
        <v/>
      </c>
      <c r="M167" s="94">
        <f>-M154/M20</f>
        <v/>
      </c>
      <c r="N167" s="94">
        <f>-N154/N20</f>
        <v/>
      </c>
      <c r="O167" s="94">
        <f>-O154/O20</f>
        <v/>
      </c>
      <c r="P167" s="94">
        <f>-P154/P20</f>
        <v/>
      </c>
      <c r="Q167" s="94">
        <f>-Q154/Q20</f>
        <v/>
      </c>
      <c r="R167" s="94">
        <f>-R154/R20</f>
        <v/>
      </c>
      <c r="S167" s="94">
        <f>-S154/S20</f>
        <v/>
      </c>
      <c r="T167" s="94">
        <f>-T154/T20</f>
        <v/>
      </c>
      <c r="U167" s="94">
        <f>-U154/U20</f>
        <v/>
      </c>
    </row>
    <row r="168">
      <c r="G168" s="76" t="n"/>
      <c r="H168" s="76" t="n"/>
      <c r="I168" s="76" t="n"/>
      <c r="J168" s="76" t="n"/>
      <c r="K168" s="76" t="n"/>
      <c r="L168" s="76" t="n"/>
      <c r="M168" s="76" t="n"/>
      <c r="N168" s="76" t="n"/>
      <c r="O168" s="76" t="n"/>
      <c r="P168" s="76" t="n"/>
      <c r="Q168" s="76" t="n"/>
      <c r="R168" s="76" t="n"/>
      <c r="S168" s="76" t="n"/>
      <c r="T168" s="76" t="n"/>
      <c r="U168" s="76" t="n"/>
    </row>
    <row r="169">
      <c r="A169" s="22" t="inlineStr">
        <is>
          <t>Total trade receivable (trade +bills)</t>
        </is>
      </c>
      <c r="G169" s="86">
        <f>G39+G41</f>
        <v/>
      </c>
      <c r="H169" s="86">
        <f>H39+H41</f>
        <v/>
      </c>
      <c r="I169" s="86">
        <f>I39+I41</f>
        <v/>
      </c>
      <c r="J169" s="86">
        <f>J39+J41</f>
        <v/>
      </c>
      <c r="K169" s="86">
        <f>K39+K41</f>
        <v/>
      </c>
      <c r="L169" s="86">
        <f>L39+L41</f>
        <v/>
      </c>
      <c r="M169" s="86">
        <f>M39+M41</f>
        <v/>
      </c>
      <c r="N169" s="86">
        <f>N39+N41</f>
        <v/>
      </c>
      <c r="O169" s="86">
        <f>O39+O41</f>
        <v/>
      </c>
      <c r="P169" s="86">
        <f>P39+P41</f>
        <v/>
      </c>
      <c r="Q169" s="86">
        <f>Q39+Q41</f>
        <v/>
      </c>
      <c r="R169" s="86">
        <f>R39+R41</f>
        <v/>
      </c>
      <c r="S169" s="86">
        <f>S39+S41</f>
        <v/>
      </c>
      <c r="T169" s="86">
        <f>T39+T41</f>
        <v/>
      </c>
      <c r="U169" s="86">
        <f>U39+U41</f>
        <v/>
      </c>
    </row>
    <row r="170">
      <c r="A170" s="74" t="inlineStr">
        <is>
          <t>In turnover days</t>
        </is>
      </c>
      <c r="G170" s="884">
        <f>G169/(G$11/G221)</f>
        <v/>
      </c>
      <c r="H170" s="884">
        <f>H169/(H$11/H221)</f>
        <v/>
      </c>
      <c r="I170" s="884">
        <f>I169/(I$11/I221)</f>
        <v/>
      </c>
      <c r="J170" s="884">
        <f>J169/(J$11/J221)</f>
        <v/>
      </c>
      <c r="K170" s="884">
        <f>K169/(K$11/K221)</f>
        <v/>
      </c>
      <c r="L170" s="884">
        <f>L169/(L$11/L221)</f>
        <v/>
      </c>
      <c r="M170" s="884">
        <f>M169/(M$11/M221)</f>
        <v/>
      </c>
      <c r="N170" s="884">
        <f>N169/(N$11/N221)</f>
        <v/>
      </c>
      <c r="O170" s="884">
        <f>O169/(O$11/O221)</f>
        <v/>
      </c>
      <c r="P170" s="884">
        <f>P169/(P$11/P221)</f>
        <v/>
      </c>
      <c r="Q170" s="884">
        <f>Q169/(Q$11/Q221)</f>
        <v/>
      </c>
      <c r="R170" s="884">
        <f>R169/(R$11/R221)</f>
        <v/>
      </c>
      <c r="S170" s="884">
        <f>S169/(S$11/S221)</f>
        <v/>
      </c>
      <c r="T170" s="884">
        <f>T169/(T$11/T221)</f>
        <v/>
      </c>
      <c r="U170" s="884">
        <f>U169/(U$11/U221)</f>
        <v/>
      </c>
    </row>
    <row r="171">
      <c r="A171" s="22" t="inlineStr">
        <is>
          <t>Inventory turnover days</t>
        </is>
      </c>
      <c r="G171" s="884">
        <f>-G42/(G$12/G221)</f>
        <v/>
      </c>
      <c r="H171" s="884">
        <f>-H42/(H$12/H221)</f>
        <v/>
      </c>
      <c r="I171" s="884">
        <f>-I42/(I$12/I221)</f>
        <v/>
      </c>
      <c r="J171" s="884">
        <f>-J42/(J$12/J221)</f>
        <v/>
      </c>
      <c r="K171" s="884">
        <f>-K42/(K$12/K221)</f>
        <v/>
      </c>
      <c r="L171" s="884">
        <f>-L42/(L$12/L221)</f>
        <v/>
      </c>
      <c r="M171" s="884">
        <f>-M42/(M$12/M221)</f>
        <v/>
      </c>
      <c r="N171" s="884">
        <f>-N42/(N$12/N221)</f>
        <v/>
      </c>
      <c r="O171" s="884">
        <f>-O42/(O$12/O221)</f>
        <v/>
      </c>
      <c r="P171" s="884">
        <f>-P42/(P$12/P221)</f>
        <v/>
      </c>
      <c r="Q171" s="884">
        <f>-Q42/(Q$12/Q221)</f>
        <v/>
      </c>
      <c r="R171" s="884">
        <f>-R42/(R$12/R221)</f>
        <v/>
      </c>
      <c r="S171" s="884">
        <f>-S42/(S$12/S221)</f>
        <v/>
      </c>
      <c r="T171" s="884">
        <f>-T42/(T$12/T221)</f>
        <v/>
      </c>
      <c r="U171" s="884">
        <f>-U42/(U$12/U221)</f>
        <v/>
      </c>
    </row>
    <row r="172">
      <c r="A172" s="74" t="n"/>
      <c r="G172" s="31" t="n"/>
      <c r="H172" s="31" t="n"/>
      <c r="I172" s="31" t="n"/>
      <c r="J172" s="31" t="n"/>
      <c r="K172" s="31" t="n"/>
      <c r="L172" s="31" t="n"/>
      <c r="M172" s="31" t="n"/>
      <c r="N172" s="31" t="n"/>
      <c r="O172" s="31" t="n"/>
      <c r="P172" s="31" t="n"/>
      <c r="Q172" s="31" t="n"/>
      <c r="R172" s="31" t="n"/>
      <c r="S172" s="31" t="n"/>
      <c r="T172" s="31" t="n"/>
      <c r="U172" s="31" t="n"/>
    </row>
    <row r="173">
      <c r="A173" s="40" t="inlineStr">
        <is>
          <t>Capex total (ppe+intangible)</t>
        </is>
      </c>
      <c r="G173" s="86">
        <f>-G122-G123-G124</f>
        <v/>
      </c>
      <c r="H173" s="86">
        <f>-H122-H123-H124</f>
        <v/>
      </c>
      <c r="I173" s="86">
        <f>-I122-I123-I124</f>
        <v/>
      </c>
      <c r="J173" s="86">
        <f>-J122-J123-J124</f>
        <v/>
      </c>
      <c r="K173" s="86">
        <f>-K122-K123-K124</f>
        <v/>
      </c>
      <c r="L173" s="86">
        <f>-L122-L123-L124</f>
        <v/>
      </c>
      <c r="M173" s="86">
        <f>-M122-M123-M124</f>
        <v/>
      </c>
      <c r="N173" s="86">
        <f>-N122-N123-N124</f>
        <v/>
      </c>
      <c r="O173" s="86">
        <f>-O122-O123-O124</f>
        <v/>
      </c>
      <c r="P173" s="86">
        <f>-P122-P123-P124</f>
        <v/>
      </c>
      <c r="Q173" s="86">
        <f>-Q122-Q123-Q124</f>
        <v/>
      </c>
      <c r="R173" s="86">
        <f>-R122-R123-R124</f>
        <v/>
      </c>
      <c r="S173" s="86">
        <f>-S122-S123-S124</f>
        <v/>
      </c>
      <c r="T173" s="86">
        <f>-T122-T123-T124</f>
        <v/>
      </c>
      <c r="U173" s="86">
        <f>-U122-U123-U124</f>
        <v/>
      </c>
    </row>
    <row r="174">
      <c r="A174" s="74" t="inlineStr">
        <is>
          <t>As % of sales (capital intensity)</t>
        </is>
      </c>
      <c r="G174" s="882">
        <f>G173/G11</f>
        <v/>
      </c>
      <c r="H174" s="882">
        <f>H173/H11</f>
        <v/>
      </c>
      <c r="I174" s="882">
        <f>I173/I11</f>
        <v/>
      </c>
      <c r="J174" s="882">
        <f>J173/J11</f>
        <v/>
      </c>
      <c r="K174" s="882">
        <f>K173/K11</f>
        <v/>
      </c>
      <c r="L174" s="882">
        <f>L173/L11</f>
        <v/>
      </c>
      <c r="M174" s="882">
        <f>M173/M11</f>
        <v/>
      </c>
      <c r="N174" s="882">
        <f>N173/N11</f>
        <v/>
      </c>
      <c r="O174" s="882">
        <f>O173/O11</f>
        <v/>
      </c>
      <c r="P174" s="882">
        <f>P173/P11</f>
        <v/>
      </c>
      <c r="Q174" s="882">
        <f>Q173/Q11</f>
        <v/>
      </c>
      <c r="R174" s="882">
        <f>R173/R11</f>
        <v/>
      </c>
      <c r="S174" s="882">
        <f>S173/S11</f>
        <v/>
      </c>
      <c r="T174" s="882">
        <f>T173/T11</f>
        <v/>
      </c>
      <c r="U174" s="882">
        <f>U173/U11</f>
        <v/>
      </c>
    </row>
    <row r="175">
      <c r="A175" s="74" t="n"/>
      <c r="G175" s="31" t="n"/>
      <c r="H175" s="31" t="n"/>
      <c r="I175" s="31" t="n"/>
      <c r="J175" s="31" t="n"/>
      <c r="K175" s="31" t="n"/>
      <c r="L175" s="31" t="n"/>
      <c r="M175" s="31" t="n"/>
      <c r="N175" s="31" t="n"/>
      <c r="O175" s="31" t="n"/>
      <c r="P175" s="31" t="n"/>
      <c r="Q175" s="31" t="n"/>
      <c r="R175" s="31" t="n"/>
      <c r="S175" s="31" t="n"/>
      <c r="T175" s="31" t="n"/>
      <c r="U175" s="31" t="n"/>
    </row>
    <row r="176">
      <c r="A176" t="inlineStr">
        <is>
          <t>Dividends per share</t>
        </is>
      </c>
      <c r="G176" s="381">
        <f>SUMIF(FS_H!$1:$1,G$1,FS_H!176:176)</f>
        <v/>
      </c>
      <c r="H176" s="381">
        <f>SUMIF(FS_H!$1:$1,H$1,FS_H!176:176)</f>
        <v/>
      </c>
      <c r="I176" s="381">
        <f>SUMIF(FS_H!$1:$1,I$1,FS_H!176:176)</f>
        <v/>
      </c>
      <c r="J176" s="381">
        <f>SUMIF(FS_H!$1:$1,J$1,FS_H!176:176)</f>
        <v/>
      </c>
      <c r="K176" s="381">
        <f>SUMIF(FS_H!$1:$1,K$1,FS_H!176:176)</f>
        <v/>
      </c>
      <c r="L176" s="381">
        <f>SUMIF(FS_H!$1:$1,L$1,FS_H!176:176)</f>
        <v/>
      </c>
      <c r="M176" s="381">
        <f>SUMIF(FS_H!$1:$1,M$1,FS_H!176:176)</f>
        <v/>
      </c>
      <c r="N176" s="381">
        <f>SUMIF(FS_H!$1:$1,N$1,FS_H!176:176)</f>
        <v/>
      </c>
      <c r="O176" s="381">
        <f>SUMIF(FS_H!$1:$1,O$1,FS_H!176:176)</f>
        <v/>
      </c>
      <c r="P176" s="381">
        <f>SUMIF(FS_H!$1:$1,P$1,FS_H!176:176)</f>
        <v/>
      </c>
      <c r="Q176" s="381">
        <f>SUMIF(FS_H!$1:$1,Q$1,FS_H!176:176)</f>
        <v/>
      </c>
      <c r="R176" s="381">
        <f>SUMIF(FS_H!$1:$1,R$1,FS_H!176:176)</f>
        <v/>
      </c>
      <c r="S176" s="381">
        <f>SUMIF(FS_H!$1:$1,S$1,FS_H!176:176)</f>
        <v/>
      </c>
      <c r="T176" s="381">
        <f>SUMIF(FS_H!$1:$1,T$1,FS_H!176:176)</f>
        <v/>
      </c>
      <c r="U176" s="381">
        <f>SUMIF(FS_H!$1:$1,U$1,FS_H!176:176)</f>
        <v/>
      </c>
    </row>
    <row r="177">
      <c r="G177" s="31" t="n"/>
      <c r="H177" s="31" t="n"/>
      <c r="I177" s="31" t="n"/>
      <c r="J177" s="31" t="n"/>
      <c r="K177" s="31" t="n"/>
      <c r="L177" s="31" t="n"/>
      <c r="M177" s="31" t="n"/>
      <c r="N177" s="31" t="n"/>
      <c r="O177" s="31" t="n"/>
      <c r="P177" s="31" t="n"/>
      <c r="Q177" s="31" t="n"/>
      <c r="R177" s="31" t="n"/>
      <c r="S177" s="31" t="n"/>
      <c r="T177" s="31" t="n"/>
      <c r="U177" s="31" t="n"/>
    </row>
    <row r="178">
      <c r="A178" t="inlineStr">
        <is>
          <t>Total assets</t>
        </is>
      </c>
      <c r="G178" s="86">
        <f>G58</f>
        <v/>
      </c>
      <c r="H178" s="86">
        <f>H58</f>
        <v/>
      </c>
      <c r="I178" s="86">
        <f>I58</f>
        <v/>
      </c>
      <c r="J178" s="86">
        <f>J58</f>
        <v/>
      </c>
      <c r="K178" s="86">
        <f>K58</f>
        <v/>
      </c>
      <c r="L178" s="86">
        <f>L58</f>
        <v/>
      </c>
      <c r="M178" s="86">
        <f>M58</f>
        <v/>
      </c>
      <c r="N178" s="86">
        <f>N58</f>
        <v/>
      </c>
      <c r="O178" s="86">
        <f>O58</f>
        <v/>
      </c>
      <c r="P178" s="86">
        <f>P58</f>
        <v/>
      </c>
      <c r="Q178" s="86">
        <f>Q58</f>
        <v/>
      </c>
      <c r="R178" s="86">
        <f>R58</f>
        <v/>
      </c>
      <c r="S178" s="86">
        <f>S58</f>
        <v/>
      </c>
      <c r="T178" s="86">
        <f>T58</f>
        <v/>
      </c>
      <c r="U178" s="86">
        <f>U58</f>
        <v/>
      </c>
    </row>
    <row r="179">
      <c r="A179" s="105" t="inlineStr">
        <is>
          <t>add Off balance sheet operating lease</t>
        </is>
      </c>
      <c r="G179" s="141">
        <f>SUMIF(FS_H!$1:$1,G$1,FS_H!179:179)</f>
        <v/>
      </c>
      <c r="H179" s="141">
        <f>SUMIF(FS_H!$1:$1,H$1,FS_H!179:179)</f>
        <v/>
      </c>
      <c r="I179" s="141">
        <f>SUMIF(FS_H!$1:$1,I$1,FS_H!179:179)</f>
        <v/>
      </c>
      <c r="J179" s="141">
        <f>SUMIF(FS_H!$1:$1,J$1,FS_H!179:179)</f>
        <v/>
      </c>
      <c r="K179" s="141">
        <f>SUMIF(FS_H!$1:$1,K$1,FS_H!179:179)</f>
        <v/>
      </c>
      <c r="L179" s="141">
        <f>SUMIF(FS_H!$1:$1,L$1,FS_H!179:179)</f>
        <v/>
      </c>
      <c r="M179" s="141">
        <f>SUMIF(FS_H!$1:$1,M$1,FS_H!179:179)</f>
        <v/>
      </c>
      <c r="N179" s="141">
        <f>SUMIF(FS_H!$1:$1,N$1,FS_H!179:179)</f>
        <v/>
      </c>
      <c r="O179" s="141">
        <f>SUMIF(FS_H!$1:$1,O$1,FS_H!179:179)</f>
        <v/>
      </c>
      <c r="P179" s="141">
        <f>SUMIF(FS_H!$1:$1,P$1,FS_H!179:179)</f>
        <v/>
      </c>
      <c r="Q179" s="141">
        <f>SUMIF(FS_H!$1:$1,Q$1,FS_H!179:179)</f>
        <v/>
      </c>
      <c r="R179" s="141">
        <f>SUMIF(FS_H!$1:$1,R$1,FS_H!179:179)</f>
        <v/>
      </c>
      <c r="S179" s="141">
        <f>SUMIF(FS_H!$1:$1,S$1,FS_H!179:179)</f>
        <v/>
      </c>
      <c r="T179" s="141">
        <f>SUMIF(FS_H!$1:$1,T$1,FS_H!179:179)</f>
        <v/>
      </c>
      <c r="U179" s="141">
        <f>SUMIF(FS_H!$1:$1,U$1,FS_H!179:179)</f>
        <v/>
      </c>
    </row>
    <row r="180">
      <c r="A180" s="105" t="inlineStr">
        <is>
          <t>less Non operating assets</t>
        </is>
      </c>
      <c r="G180" s="86">
        <f>SUM(G157,G55,G44)</f>
        <v/>
      </c>
      <c r="H180" s="86">
        <f>SUM(H157,H55,H44)</f>
        <v/>
      </c>
      <c r="I180" s="86">
        <f>SUM(I157,I55,I44)</f>
        <v/>
      </c>
      <c r="J180" s="86">
        <f>SUM(J157,J55,J44)</f>
        <v/>
      </c>
      <c r="K180" s="86">
        <f>SUM(K157,K55,K44)</f>
        <v/>
      </c>
      <c r="L180" s="86">
        <f>SUM(L157,L55,L44)</f>
        <v/>
      </c>
      <c r="M180" s="86">
        <f>SUM(M157,M55,M44)</f>
        <v/>
      </c>
      <c r="N180" s="86">
        <f>SUM(N157,N55,N44)</f>
        <v/>
      </c>
      <c r="O180" s="86">
        <f>SUM(O157,O55,O44)</f>
        <v/>
      </c>
      <c r="P180" s="86">
        <f>SUM(P157,P55,P44)</f>
        <v/>
      </c>
      <c r="Q180" s="86">
        <f>SUM(Q157,Q55,Q44)</f>
        <v/>
      </c>
      <c r="R180" s="86">
        <f>SUM(R157,R55,R44)</f>
        <v/>
      </c>
      <c r="S180" s="86">
        <f>SUM(S157,S55,S44)</f>
        <v/>
      </c>
      <c r="T180" s="86">
        <f>SUM(T157,T55,T44)</f>
        <v/>
      </c>
      <c r="U180" s="86">
        <f>SUM(U157,U55,U44)</f>
        <v/>
      </c>
    </row>
    <row r="181">
      <c r="A181" s="105" t="inlineStr">
        <is>
          <t>less Operating liabilities</t>
        </is>
      </c>
      <c r="G181" s="86">
        <f>SUM(G61,G65,G76,G66,G62,G77,G64)</f>
        <v/>
      </c>
      <c r="H181" s="86">
        <f>SUM(H61,H65,H76,H66,H62,H77,H64)</f>
        <v/>
      </c>
      <c r="I181" s="86">
        <f>SUM(I61,I65,I76,I66,I62,I77,I64)</f>
        <v/>
      </c>
      <c r="J181" s="86">
        <f>SUM(J61,J65,J76,J66,J62,J77,J64)</f>
        <v/>
      </c>
      <c r="K181" s="86">
        <f>SUM(K61,K65,K76,K66,K62,K77,K64)</f>
        <v/>
      </c>
      <c r="L181" s="86">
        <f>SUM(L61,L65,L76,L66,L62,L77,L64)</f>
        <v/>
      </c>
      <c r="M181" s="86">
        <f>SUM(M61,M65,M76,M66,M62,M77,M64)</f>
        <v/>
      </c>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row>
    <row r="182">
      <c r="A182" s="22" t="inlineStr">
        <is>
          <t>Invested capital including goodwill</t>
        </is>
      </c>
      <c r="G182" s="86">
        <f>G178+G179-G180-G181</f>
        <v/>
      </c>
      <c r="H182" s="86">
        <f>H178+H179-H180-H181</f>
        <v/>
      </c>
      <c r="I182" s="86">
        <f>I178+I179-I180-I181</f>
        <v/>
      </c>
      <c r="J182" s="86">
        <f>J178+J179-J180-J181</f>
        <v/>
      </c>
      <c r="K182" s="86">
        <f>K178+K179-K180-K181</f>
        <v/>
      </c>
      <c r="L182" s="86">
        <f>L178+L179-L180-L181</f>
        <v/>
      </c>
      <c r="M182" s="86">
        <f>M178+M179-M180-M181</f>
        <v/>
      </c>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row>
    <row r="183">
      <c r="A183" s="22" t="inlineStr">
        <is>
          <t>Invested capital excluding goodwill</t>
        </is>
      </c>
      <c r="G183" s="86">
        <f>G182-G50</f>
        <v/>
      </c>
      <c r="H183" s="86">
        <f>H182-H50</f>
        <v/>
      </c>
      <c r="I183" s="86">
        <f>I182-I50</f>
        <v/>
      </c>
      <c r="J183" s="86">
        <f>J182-J50</f>
        <v/>
      </c>
      <c r="K183" s="86">
        <f>K182-K50</f>
        <v/>
      </c>
      <c r="L183" s="86">
        <f>L182-L50</f>
        <v/>
      </c>
      <c r="M183" s="86">
        <f>M182-M50</f>
        <v/>
      </c>
      <c r="N183" s="86">
        <f>N182-N50</f>
        <v/>
      </c>
      <c r="O183" s="86">
        <f>O182-O50</f>
        <v/>
      </c>
      <c r="P183" s="86">
        <f>P182-P50</f>
        <v/>
      </c>
      <c r="Q183" s="86">
        <f>Q182-Q50</f>
        <v/>
      </c>
      <c r="R183" s="86">
        <f>R182-R50</f>
        <v/>
      </c>
      <c r="S183" s="86">
        <f>S182-S50</f>
        <v/>
      </c>
      <c r="T183" s="86">
        <f>T182-T50</f>
        <v/>
      </c>
      <c r="U183" s="86">
        <f>U182-U50</f>
        <v/>
      </c>
    </row>
    <row r="184">
      <c r="G184" s="31" t="n"/>
      <c r="H184" s="31" t="n"/>
      <c r="I184" s="31" t="n"/>
      <c r="J184" s="31" t="n"/>
      <c r="K184" s="31" t="n"/>
      <c r="L184" s="31" t="n"/>
      <c r="M184" s="31" t="n"/>
      <c r="N184" s="31" t="n"/>
      <c r="O184" s="31" t="n"/>
      <c r="P184" s="31" t="n"/>
      <c r="Q184" s="31" t="n"/>
      <c r="R184" s="31" t="n"/>
      <c r="S184" s="31" t="n"/>
      <c r="T184" s="31" t="n"/>
      <c r="U184" s="31" t="n"/>
    </row>
    <row r="185">
      <c r="A185" s="105" t="inlineStr">
        <is>
          <t>Net profit from operations + earning from JV and associates</t>
        </is>
      </c>
      <c r="G185" s="86">
        <f>G18+G21</f>
        <v/>
      </c>
      <c r="H185" s="86">
        <f>H18+H21</f>
        <v/>
      </c>
      <c r="I185" s="86">
        <f>I18+I21</f>
        <v/>
      </c>
      <c r="J185" s="86">
        <f>J18+J21</f>
        <v/>
      </c>
      <c r="K185" s="86">
        <f>K18+K21</f>
        <v/>
      </c>
      <c r="L185" s="86">
        <f>L18+L21</f>
        <v/>
      </c>
      <c r="M185" s="86">
        <f>M18+M21</f>
        <v/>
      </c>
      <c r="N185" s="86">
        <f>N18+N21</f>
        <v/>
      </c>
      <c r="O185" s="86">
        <f>O18+O21</f>
        <v/>
      </c>
      <c r="P185" s="86">
        <f>P18+P21</f>
        <v/>
      </c>
      <c r="Q185" s="86">
        <f>Q18+Q21</f>
        <v/>
      </c>
      <c r="R185" s="86">
        <f>R18+R21</f>
        <v/>
      </c>
      <c r="S185" s="86">
        <f>S18+S21</f>
        <v/>
      </c>
      <c r="T185" s="86">
        <f>T18+T21</f>
        <v/>
      </c>
      <c r="U185" s="86">
        <f>U18+U21</f>
        <v/>
      </c>
    </row>
    <row r="186">
      <c r="A186" s="105" t="inlineStr">
        <is>
          <t>Income tax rate (marginal)</t>
        </is>
      </c>
      <c r="G186" s="885" t="n">
        <v>0.25</v>
      </c>
      <c r="H186" s="885" t="n">
        <v>0.25</v>
      </c>
      <c r="I186" s="885" t="n">
        <v>0.25</v>
      </c>
      <c r="J186" s="885" t="n">
        <v>0.25</v>
      </c>
      <c r="K186" s="885" t="n">
        <v>0.25</v>
      </c>
      <c r="L186" s="885" t="n">
        <v>0.25</v>
      </c>
      <c r="M186" s="885" t="n">
        <v>0.25</v>
      </c>
      <c r="N186" s="885" t="n">
        <v>0.25</v>
      </c>
      <c r="O186" s="885" t="n">
        <v>0.25</v>
      </c>
      <c r="P186" s="885" t="n">
        <v>0.25</v>
      </c>
      <c r="Q186" s="885" t="n">
        <v>0.25</v>
      </c>
      <c r="R186" s="885" t="n">
        <v>0.25</v>
      </c>
      <c r="S186" s="885" t="n">
        <v>0.25</v>
      </c>
      <c r="T186" s="885" t="n">
        <v>0.25</v>
      </c>
      <c r="U186" s="885" t="n">
        <v>0.25</v>
      </c>
    </row>
    <row r="187">
      <c r="A187" s="40" t="inlineStr">
        <is>
          <t>NOPLAT</t>
        </is>
      </c>
      <c r="G187" s="123">
        <f>G185*(1-G$186)</f>
        <v/>
      </c>
      <c r="H187" s="123">
        <f>H185*(1-H$186)</f>
        <v/>
      </c>
      <c r="I187" s="123">
        <f>I185*(1-I$186)</f>
        <v/>
      </c>
      <c r="J187" s="123">
        <f>J185*(1-J$186)</f>
        <v/>
      </c>
      <c r="K187" s="123">
        <f>K185*(1-K$186)</f>
        <v/>
      </c>
      <c r="L187" s="123">
        <f>L185*(1-L$186)</f>
        <v/>
      </c>
      <c r="M187" s="123">
        <f>M185*(1-M$186)</f>
        <v/>
      </c>
      <c r="N187" s="123">
        <f>N185*(1-N$186)</f>
        <v/>
      </c>
      <c r="O187" s="123">
        <f>O185*(1-O$186)</f>
        <v/>
      </c>
      <c r="P187" s="123">
        <f>P185*(1-P$186)</f>
        <v/>
      </c>
      <c r="Q187" s="123">
        <f>Q185*(1-Q$186)</f>
        <v/>
      </c>
      <c r="R187" s="123">
        <f>R185*(1-R$186)</f>
        <v/>
      </c>
      <c r="S187" s="123">
        <f>S185*(1-S$186)</f>
        <v/>
      </c>
      <c r="T187" s="123">
        <f>T185*(1-T$186)</f>
        <v/>
      </c>
      <c r="U187" s="123">
        <f>U185*(1-U$186)</f>
        <v/>
      </c>
    </row>
    <row r="188">
      <c r="A188" s="174" t="inlineStr">
        <is>
          <t>Add: Depreciation and amortization</t>
        </is>
      </c>
      <c r="G188" s="86">
        <f>G104+G105</f>
        <v/>
      </c>
      <c r="H188" s="86">
        <f>H104+H105</f>
        <v/>
      </c>
      <c r="I188" s="86">
        <f>I104+I105</f>
        <v/>
      </c>
      <c r="J188" s="86">
        <f>J104+J105</f>
        <v/>
      </c>
      <c r="K188" s="86">
        <f>K104+K105</f>
        <v/>
      </c>
      <c r="L188" s="86">
        <f>L104+L105</f>
        <v/>
      </c>
      <c r="M188" s="86">
        <f>M104+M105</f>
        <v/>
      </c>
      <c r="N188" s="86">
        <f>N104+N105</f>
        <v/>
      </c>
      <c r="O188" s="86">
        <f>O104+O105</f>
        <v/>
      </c>
      <c r="P188" s="86">
        <f>P104+P105</f>
        <v/>
      </c>
      <c r="Q188" s="86">
        <f>Q104+Q105</f>
        <v/>
      </c>
      <c r="R188" s="86">
        <f>R104+R105</f>
        <v/>
      </c>
      <c r="S188" s="86">
        <f>S104+S105</f>
        <v/>
      </c>
      <c r="T188" s="86">
        <f>T104+T105</f>
        <v/>
      </c>
      <c r="U188" s="86">
        <f>U104+U105</f>
        <v/>
      </c>
    </row>
    <row r="189">
      <c r="A189" s="105" t="inlineStr">
        <is>
          <t>Gross cash flow</t>
        </is>
      </c>
      <c r="G189" s="86">
        <f>G187+G188</f>
        <v/>
      </c>
      <c r="H189" s="86">
        <f>H187+H188</f>
        <v/>
      </c>
      <c r="I189" s="86">
        <f>I187+I188</f>
        <v/>
      </c>
      <c r="J189" s="86">
        <f>J187+J188</f>
        <v/>
      </c>
      <c r="K189" s="86">
        <f>K187+K188</f>
        <v/>
      </c>
      <c r="L189" s="86">
        <f>L187+L188</f>
        <v/>
      </c>
      <c r="M189" s="86">
        <f>M187+M188</f>
        <v/>
      </c>
      <c r="N189" s="86">
        <f>N187+N188</f>
        <v/>
      </c>
      <c r="O189" s="86">
        <f>O187+O188</f>
        <v/>
      </c>
      <c r="P189" s="86">
        <f>P187+P188</f>
        <v/>
      </c>
      <c r="Q189" s="86">
        <f>Q187+Q188</f>
        <v/>
      </c>
      <c r="R189" s="86">
        <f>R187+R188</f>
        <v/>
      </c>
      <c r="S189" s="86">
        <f>S187+S188</f>
        <v/>
      </c>
      <c r="T189" s="86">
        <f>T187+T188</f>
        <v/>
      </c>
      <c r="U189" s="86">
        <f>U187+U188</f>
        <v/>
      </c>
    </row>
    <row r="190">
      <c r="A190" s="105" t="inlineStr">
        <is>
          <t>Gross investment, including</t>
        </is>
      </c>
      <c r="G190" s="86">
        <f>SUM(G191:G196)</f>
        <v/>
      </c>
      <c r="H190" s="86">
        <f>SUM(H191:H196)</f>
        <v/>
      </c>
      <c r="I190" s="86">
        <f>SUM(I191:I196)</f>
        <v/>
      </c>
      <c r="J190" s="86">
        <f>SUM(J191:J196)</f>
        <v/>
      </c>
      <c r="K190" s="86">
        <f>SUM(K191:K196)</f>
        <v/>
      </c>
      <c r="L190" s="86">
        <f>SUM(L191:L196)</f>
        <v/>
      </c>
      <c r="M190" s="86">
        <f>SUM(M191:M196)</f>
        <v/>
      </c>
      <c r="N190" s="86">
        <f>SUM(N191:N196)</f>
        <v/>
      </c>
      <c r="O190" s="86">
        <f>SUM(O191:O196)</f>
        <v/>
      </c>
      <c r="P190" s="86">
        <f>SUM(P191:P196)</f>
        <v/>
      </c>
      <c r="Q190" s="86">
        <f>SUM(Q191:Q196)</f>
        <v/>
      </c>
      <c r="R190" s="86">
        <f>SUM(R191:R196)</f>
        <v/>
      </c>
      <c r="S190" s="86">
        <f>SUM(S191:S196)</f>
        <v/>
      </c>
      <c r="T190" s="86">
        <f>SUM(T191:T196)</f>
        <v/>
      </c>
      <c r="U190" s="86">
        <f>SUM(U191:U196)</f>
        <v/>
      </c>
    </row>
    <row r="191">
      <c r="A191" s="74" t="inlineStr">
        <is>
          <t>Increase in working capital</t>
        </is>
      </c>
      <c r="G191" s="86">
        <f>-SUM(G111:G115)</f>
        <v/>
      </c>
      <c r="H191" s="86">
        <f>-SUM(H111:H115)</f>
        <v/>
      </c>
      <c r="I191" s="86">
        <f>-SUM(I111:I115)</f>
        <v/>
      </c>
      <c r="J191" s="86">
        <f>-SUM(J111:J115)</f>
        <v/>
      </c>
      <c r="K191" s="86">
        <f>-SUM(K111:K115)</f>
        <v/>
      </c>
      <c r="L191" s="86">
        <f>-SUM(L111:L115)</f>
        <v/>
      </c>
      <c r="M191" s="86">
        <f>-SUM(M111:M115)</f>
        <v/>
      </c>
      <c r="N191" s="86">
        <f>-SUM(N111:N115)</f>
        <v/>
      </c>
      <c r="O191" s="86">
        <f>-SUM(O111:O115)</f>
        <v/>
      </c>
      <c r="P191" s="86">
        <f>-SUM(P111:P115)</f>
        <v/>
      </c>
      <c r="Q191" s="86">
        <f>-SUM(Q111:Q115)</f>
        <v/>
      </c>
      <c r="R191" s="86">
        <f>-SUM(R111:R115)</f>
        <v/>
      </c>
      <c r="S191" s="86">
        <f>-SUM(S111:S115)</f>
        <v/>
      </c>
      <c r="T191" s="86">
        <f>-SUM(T111:T115)</f>
        <v/>
      </c>
      <c r="U191" s="86">
        <f>-SUM(U111:U115)</f>
        <v/>
      </c>
    </row>
    <row r="192">
      <c r="A192" s="74" t="inlineStr">
        <is>
          <t>Increase in working cash</t>
        </is>
      </c>
      <c r="G192" s="86">
        <f>G158-F158</f>
        <v/>
      </c>
      <c r="H192" s="86">
        <f>H158-G158</f>
        <v/>
      </c>
      <c r="I192" s="86">
        <f>I158-H158</f>
        <v/>
      </c>
      <c r="J192" s="86">
        <f>J158-I158</f>
        <v/>
      </c>
      <c r="K192" s="86">
        <f>K158-J158</f>
        <v/>
      </c>
      <c r="L192" s="86">
        <f>L158-K158</f>
        <v/>
      </c>
      <c r="M192" s="86">
        <f>M158-L158</f>
        <v/>
      </c>
      <c r="N192" s="86">
        <f>N158-M158</f>
        <v/>
      </c>
      <c r="O192" s="86">
        <f>O158-N158</f>
        <v/>
      </c>
      <c r="P192" s="86">
        <f>P158-O158</f>
        <v/>
      </c>
      <c r="Q192" s="86">
        <f>Q158-P158</f>
        <v/>
      </c>
      <c r="R192" s="86">
        <f>R158-Q158</f>
        <v/>
      </c>
      <c r="S192" s="86">
        <f>S158-R158</f>
        <v/>
      </c>
      <c r="T192" s="86">
        <f>T158-S158</f>
        <v/>
      </c>
      <c r="U192" s="86">
        <f>U158-T158</f>
        <v/>
      </c>
    </row>
    <row r="193">
      <c r="A193" s="74" t="inlineStr">
        <is>
          <t>Increase in loans receivables</t>
        </is>
      </c>
      <c r="G193" s="86">
        <f>-G109</f>
        <v/>
      </c>
      <c r="H193" s="86">
        <f>-H109</f>
        <v/>
      </c>
      <c r="I193" s="86">
        <f>-I109</f>
        <v/>
      </c>
      <c r="J193" s="86">
        <f>-J109</f>
        <v/>
      </c>
      <c r="K193" s="86">
        <f>-K109</f>
        <v/>
      </c>
      <c r="L193" s="86">
        <f>-L109</f>
        <v/>
      </c>
      <c r="M193" s="86">
        <f>-M109</f>
        <v/>
      </c>
      <c r="N193" s="86">
        <f>-N109</f>
        <v/>
      </c>
      <c r="O193" s="86">
        <f>-O109</f>
        <v/>
      </c>
      <c r="P193" s="86">
        <f>-P109</f>
        <v/>
      </c>
      <c r="Q193" s="86">
        <f>-Q109</f>
        <v/>
      </c>
      <c r="R193" s="86">
        <f>-R109</f>
        <v/>
      </c>
      <c r="S193" s="86">
        <f>-S109</f>
        <v/>
      </c>
      <c r="T193" s="86">
        <f>-T109</f>
        <v/>
      </c>
      <c r="U193" s="86">
        <f>-U109</f>
        <v/>
      </c>
    </row>
    <row r="194">
      <c r="A194" s="74" t="inlineStr">
        <is>
          <t>Increase in net tax assets</t>
        </is>
      </c>
      <c r="G194" s="86">
        <f>G54-F54-(G75-F75+G65-F65)</f>
        <v/>
      </c>
      <c r="H194" s="86">
        <f>H54-G54-(H75-G75+H65-G65)</f>
        <v/>
      </c>
      <c r="I194" s="86">
        <f>I54-H54-(I75-H75+I65-H65)</f>
        <v/>
      </c>
      <c r="J194" s="86">
        <f>J54-I54-(J75-I75+J65-I65)</f>
        <v/>
      </c>
      <c r="K194" s="86">
        <f>K54-J54-(K75-J75+K65-J65)</f>
        <v/>
      </c>
      <c r="L194" s="86">
        <f>L54-K54-(L75-K75+L65-K65)</f>
        <v/>
      </c>
      <c r="M194" s="86">
        <f>M54-L54-(M75-L75+M65-L65)</f>
        <v/>
      </c>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row>
    <row r="195">
      <c r="A195" s="74" t="inlineStr">
        <is>
          <t>Increase in investment in JV/Associates</t>
        </is>
      </c>
      <c r="G195" s="86">
        <f>G52-F52</f>
        <v/>
      </c>
      <c r="H195" s="86">
        <f>H52-G52</f>
        <v/>
      </c>
      <c r="I195" s="86">
        <f>I52-H52</f>
        <v/>
      </c>
      <c r="J195" s="86">
        <f>J52-I52</f>
        <v/>
      </c>
      <c r="K195" s="86">
        <f>K52-J52</f>
        <v/>
      </c>
      <c r="L195" s="86">
        <f>L52-K52</f>
        <v/>
      </c>
      <c r="M195" s="86">
        <f>M52-L52</f>
        <v/>
      </c>
      <c r="N195" s="86">
        <f>N52-M52</f>
        <v/>
      </c>
      <c r="O195" s="86">
        <f>O52-N52</f>
        <v/>
      </c>
      <c r="P195" s="86">
        <f>P52-O52</f>
        <v/>
      </c>
      <c r="Q195" s="86">
        <f>Q52-P52</f>
        <v/>
      </c>
      <c r="R195" s="86">
        <f>R52-Q52</f>
        <v/>
      </c>
      <c r="S195" s="86">
        <f>S52-R52</f>
        <v/>
      </c>
      <c r="T195" s="86">
        <f>T52-S52</f>
        <v/>
      </c>
      <c r="U195" s="86">
        <f>U52-T52</f>
        <v/>
      </c>
    </row>
    <row r="196">
      <c r="A196" s="74" t="inlineStr">
        <is>
          <t>Capex</t>
        </is>
      </c>
      <c r="G196" s="86">
        <f>G173</f>
        <v/>
      </c>
      <c r="H196" s="86">
        <f>H173</f>
        <v/>
      </c>
      <c r="I196" s="86">
        <f>I173</f>
        <v/>
      </c>
      <c r="J196" s="86">
        <f>J173</f>
        <v/>
      </c>
      <c r="K196" s="86">
        <f>K173</f>
        <v/>
      </c>
      <c r="L196" s="86">
        <f>L173</f>
        <v/>
      </c>
      <c r="M196" s="86">
        <f>M173</f>
        <v/>
      </c>
      <c r="N196" s="86">
        <f>N173</f>
        <v/>
      </c>
      <c r="O196" s="86">
        <f>O173</f>
        <v/>
      </c>
      <c r="P196" s="86">
        <f>P173</f>
        <v/>
      </c>
      <c r="Q196" s="86">
        <f>Q173</f>
        <v/>
      </c>
      <c r="R196" s="86">
        <f>R173</f>
        <v/>
      </c>
      <c r="S196" s="86">
        <f>S173</f>
        <v/>
      </c>
      <c r="T196" s="86">
        <f>T173</f>
        <v/>
      </c>
      <c r="U196" s="86">
        <f>U173</f>
        <v/>
      </c>
    </row>
    <row r="197">
      <c r="A197" s="40" t="inlineStr">
        <is>
          <t>FCF</t>
        </is>
      </c>
      <c r="G197" s="158">
        <f>G189-G190</f>
        <v/>
      </c>
      <c r="H197" s="158">
        <f>H189-H190</f>
        <v/>
      </c>
      <c r="I197" s="158">
        <f>I189-I190</f>
        <v/>
      </c>
      <c r="J197" s="158">
        <f>J189-J190</f>
        <v/>
      </c>
      <c r="K197" s="158">
        <f>K189-K190</f>
        <v/>
      </c>
      <c r="L197" s="158">
        <f>L189-L190</f>
        <v/>
      </c>
      <c r="M197" s="158">
        <f>M189-M190</f>
        <v/>
      </c>
      <c r="N197" s="158">
        <f>N189-N190</f>
        <v/>
      </c>
      <c r="O197" s="158">
        <f>O189-O190</f>
        <v/>
      </c>
      <c r="P197" s="158">
        <f>P189-P190</f>
        <v/>
      </c>
      <c r="Q197" s="158">
        <f>Q189-Q190</f>
        <v/>
      </c>
      <c r="R197" s="158">
        <f>R189-R190</f>
        <v/>
      </c>
      <c r="S197" s="158">
        <f>S189-S190</f>
        <v/>
      </c>
      <c r="T197" s="158">
        <f>T189-T190</f>
        <v/>
      </c>
      <c r="U197" s="158">
        <f>U189-U190</f>
        <v/>
      </c>
    </row>
    <row r="198" outlineLevel="1">
      <c r="A198" s="106" t="inlineStr">
        <is>
          <t>FCF (alt. NOPLAT - NET CHANGE IN IC)</t>
        </is>
      </c>
      <c r="G198" s="159">
        <f>G187-(G182-F182)</f>
        <v/>
      </c>
      <c r="H198" s="159">
        <f>H187-(H182-G182)</f>
        <v/>
      </c>
      <c r="I198" s="159">
        <f>I187-(I182-H182)</f>
        <v/>
      </c>
      <c r="J198" s="159">
        <f>J187-(J182-I182)</f>
        <v/>
      </c>
      <c r="K198" s="159">
        <f>K187-(K182-J182)</f>
        <v/>
      </c>
      <c r="L198" s="159">
        <f>L187-(L182-K182)</f>
        <v/>
      </c>
      <c r="M198" s="159">
        <f>M187-(M182-L182)</f>
        <v/>
      </c>
      <c r="N198" s="159">
        <f>N187-(N182-M182)</f>
        <v/>
      </c>
      <c r="O198" s="159">
        <f>O187-(O182-N182)</f>
        <v/>
      </c>
      <c r="P198" s="159">
        <f>P187-(P182-O182)</f>
        <v/>
      </c>
      <c r="Q198" s="159">
        <f>Q187-(Q182-P182)</f>
        <v/>
      </c>
      <c r="R198" s="159">
        <f>R187-(R182-Q182)</f>
        <v/>
      </c>
      <c r="S198" s="159">
        <f>S187-(S182-R182)</f>
        <v/>
      </c>
      <c r="T198" s="159">
        <f>T187-(T182-S182)</f>
        <v/>
      </c>
      <c r="U198" s="159">
        <f>U187-(U182-T182)</f>
        <v/>
      </c>
    </row>
    <row r="199" outlineLevel="1">
      <c r="A199" s="22" t="inlineStr">
        <is>
          <t>ROIC including goodwill</t>
        </is>
      </c>
      <c r="G199" s="886">
        <f>G187/AVERAGE(F182,G182)*G223</f>
        <v/>
      </c>
      <c r="H199" s="886">
        <f>H187/AVERAGE(G182,H182)*H223</f>
        <v/>
      </c>
      <c r="I199" s="886">
        <f>I187/AVERAGE(H182,I182)*I223</f>
        <v/>
      </c>
      <c r="J199" s="886">
        <f>J187/AVERAGE(I182,J182)*J223</f>
        <v/>
      </c>
      <c r="K199" s="886">
        <f>K187/AVERAGE(J182,K182)*K223</f>
        <v/>
      </c>
      <c r="L199" s="886">
        <f>L187/AVERAGE(K182,L182)*L223</f>
        <v/>
      </c>
      <c r="M199" s="886">
        <f>M187/AVERAGE(L182,M182)*M223</f>
        <v/>
      </c>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row>
    <row r="200" outlineLevel="1">
      <c r="A200" s="22" t="inlineStr">
        <is>
          <t>ROIC excluding goodwill</t>
        </is>
      </c>
      <c r="G200" s="887">
        <f>G187/AVERAGE(F183,G183)*G223</f>
        <v/>
      </c>
      <c r="H200" s="887">
        <f>H187/AVERAGE(G183,H183)*H223</f>
        <v/>
      </c>
      <c r="I200" s="887">
        <f>I187/AVERAGE(H183,I183)*I223</f>
        <v/>
      </c>
      <c r="J200" s="887">
        <f>J187/AVERAGE(I183,J183)*J223</f>
        <v/>
      </c>
      <c r="K200" s="887">
        <f>K187/AVERAGE(J183,K183)*K223</f>
        <v/>
      </c>
      <c r="L200" s="887">
        <f>L187/AVERAGE(K183,L183)*L223</f>
        <v/>
      </c>
      <c r="M200" s="887">
        <f>M187/AVERAGE(L183,M183)*M223</f>
        <v/>
      </c>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row>
    <row r="201" outlineLevel="1">
      <c r="A201" s="22" t="inlineStr">
        <is>
          <t>ROE</t>
        </is>
      </c>
      <c r="G201" s="882">
        <f>G24/AVERAGE(G92,F92)*G223</f>
        <v/>
      </c>
      <c r="H201" s="882">
        <f>H24/AVERAGE(H92,G92)*H223</f>
        <v/>
      </c>
      <c r="I201" s="882">
        <f>I24/AVERAGE(I92,H92)*I223</f>
        <v/>
      </c>
      <c r="J201" s="882">
        <f>J24/AVERAGE(J92,I92)*J223</f>
        <v/>
      </c>
      <c r="K201" s="882">
        <f>K24/AVERAGE(K92,J92)*K223</f>
        <v/>
      </c>
      <c r="L201" s="882">
        <f>L24/AVERAGE(L92,K92)*L223</f>
        <v/>
      </c>
      <c r="M201" s="882">
        <f>M24/AVERAGE(M92,L92)*M223</f>
        <v/>
      </c>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row>
    <row r="202" outlineLevel="1">
      <c r="A202" s="21" t="inlineStr">
        <is>
          <t>RONIC</t>
        </is>
      </c>
      <c r="G202" s="882">
        <f>(G187-F187)/(G182-F182)</f>
        <v/>
      </c>
      <c r="H202" s="882">
        <f>(H187-G187)/(H182-G182)</f>
        <v/>
      </c>
      <c r="I202" s="882">
        <f>(I187-H187)/(I182-H182)</f>
        <v/>
      </c>
      <c r="J202" s="882">
        <f>(J187-I187)/(J182-I182)</f>
        <v/>
      </c>
      <c r="K202" s="882">
        <f>(K187-J187)/(K182-J182)</f>
        <v/>
      </c>
      <c r="L202" s="882">
        <f>(L187-K187)/(L182-K182)</f>
        <v/>
      </c>
      <c r="M202" s="882">
        <f>(M187-L187)/(M182-L182)</f>
        <v/>
      </c>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row>
    <row r="203" outlineLevel="1">
      <c r="G203" s="31" t="n"/>
      <c r="H203" s="31" t="n"/>
      <c r="I203" s="31" t="n"/>
      <c r="J203" s="31" t="n"/>
      <c r="K203" s="31" t="n"/>
      <c r="L203" s="31" t="n"/>
      <c r="M203" s="31" t="n"/>
      <c r="N203" s="31" t="n"/>
      <c r="O203" s="31" t="n"/>
      <c r="P203" s="31" t="n"/>
      <c r="Q203" s="31" t="n"/>
      <c r="R203" s="31" t="n"/>
      <c r="S203" s="31" t="n"/>
      <c r="T203" s="31" t="n"/>
      <c r="U203" s="31" t="n"/>
    </row>
    <row r="204" outlineLevel="1">
      <c r="A204" s="105" t="inlineStr">
        <is>
          <t>Working capital</t>
        </is>
      </c>
      <c r="G204" s="86">
        <f>G39+G41+G42+G43-G61-G62-G64-G76</f>
        <v/>
      </c>
      <c r="H204" s="86">
        <f>H39+H41+H42+H43-H61-H62-H64-H76</f>
        <v/>
      </c>
      <c r="I204" s="86">
        <f>I39+I41+I42+I43-I61-I62-I64-I76</f>
        <v/>
      </c>
      <c r="J204" s="86">
        <f>J39+J41+J42+J43-J61-J62-J64-J76</f>
        <v/>
      </c>
      <c r="K204" s="86">
        <f>K39+K41+K42+K43-K61-K62-K64-K76</f>
        <v/>
      </c>
      <c r="L204" s="86">
        <f>L39+L41+L42+L43-L61-L62-L64-L76</f>
        <v/>
      </c>
      <c r="M204" s="86">
        <f>M39+M41+M42+M43-M61-M62-M64-M76</f>
        <v/>
      </c>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row>
    <row r="205" outlineLevel="1">
      <c r="A205" s="74" t="inlineStr">
        <is>
          <t>% of invested capital excluding goodwill</t>
        </is>
      </c>
      <c r="G205" s="882">
        <f>G204/G$183</f>
        <v/>
      </c>
      <c r="H205" s="882">
        <f>H204/H$183</f>
        <v/>
      </c>
      <c r="I205" s="882">
        <f>I204/I$183</f>
        <v/>
      </c>
      <c r="J205" s="882">
        <f>J204/J$183</f>
        <v/>
      </c>
      <c r="K205" s="882">
        <f>K204/K$183</f>
        <v/>
      </c>
      <c r="L205" s="882">
        <f>L204/L$183</f>
        <v/>
      </c>
      <c r="M205" s="882">
        <f>M204/M$183</f>
        <v/>
      </c>
      <c r="N205" s="882">
        <f>N204/N$183</f>
        <v/>
      </c>
      <c r="O205" s="882">
        <f>O204/O$183</f>
        <v/>
      </c>
      <c r="P205" s="882">
        <f>P204/P$183</f>
        <v/>
      </c>
      <c r="Q205" s="882">
        <f>Q204/Q$183</f>
        <v/>
      </c>
      <c r="R205" s="882">
        <f>R204/R$183</f>
        <v/>
      </c>
      <c r="S205" s="882">
        <f>S204/S$183</f>
        <v/>
      </c>
      <c r="T205" s="882">
        <f>T204/T$183</f>
        <v/>
      </c>
      <c r="U205" s="882">
        <f>U204/U$183</f>
        <v/>
      </c>
    </row>
    <row r="206" outlineLevel="1">
      <c r="A206" s="105" t="inlineStr">
        <is>
          <t>PPE</t>
        </is>
      </c>
      <c r="G206" s="86">
        <f>G48</f>
        <v/>
      </c>
      <c r="H206" s="86">
        <f>H48</f>
        <v/>
      </c>
      <c r="I206" s="86">
        <f>I48</f>
        <v/>
      </c>
      <c r="J206" s="86">
        <f>J48</f>
        <v/>
      </c>
      <c r="K206" s="86">
        <f>K48</f>
        <v/>
      </c>
      <c r="L206" s="86">
        <f>L48</f>
        <v/>
      </c>
      <c r="M206" s="86">
        <f>M48</f>
        <v/>
      </c>
      <c r="N206" s="86">
        <f>N48</f>
        <v/>
      </c>
      <c r="O206" s="86">
        <f>O48</f>
        <v/>
      </c>
      <c r="P206" s="86">
        <f>P48</f>
        <v/>
      </c>
      <c r="Q206" s="86">
        <f>Q48</f>
        <v/>
      </c>
      <c r="R206" s="86">
        <f>R48</f>
        <v/>
      </c>
      <c r="S206" s="86">
        <f>S48</f>
        <v/>
      </c>
      <c r="T206" s="86">
        <f>T48</f>
        <v/>
      </c>
      <c r="U206" s="86">
        <f>U48</f>
        <v/>
      </c>
    </row>
    <row r="207" outlineLevel="1">
      <c r="A207" s="74" t="inlineStr">
        <is>
          <t>% of invested capital excluding goodwill</t>
        </is>
      </c>
      <c r="G207" s="882">
        <f>G206/G$183</f>
        <v/>
      </c>
      <c r="H207" s="882">
        <f>H206/H$183</f>
        <v/>
      </c>
      <c r="I207" s="882">
        <f>I206/I$183</f>
        <v/>
      </c>
      <c r="J207" s="882">
        <f>J206/J$183</f>
        <v/>
      </c>
      <c r="K207" s="882">
        <f>K206/K$183</f>
        <v/>
      </c>
      <c r="L207" s="882">
        <f>L206/L$183</f>
        <v/>
      </c>
      <c r="M207" s="882">
        <f>M206/M$183</f>
        <v/>
      </c>
      <c r="N207" s="882">
        <f>N206/N$183</f>
        <v/>
      </c>
      <c r="O207" s="882">
        <f>O206/O$183</f>
        <v/>
      </c>
      <c r="P207" s="882">
        <f>P206/P$183</f>
        <v/>
      </c>
      <c r="Q207" s="882">
        <f>Q206/Q$183</f>
        <v/>
      </c>
      <c r="R207" s="882">
        <f>R206/R$183</f>
        <v/>
      </c>
      <c r="S207" s="882">
        <f>S206/S$183</f>
        <v/>
      </c>
      <c r="T207" s="882">
        <f>T206/T$183</f>
        <v/>
      </c>
      <c r="U207" s="882">
        <f>U206/U$183</f>
        <v/>
      </c>
    </row>
    <row r="208" outlineLevel="1">
      <c r="A208" s="105" t="inlineStr">
        <is>
          <t>Prepaid land lease and other intangible</t>
        </is>
      </c>
      <c r="G208" s="86">
        <f>G51+G49</f>
        <v/>
      </c>
      <c r="H208" s="86">
        <f>H51+H49</f>
        <v/>
      </c>
      <c r="I208" s="86">
        <f>I51+I49</f>
        <v/>
      </c>
      <c r="J208" s="86">
        <f>J51+J49</f>
        <v/>
      </c>
      <c r="K208" s="86">
        <f>K51+K49</f>
        <v/>
      </c>
      <c r="L208" s="86">
        <f>L51+L49</f>
        <v/>
      </c>
      <c r="M208" s="86">
        <f>M51+M49</f>
        <v/>
      </c>
      <c r="N208" s="86">
        <f>N51+N49</f>
        <v/>
      </c>
      <c r="O208" s="86">
        <f>O51+O49</f>
        <v/>
      </c>
      <c r="P208" s="86">
        <f>P51+P49</f>
        <v/>
      </c>
      <c r="Q208" s="86">
        <f>Q51+Q49</f>
        <v/>
      </c>
      <c r="R208" s="86">
        <f>R51+R49</f>
        <v/>
      </c>
      <c r="S208" s="86">
        <f>S51+S49</f>
        <v/>
      </c>
      <c r="T208" s="86">
        <f>T51+T49</f>
        <v/>
      </c>
      <c r="U208" s="86">
        <f>U51+U49</f>
        <v/>
      </c>
    </row>
    <row r="209" outlineLevel="1">
      <c r="A209" s="74" t="inlineStr">
        <is>
          <t>% of invested capital excluding goodwill</t>
        </is>
      </c>
      <c r="G209" s="882">
        <f>G208/G$183</f>
        <v/>
      </c>
      <c r="H209" s="882">
        <f>H208/H$183</f>
        <v/>
      </c>
      <c r="I209" s="882">
        <f>I208/I$183</f>
        <v/>
      </c>
      <c r="J209" s="882">
        <f>J208/J$183</f>
        <v/>
      </c>
      <c r="K209" s="882">
        <f>K208/K$183</f>
        <v/>
      </c>
      <c r="L209" s="882">
        <f>L208/L$183</f>
        <v/>
      </c>
      <c r="M209" s="882">
        <f>M208/M$183</f>
        <v/>
      </c>
      <c r="N209" s="882">
        <f>N208/N$183</f>
        <v/>
      </c>
      <c r="O209" s="882">
        <f>O208/O$183</f>
        <v/>
      </c>
      <c r="P209" s="882">
        <f>P208/P$183</f>
        <v/>
      </c>
      <c r="Q209" s="882">
        <f>Q208/Q$183</f>
        <v/>
      </c>
      <c r="R209" s="882">
        <f>R208/R$183</f>
        <v/>
      </c>
      <c r="S209" s="882">
        <f>S208/S$183</f>
        <v/>
      </c>
      <c r="T209" s="882">
        <f>T208/T$183</f>
        <v/>
      </c>
      <c r="U209" s="882">
        <f>U208/U$183</f>
        <v/>
      </c>
    </row>
    <row r="210" outlineLevel="1">
      <c r="A210" s="105" t="inlineStr">
        <is>
          <t>Working cash</t>
        </is>
      </c>
      <c r="G210" s="86">
        <f>G158+G53</f>
        <v/>
      </c>
      <c r="H210" s="86">
        <f>H158+H53</f>
        <v/>
      </c>
      <c r="I210" s="86">
        <f>I158+I53</f>
        <v/>
      </c>
      <c r="J210" s="86">
        <f>J158+J53</f>
        <v/>
      </c>
      <c r="K210" s="86">
        <f>K158+K53</f>
        <v/>
      </c>
      <c r="L210" s="86">
        <f>L158+L53</f>
        <v/>
      </c>
      <c r="M210" s="86">
        <f>M158+M53</f>
        <v/>
      </c>
      <c r="N210" s="86">
        <f>N158+N53</f>
        <v/>
      </c>
      <c r="O210" s="86">
        <f>O158+O53</f>
        <v/>
      </c>
      <c r="P210" s="86">
        <f>P158+P53</f>
        <v/>
      </c>
      <c r="Q210" s="86">
        <f>Q158+Q53</f>
        <v/>
      </c>
      <c r="R210" s="86">
        <f>R158+R53</f>
        <v/>
      </c>
      <c r="S210" s="86">
        <f>S158+S53</f>
        <v/>
      </c>
      <c r="T210" s="86">
        <f>T158+T53</f>
        <v/>
      </c>
      <c r="U210" s="86">
        <f>U158+U53</f>
        <v/>
      </c>
    </row>
    <row r="211" outlineLevel="1">
      <c r="A211" s="74" t="inlineStr">
        <is>
          <t>% of invested capital excluding goodwill</t>
        </is>
      </c>
      <c r="G211" s="882">
        <f>G210/G$183</f>
        <v/>
      </c>
      <c r="H211" s="882">
        <f>H210/H$183</f>
        <v/>
      </c>
      <c r="I211" s="882">
        <f>I210/I$183</f>
        <v/>
      </c>
      <c r="J211" s="882">
        <f>J210/J$183</f>
        <v/>
      </c>
      <c r="K211" s="882">
        <f>K210/K$183</f>
        <v/>
      </c>
      <c r="L211" s="882">
        <f>L210/L$183</f>
        <v/>
      </c>
      <c r="M211" s="882">
        <f>M210/M$183</f>
        <v/>
      </c>
      <c r="N211" s="882">
        <f>N210/N$183</f>
        <v/>
      </c>
      <c r="O211" s="882">
        <f>O210/O$183</f>
        <v/>
      </c>
      <c r="P211" s="882">
        <f>P210/P$183</f>
        <v/>
      </c>
      <c r="Q211" s="882">
        <f>Q210/Q$183</f>
        <v/>
      </c>
      <c r="R211" s="882">
        <f>R210/R$183</f>
        <v/>
      </c>
      <c r="S211" s="882">
        <f>S210/S$183</f>
        <v/>
      </c>
      <c r="T211" s="882">
        <f>T210/T$183</f>
        <v/>
      </c>
      <c r="U211" s="882">
        <f>U210/U$183</f>
        <v/>
      </c>
    </row>
    <row r="212" outlineLevel="1">
      <c r="A212" s="105" t="inlineStr">
        <is>
          <t>Others</t>
        </is>
      </c>
      <c r="G212" s="883">
        <f>1-G205-G207-G209-G211</f>
        <v/>
      </c>
      <c r="H212" s="883">
        <f>1-H205-H207-H209-H211</f>
        <v/>
      </c>
      <c r="I212" s="883">
        <f>1-I205-I207-I209-I211</f>
        <v/>
      </c>
      <c r="J212" s="883">
        <f>1-J205-J207-J209-J211</f>
        <v/>
      </c>
      <c r="K212" s="883">
        <f>1-K205-K207-K209-K211</f>
        <v/>
      </c>
      <c r="L212" s="883">
        <f>1-L205-L207-L209-L211</f>
        <v/>
      </c>
      <c r="M212" s="883">
        <f>1-M205-M207-M209-M211</f>
        <v/>
      </c>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row>
    <row r="213" outlineLevel="1">
      <c r="A213" s="40" t="n"/>
      <c r="I213" s="128" t="n"/>
      <c r="J213" s="128" t="n"/>
      <c r="K213" s="128" t="n"/>
      <c r="L213" s="128" t="n"/>
      <c r="M213" s="128" t="n"/>
      <c r="N213" s="128" t="n"/>
      <c r="O213" s="128" t="n"/>
      <c r="P213" s="128" t="n"/>
      <c r="Q213" s="128" t="n"/>
      <c r="R213" s="128" t="n"/>
      <c r="S213" s="128" t="n"/>
      <c r="T213" s="128" t="n"/>
      <c r="U213" s="128" t="n"/>
    </row>
    <row r="214" outlineLevel="1">
      <c r="A214" s="40" t="n"/>
      <c r="I214" s="128" t="n"/>
      <c r="J214" s="128" t="n"/>
      <c r="K214" s="128" t="n"/>
      <c r="L214" s="128" t="n"/>
      <c r="M214" s="128" t="n"/>
      <c r="N214" s="128" t="n"/>
      <c r="O214" s="128" t="n"/>
      <c r="P214" s="128" t="n"/>
      <c r="Q214" s="128" t="n"/>
      <c r="R214" s="128" t="n"/>
      <c r="S214" s="128" t="n"/>
      <c r="T214" s="128" t="n"/>
      <c r="U214" s="128" t="n"/>
    </row>
    <row r="215" outlineLevel="1"/>
    <row r="216" outlineLevel="1">
      <c r="A216" s="81" t="inlineStr">
        <is>
          <t>Annualization - Half</t>
        </is>
      </c>
    </row>
    <row r="217" outlineLevel="1">
      <c r="A217" s="44" t="inlineStr">
        <is>
          <t>Period Start</t>
        </is>
      </c>
      <c r="B217" s="46">
        <f>DATE(B1,1,1)</f>
        <v/>
      </c>
      <c r="C217" s="46">
        <f>DATE(C1,1,1)</f>
        <v/>
      </c>
      <c r="D217" s="46">
        <f>DATE(D1,1,1)</f>
        <v/>
      </c>
      <c r="E217" s="46">
        <f>DATE(E1,1,1)</f>
        <v/>
      </c>
      <c r="F217" s="46">
        <f>DATE(F1,1,1)</f>
        <v/>
      </c>
      <c r="G217" s="46">
        <f>DATE(G1,1,1)</f>
        <v/>
      </c>
      <c r="H217" s="46">
        <f>DATE(H1,1,1)</f>
        <v/>
      </c>
      <c r="I217" s="46">
        <f>DATE(I1,1,1)</f>
        <v/>
      </c>
      <c r="J217" s="46">
        <f>DATE(J1,1,1)</f>
        <v/>
      </c>
      <c r="K217" s="46">
        <f>DATE(K1,1,1)</f>
        <v/>
      </c>
      <c r="L217" s="46">
        <f>DATE(L1,1,1)</f>
        <v/>
      </c>
      <c r="M217" s="46">
        <f>DATE(M1,1,1)</f>
        <v/>
      </c>
      <c r="N217" s="46">
        <f>DATE(N1,1,1)</f>
        <v/>
      </c>
      <c r="O217" s="46">
        <f>DATE(O1,1,1)</f>
        <v/>
      </c>
      <c r="P217" s="46">
        <f>DATE(P1,1,1)</f>
        <v/>
      </c>
      <c r="Q217" s="46">
        <f>DATE(Q1,1,1)</f>
        <v/>
      </c>
      <c r="R217" s="46">
        <f>DATE(R1,1,1)</f>
        <v/>
      </c>
      <c r="S217" s="46">
        <f>DATE(S1,1,1)</f>
        <v/>
      </c>
      <c r="T217" s="46">
        <f>DATE(T1,1,1)</f>
        <v/>
      </c>
      <c r="U217" s="46">
        <f>DATE(U1,1,1)</f>
        <v/>
      </c>
    </row>
    <row r="218" outlineLevel="1">
      <c r="A218" s="44" t="inlineStr">
        <is>
          <t>Period Ends</t>
        </is>
      </c>
      <c r="B218" s="46">
        <f>EOMONTH(B217,11)</f>
        <v/>
      </c>
      <c r="C218" s="46">
        <f>EOMONTH(C217,11)</f>
        <v/>
      </c>
      <c r="D218" s="46">
        <f>EOMONTH(D217,11)</f>
        <v/>
      </c>
      <c r="E218" s="46">
        <f>EOMONTH(E217,11)</f>
        <v/>
      </c>
      <c r="F218" s="46">
        <f>EOMONTH(F217,11)</f>
        <v/>
      </c>
      <c r="G218" s="46">
        <f>EOMONTH(G217,11)</f>
        <v/>
      </c>
      <c r="H218" s="46">
        <f>EOMONTH(H217,11)</f>
        <v/>
      </c>
      <c r="I218" s="46">
        <f>EOMONTH(I217,11)</f>
        <v/>
      </c>
      <c r="J218" s="46">
        <f>EOMONTH(J217,11)</f>
        <v/>
      </c>
      <c r="K218" s="46">
        <f>EOMONTH(K217,11)</f>
        <v/>
      </c>
      <c r="L218" s="46">
        <f>EOMONTH(L217,11)</f>
        <v/>
      </c>
      <c r="M218" s="46">
        <f>EOMONTH(M217,11)</f>
        <v/>
      </c>
      <c r="N218" s="46">
        <f>EOMONTH(N217,11)</f>
        <v/>
      </c>
      <c r="O218" s="46">
        <f>EOMONTH(O217,11)</f>
        <v/>
      </c>
      <c r="P218" s="46">
        <f>EOMONTH(P217,11)</f>
        <v/>
      </c>
      <c r="Q218" s="46">
        <f>EOMONTH(Q217,11)</f>
        <v/>
      </c>
      <c r="R218" s="46">
        <f>EOMONTH(R217,11)</f>
        <v/>
      </c>
      <c r="S218" s="46">
        <f>EOMONTH(S217,11)</f>
        <v/>
      </c>
      <c r="T218" s="46">
        <f>EOMONTH(T217,11)</f>
        <v/>
      </c>
      <c r="U218" s="46">
        <f>EOMONTH(U217,11)</f>
        <v/>
      </c>
    </row>
    <row r="219" outlineLevel="1">
      <c r="A219" s="44" t="inlineStr">
        <is>
          <t>Year Starts</t>
        </is>
      </c>
      <c r="B219" s="46">
        <f>+B217</f>
        <v/>
      </c>
      <c r="C219" s="46">
        <f>+C217</f>
        <v/>
      </c>
      <c r="D219" s="46">
        <f>+D217</f>
        <v/>
      </c>
      <c r="E219" s="46">
        <f>+E217</f>
        <v/>
      </c>
      <c r="F219" s="46">
        <f>+F217</f>
        <v/>
      </c>
      <c r="G219" s="46">
        <f>+G217</f>
        <v/>
      </c>
      <c r="H219" s="46">
        <f>+H217</f>
        <v/>
      </c>
      <c r="I219" s="46">
        <f>+I217</f>
        <v/>
      </c>
      <c r="J219" s="46">
        <f>+J217</f>
        <v/>
      </c>
      <c r="K219" s="46">
        <f>+K217</f>
        <v/>
      </c>
      <c r="L219" s="46">
        <f>+L217</f>
        <v/>
      </c>
      <c r="M219" s="46">
        <f>+M217</f>
        <v/>
      </c>
      <c r="N219" s="46">
        <f>+N217</f>
        <v/>
      </c>
      <c r="O219" s="46">
        <f>+O217</f>
        <v/>
      </c>
      <c r="P219" s="46">
        <f>+P217</f>
        <v/>
      </c>
      <c r="Q219" s="46">
        <f>+Q217</f>
        <v/>
      </c>
      <c r="R219" s="46">
        <f>+R217</f>
        <v/>
      </c>
      <c r="S219" s="46">
        <f>+S217</f>
        <v/>
      </c>
      <c r="T219" s="46">
        <f>+T217</f>
        <v/>
      </c>
      <c r="U219" s="46">
        <f>+U217</f>
        <v/>
      </c>
    </row>
    <row r="220" outlineLevel="1">
      <c r="A220" s="44" t="inlineStr">
        <is>
          <t>Year Ends</t>
        </is>
      </c>
      <c r="B220" s="46">
        <f>+B218</f>
        <v/>
      </c>
      <c r="C220" s="46">
        <f>+C218</f>
        <v/>
      </c>
      <c r="D220" s="46">
        <f>+D218</f>
        <v/>
      </c>
      <c r="E220" s="46">
        <f>+E218</f>
        <v/>
      </c>
      <c r="F220" s="46">
        <f>+F218</f>
        <v/>
      </c>
      <c r="G220" s="46">
        <f>+G218</f>
        <v/>
      </c>
      <c r="H220" s="46">
        <f>+H218</f>
        <v/>
      </c>
      <c r="I220" s="46">
        <f>+I218</f>
        <v/>
      </c>
      <c r="J220" s="46">
        <f>+J218</f>
        <v/>
      </c>
      <c r="K220" s="46">
        <f>+K218</f>
        <v/>
      </c>
      <c r="L220" s="46">
        <f>+L218</f>
        <v/>
      </c>
      <c r="M220" s="46">
        <f>+M218</f>
        <v/>
      </c>
      <c r="N220" s="46">
        <f>+N218</f>
        <v/>
      </c>
      <c r="O220" s="46">
        <f>+O218</f>
        <v/>
      </c>
      <c r="P220" s="46">
        <f>+P218</f>
        <v/>
      </c>
      <c r="Q220" s="46">
        <f>+Q218</f>
        <v/>
      </c>
      <c r="R220" s="46">
        <f>+R218</f>
        <v/>
      </c>
      <c r="S220" s="46">
        <f>+S218</f>
        <v/>
      </c>
      <c r="T220" s="46">
        <f>+T218</f>
        <v/>
      </c>
      <c r="U220" s="46">
        <f>+U218</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47">
        <f>+M222/M221</f>
        <v/>
      </c>
      <c r="N223" s="47">
        <f>+N222/N221</f>
        <v/>
      </c>
      <c r="O223" s="47">
        <f>+O222/O221</f>
        <v/>
      </c>
      <c r="P223" s="47">
        <f>+P222/P221</f>
        <v/>
      </c>
      <c r="Q223" s="47">
        <f>+Q222/Q221</f>
        <v/>
      </c>
      <c r="R223" s="47">
        <f>+R222/R221</f>
        <v/>
      </c>
      <c r="S223" s="47">
        <f>+S222/S221</f>
        <v/>
      </c>
      <c r="T223" s="47">
        <f>+T222/T221</f>
        <v/>
      </c>
      <c r="U223" s="47">
        <f>+U222/U221</f>
        <v/>
      </c>
    </row>
    <row r="224" outlineLevel="1"/>
    <row r="225" outlineLevel="1">
      <c r="A225" s="81" t="inlineStr">
        <is>
          <t>FX Rate</t>
        </is>
      </c>
    </row>
    <row r="226" outlineLevel="1">
      <c r="A226" s="888" t="inlineStr">
        <is>
          <t>RMB per HKD</t>
        </is>
      </c>
      <c r="B226" s="888" t="n">
        <v>1.06135</v>
      </c>
      <c r="C226" s="888" t="n">
        <v>1.06131</v>
      </c>
      <c r="D226" s="888" t="n">
        <v>1.0629</v>
      </c>
      <c r="E226" s="888" t="n">
        <v>1.06269</v>
      </c>
      <c r="F226" s="888" t="n">
        <v>1.05337</v>
      </c>
      <c r="G226" s="888" t="n">
        <v>1.0263</v>
      </c>
      <c r="H226" s="888" t="n">
        <v>0.97499</v>
      </c>
      <c r="I226" s="888" t="n">
        <v>0.89252</v>
      </c>
      <c r="J226" s="888" t="n">
        <v>0.88128</v>
      </c>
      <c r="K226" s="888" t="n">
        <v>0.8712</v>
      </c>
      <c r="L226" s="888" t="n">
        <v>0.8303</v>
      </c>
      <c r="M226" s="888" t="n">
        <v>0.8134</v>
      </c>
      <c r="N226" s="888" t="n">
        <v>0.79264</v>
      </c>
      <c r="O226" s="888" t="n">
        <v>0.79459</v>
      </c>
      <c r="P226" s="889">
        <f>+O226</f>
        <v/>
      </c>
      <c r="Q226" s="889">
        <f>+P226</f>
        <v/>
      </c>
      <c r="R226" s="889">
        <f>+Q226</f>
        <v/>
      </c>
      <c r="S226" s="889">
        <f>+R226</f>
        <v/>
      </c>
      <c r="T226" s="889">
        <f>+S226</f>
        <v/>
      </c>
      <c r="U226" s="889">
        <f>+T226</f>
        <v/>
      </c>
    </row>
    <row r="227" outlineLevel="1">
      <c r="J227" s="890" t="n"/>
      <c r="K227" s="890" t="n"/>
      <c r="L227" s="890" t="n"/>
      <c r="M227" s="890" t="n"/>
      <c r="N227" s="890" t="n"/>
      <c r="O227" s="890" t="n"/>
      <c r="P227" s="333" t="n"/>
      <c r="Q227" s="333" t="n"/>
      <c r="R227" s="333" t="n"/>
      <c r="S227" s="333" t="n"/>
      <c r="T227" s="333" t="n"/>
      <c r="U227" s="333" t="n"/>
    </row>
    <row r="228" outlineLevel="1">
      <c r="A228" s="81" t="inlineStr">
        <is>
          <t>EV Bridge</t>
        </is>
      </c>
    </row>
    <row r="229" outlineLevel="1">
      <c r="A229" s="20" t="inlineStr">
        <is>
          <t>Net Debt</t>
        </is>
      </c>
      <c r="B229" s="166">
        <f>+B176</f>
        <v/>
      </c>
      <c r="C229" s="166">
        <f>+C176</f>
        <v/>
      </c>
      <c r="D229" s="166">
        <f>+D176</f>
        <v/>
      </c>
      <c r="E229" s="166">
        <f>+E176</f>
        <v/>
      </c>
      <c r="F229" s="166">
        <f>+F176</f>
        <v/>
      </c>
      <c r="G229" s="166">
        <f>+G166</f>
        <v/>
      </c>
      <c r="H229" s="166">
        <f>+H166</f>
        <v/>
      </c>
      <c r="I229" s="166">
        <f>+I166</f>
        <v/>
      </c>
      <c r="J229" s="166">
        <f>+J166</f>
        <v/>
      </c>
      <c r="K229" s="166">
        <f>+K166</f>
        <v/>
      </c>
      <c r="L229" s="166">
        <f>+L166</f>
        <v/>
      </c>
      <c r="M229" s="166">
        <f>+M166</f>
        <v/>
      </c>
      <c r="N229" s="166">
        <f>+N166</f>
        <v/>
      </c>
      <c r="O229" s="166">
        <f>+O166</f>
        <v/>
      </c>
      <c r="P229" s="166">
        <f>+P166</f>
        <v/>
      </c>
      <c r="Q229" s="166">
        <f>+Q166</f>
        <v/>
      </c>
      <c r="R229" s="166">
        <f>+R166</f>
        <v/>
      </c>
      <c r="S229" s="166">
        <f>+S166</f>
        <v/>
      </c>
      <c r="T229" s="166">
        <f>+T166</f>
        <v/>
      </c>
      <c r="U229" s="166">
        <f>+U166</f>
        <v/>
      </c>
    </row>
    <row r="230" outlineLevel="1">
      <c r="A230" s="20" t="inlineStr">
        <is>
          <t>Non-controlling interest</t>
        </is>
      </c>
      <c r="B230" s="166">
        <f>+B88</f>
        <v/>
      </c>
      <c r="C230" s="166">
        <f>+C88</f>
        <v/>
      </c>
      <c r="D230" s="166">
        <f>+D88</f>
        <v/>
      </c>
      <c r="E230" s="166">
        <f>+E88</f>
        <v/>
      </c>
      <c r="F230" s="166">
        <f>+F88</f>
        <v/>
      </c>
      <c r="G230" s="166">
        <f>+G91</f>
        <v/>
      </c>
      <c r="H230" s="166">
        <f>+H91</f>
        <v/>
      </c>
      <c r="I230" s="166">
        <f>+I91</f>
        <v/>
      </c>
      <c r="J230" s="166">
        <f>+J91</f>
        <v/>
      </c>
      <c r="K230" s="166">
        <f>+K91</f>
        <v/>
      </c>
      <c r="L230" s="166">
        <f>+L91</f>
        <v/>
      </c>
      <c r="M230" s="166">
        <f>+M91</f>
        <v/>
      </c>
      <c r="N230" s="166">
        <f>+N91</f>
        <v/>
      </c>
      <c r="O230" s="166">
        <f>+O91</f>
        <v/>
      </c>
      <c r="P230" s="166">
        <f>+P91</f>
        <v/>
      </c>
      <c r="Q230" s="166">
        <f>+Q91</f>
        <v/>
      </c>
      <c r="R230" s="166">
        <f>+R91</f>
        <v/>
      </c>
      <c r="S230" s="166">
        <f>+S91</f>
        <v/>
      </c>
      <c r="T230" s="166">
        <f>+T91</f>
        <v/>
      </c>
      <c r="U230" s="166">
        <f>+U91</f>
        <v/>
      </c>
    </row>
    <row r="231" outlineLevel="1" customFormat="1" s="21">
      <c r="A231" s="21" t="inlineStr">
        <is>
          <t>Total</t>
        </is>
      </c>
      <c r="B231" s="342">
        <f>SUM(B229:B230)</f>
        <v/>
      </c>
      <c r="C231" s="342">
        <f>SUM(C229:C230)</f>
        <v/>
      </c>
      <c r="D231" s="342">
        <f>SUM(D229:D230)</f>
        <v/>
      </c>
      <c r="E231" s="342">
        <f>SUM(E229:E230)</f>
        <v/>
      </c>
      <c r="F231" s="342">
        <f>SUM(F229:F230)</f>
        <v/>
      </c>
      <c r="G231" s="342">
        <f>SUM(G229:G230)</f>
        <v/>
      </c>
      <c r="H231" s="342">
        <f>SUM(H229:H230)</f>
        <v/>
      </c>
      <c r="I231" s="342">
        <f>SUM(I229:I230)</f>
        <v/>
      </c>
      <c r="J231" s="342">
        <f>SUM(J229:J230)</f>
        <v/>
      </c>
      <c r="K231" s="342">
        <f>SUM(K229:K230)</f>
        <v/>
      </c>
      <c r="L231" s="342">
        <f>SUM(L229:L230)</f>
        <v/>
      </c>
      <c r="M231" s="342">
        <f>SUM(M229:M230)</f>
        <v/>
      </c>
      <c r="N231" s="342">
        <f>SUM(N229:N230)</f>
        <v/>
      </c>
      <c r="O231" s="342">
        <f>SUM(O229:O230)</f>
        <v/>
      </c>
      <c r="P231" s="342">
        <f>SUM(P229:P230)</f>
        <v/>
      </c>
      <c r="Q231" s="342">
        <f>SUM(Q229:Q230)</f>
        <v/>
      </c>
      <c r="R231" s="342">
        <f>SUM(R229:R230)</f>
        <v/>
      </c>
      <c r="S231" s="342">
        <f>SUM(S229:S230)</f>
        <v/>
      </c>
      <c r="T231" s="342">
        <f>SUM(T229:T230)</f>
        <v/>
      </c>
      <c r="U231" s="342">
        <f>SUM(U229:U230)</f>
        <v/>
      </c>
    </row>
    <row r="232" outlineLevel="1"/>
    <row r="233" outlineLevel="1">
      <c r="A233" s="81" t="inlineStr">
        <is>
          <t>In RMB</t>
        </is>
      </c>
    </row>
    <row r="234" outlineLevel="1">
      <c r="A234" t="inlineStr">
        <is>
          <t>EPS</t>
        </is>
      </c>
      <c r="B234" s="48">
        <f>+B26/B31</f>
        <v/>
      </c>
      <c r="C234" s="48">
        <f>+C26/C31</f>
        <v/>
      </c>
      <c r="D234" s="48">
        <f>+D26/D31</f>
        <v/>
      </c>
      <c r="E234" s="48">
        <f>+E26/E31</f>
        <v/>
      </c>
      <c r="F234" s="48">
        <f>+F26/F31</f>
        <v/>
      </c>
      <c r="G234" s="48">
        <f>+G26/G31</f>
        <v/>
      </c>
      <c r="H234" s="48">
        <f>+H26/H31</f>
        <v/>
      </c>
      <c r="I234" s="48">
        <f>+I26/I31</f>
        <v/>
      </c>
      <c r="J234" s="48">
        <f>+J26/J31</f>
        <v/>
      </c>
      <c r="K234" s="48">
        <f>+K26/K31</f>
        <v/>
      </c>
      <c r="L234" s="48">
        <f>+L26/L31</f>
        <v/>
      </c>
      <c r="M234" s="48">
        <f>+M26/M31</f>
        <v/>
      </c>
      <c r="N234" s="48">
        <f>+N26/N31</f>
        <v/>
      </c>
      <c r="O234" s="48">
        <f>+O26/O31</f>
        <v/>
      </c>
      <c r="P234" s="48">
        <f>+P26/P31</f>
        <v/>
      </c>
      <c r="Q234" s="48">
        <f>+Q26/Q31</f>
        <v/>
      </c>
      <c r="R234" s="48">
        <f>+R26/R31</f>
        <v/>
      </c>
      <c r="S234" s="48">
        <f>+S26/S31</f>
        <v/>
      </c>
      <c r="T234" s="48">
        <f>+T26/T31</f>
        <v/>
      </c>
      <c r="U234" s="48">
        <f>+U26/U31</f>
        <v/>
      </c>
    </row>
    <row r="235" outlineLevel="1">
      <c r="A235" t="inlineStr">
        <is>
          <t>BVPS</t>
        </is>
      </c>
      <c r="B235" s="48">
        <f>B96*B226</f>
        <v/>
      </c>
      <c r="C235" s="48">
        <f>C96*C226</f>
        <v/>
      </c>
      <c r="D235" s="48">
        <f>D96*D226</f>
        <v/>
      </c>
      <c r="E235" s="48">
        <f>E96*E226</f>
        <v/>
      </c>
      <c r="F235" s="48">
        <f>F96*F226</f>
        <v/>
      </c>
      <c r="G235" s="48">
        <f>G96*G226</f>
        <v/>
      </c>
      <c r="H235" s="48">
        <f>H96*H226</f>
        <v/>
      </c>
      <c r="I235" s="48">
        <f>I96*I226</f>
        <v/>
      </c>
      <c r="J235" s="48">
        <f>J96*J226</f>
        <v/>
      </c>
      <c r="K235" s="48">
        <f>K96*K226</f>
        <v/>
      </c>
      <c r="L235" s="48">
        <f>L96*L226</f>
        <v/>
      </c>
      <c r="M235" s="48">
        <f>M96*M226</f>
        <v/>
      </c>
      <c r="N235" s="48">
        <f>N96*N226</f>
        <v/>
      </c>
      <c r="O235" s="48">
        <f>O96*O226</f>
        <v/>
      </c>
      <c r="P235" s="48">
        <f>P96*P226</f>
        <v/>
      </c>
      <c r="Q235" s="48">
        <f>Q96*Q226</f>
        <v/>
      </c>
      <c r="R235" s="48">
        <f>R96*R226</f>
        <v/>
      </c>
      <c r="S235" s="48">
        <f>S96*S226</f>
        <v/>
      </c>
      <c r="T235" s="48">
        <f>T96*T226</f>
        <v/>
      </c>
      <c r="U235" s="48">
        <f>U96*U226</f>
        <v/>
      </c>
    </row>
    <row r="236" outlineLevel="1">
      <c r="A236" t="inlineStr">
        <is>
          <t>DPS</t>
        </is>
      </c>
      <c r="B236" s="48">
        <f>+B176*B226</f>
        <v/>
      </c>
      <c r="C236" s="48">
        <f>+C176*C226</f>
        <v/>
      </c>
      <c r="D236" s="48">
        <f>+D176*D226</f>
        <v/>
      </c>
      <c r="E236" s="48">
        <f>+E176*E226</f>
        <v/>
      </c>
      <c r="F236" s="48">
        <f>+F176*F226</f>
        <v/>
      </c>
      <c r="G236" s="48">
        <f>+G176*G226</f>
        <v/>
      </c>
      <c r="H236" s="48">
        <f>+H176*H226</f>
        <v/>
      </c>
      <c r="I236" s="48">
        <f>+I176*I226</f>
        <v/>
      </c>
      <c r="J236" s="48">
        <f>+J176*J226</f>
        <v/>
      </c>
      <c r="K236" s="48">
        <f>+K176*K226</f>
        <v/>
      </c>
      <c r="L236" s="48">
        <f>+L176*L226</f>
        <v/>
      </c>
      <c r="M236" s="48">
        <f>+M176*M226</f>
        <v/>
      </c>
      <c r="N236" s="48">
        <f>+N176*N226</f>
        <v/>
      </c>
      <c r="O236" s="48">
        <f>+O176*O226</f>
        <v/>
      </c>
      <c r="P236" s="48">
        <f>+P176*P226</f>
        <v/>
      </c>
      <c r="Q236" s="48">
        <f>+Q176*Q226</f>
        <v/>
      </c>
      <c r="R236" s="48">
        <f>+R176*R226</f>
        <v/>
      </c>
      <c r="S236" s="48">
        <f>+S176*S226</f>
        <v/>
      </c>
      <c r="T236" s="48">
        <f>+T176*T226</f>
        <v/>
      </c>
      <c r="U236" s="48">
        <f>+U176*U226</f>
        <v/>
      </c>
    </row>
  </sheetData>
  <pageMargins left="0.7" right="0.7" top="0.75" bottom="0.75" header="0.3" footer="0.3"/>
  <pageSetup orientation="portrait" paperSize="9" horizontalDpi="300" verticalDpi="300"/>
</worksheet>
</file>

<file path=xl/worksheets/sheet4.xml><?xml version="1.0" encoding="utf-8"?>
<worksheet xmlns="http://schemas.openxmlformats.org/spreadsheetml/2006/main">
  <sheetPr codeName="Sheet6">
    <tabColor theme="1"/>
    <outlinePr summaryBelow="1" summaryRight="1"/>
    <pageSetUpPr fitToPage="1"/>
  </sheetPr>
  <dimension ref="A1:AQ22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12"/>
    <col collapsed="1" width="15.6640625" customWidth="1" style="20" min="13" max="13"/>
    <col width="15.6640625" customWidth="1" style="20" min="14" max="41"/>
    <col width="9.33203125" customWidth="1" style="20" min="42" max="16384"/>
  </cols>
  <sheetData>
    <row r="1">
      <c r="A1" s="22">
        <f>Summary!$B$5</f>
        <v/>
      </c>
      <c r="B1" s="23">
        <f>#REF!</f>
        <v/>
      </c>
      <c r="C1" s="23">
        <f>#REF!</f>
        <v/>
      </c>
      <c r="D1" s="23">
        <f>#REF!</f>
        <v/>
      </c>
      <c r="E1" s="23">
        <f>#REF!</f>
        <v/>
      </c>
      <c r="F1" s="23">
        <f>#REF!</f>
        <v/>
      </c>
      <c r="G1" s="23">
        <f>#REF!</f>
        <v/>
      </c>
      <c r="H1" s="23">
        <f>#REF!</f>
        <v/>
      </c>
      <c r="I1" s="23">
        <f>#REF!</f>
        <v/>
      </c>
      <c r="J1" s="23">
        <f>#REF!</f>
        <v/>
      </c>
      <c r="K1" s="23">
        <f>#REF!</f>
        <v/>
      </c>
      <c r="L1" s="23">
        <f>#REF!</f>
        <v/>
      </c>
      <c r="M1" s="23">
        <f>#REF!</f>
        <v/>
      </c>
      <c r="N1" s="23">
        <f>#REF!</f>
        <v/>
      </c>
      <c r="O1" s="23">
        <f>#REF!</f>
        <v/>
      </c>
      <c r="P1" s="23">
        <f>#REF!</f>
        <v/>
      </c>
      <c r="Q1" s="23">
        <f>#REF!</f>
        <v/>
      </c>
      <c r="R1" s="23">
        <f>#REF!</f>
        <v/>
      </c>
      <c r="S1" s="23">
        <f>#REF!</f>
        <v/>
      </c>
      <c r="T1" s="23">
        <f>#REF!</f>
        <v/>
      </c>
      <c r="U1" s="23">
        <f>#REF!</f>
        <v/>
      </c>
      <c r="V1" s="23">
        <f>#REF!</f>
        <v/>
      </c>
      <c r="W1" s="23">
        <f>#REF!</f>
        <v/>
      </c>
      <c r="X1" s="23">
        <f>#REF!</f>
        <v/>
      </c>
      <c r="Y1" s="23">
        <f>#REF!</f>
        <v/>
      </c>
      <c r="Z1" s="23">
        <f>#REF!</f>
        <v/>
      </c>
      <c r="AA1" s="23">
        <f>#REF!</f>
        <v/>
      </c>
      <c r="AB1" s="23">
        <f>#REF!</f>
        <v/>
      </c>
      <c r="AC1" s="23">
        <f>#REF!</f>
        <v/>
      </c>
      <c r="AD1" s="23">
        <f>#REF!</f>
        <v/>
      </c>
      <c r="AE1" s="23">
        <f>#REF!</f>
        <v/>
      </c>
      <c r="AF1" s="23">
        <f>#REF!</f>
        <v/>
      </c>
      <c r="AG1" s="23">
        <f>#REF!</f>
        <v/>
      </c>
      <c r="AH1" s="23">
        <f>#REF!</f>
        <v/>
      </c>
      <c r="AI1" s="23">
        <f>#REF!</f>
        <v/>
      </c>
      <c r="AJ1" s="23">
        <f>#REF!</f>
        <v/>
      </c>
      <c r="AK1" s="23">
        <f>#REF!</f>
        <v/>
      </c>
      <c r="AL1" s="23">
        <f>#REF!</f>
        <v/>
      </c>
      <c r="AM1" s="23">
        <f>#REF!</f>
        <v/>
      </c>
      <c r="AN1" s="23">
        <f>#REF!</f>
        <v/>
      </c>
      <c r="AO1" s="23">
        <f>#REF!</f>
        <v/>
      </c>
    </row>
    <row r="2">
      <c r="A2" t="inlineStr">
        <is>
          <t>Financial Statements</t>
        </is>
      </c>
      <c r="B2" s="24">
        <f>#REF!</f>
        <v/>
      </c>
      <c r="C2" s="24">
        <f>#REF!</f>
        <v/>
      </c>
      <c r="D2" s="24">
        <f>#REF!</f>
        <v/>
      </c>
      <c r="E2" s="24">
        <f>#REF!</f>
        <v/>
      </c>
      <c r="F2" s="24">
        <f>#REF!</f>
        <v/>
      </c>
      <c r="G2" s="24">
        <f>#REF!</f>
        <v/>
      </c>
      <c r="H2" s="24">
        <f>#REF!</f>
        <v/>
      </c>
      <c r="I2" s="24">
        <f>#REF!</f>
        <v/>
      </c>
      <c r="J2" s="24">
        <f>#REF!</f>
        <v/>
      </c>
      <c r="K2" s="24">
        <f>#REF!</f>
        <v/>
      </c>
      <c r="L2" s="24">
        <f>#REF!</f>
        <v/>
      </c>
      <c r="M2" s="24">
        <f>#REF!</f>
        <v/>
      </c>
      <c r="N2" s="24">
        <f>#REF!</f>
        <v/>
      </c>
      <c r="O2" s="24">
        <f>#REF!</f>
        <v/>
      </c>
      <c r="P2" s="24">
        <f>#REF!</f>
        <v/>
      </c>
      <c r="Q2" s="24">
        <f>#REF!</f>
        <v/>
      </c>
      <c r="R2" s="24">
        <f>#REF!</f>
        <v/>
      </c>
      <c r="S2" s="24">
        <f>#REF!</f>
        <v/>
      </c>
      <c r="T2" s="24">
        <f>#REF!</f>
        <v/>
      </c>
      <c r="U2" s="24">
        <f>#REF!</f>
        <v/>
      </c>
      <c r="V2" s="24">
        <f>#REF!</f>
        <v/>
      </c>
      <c r="W2" s="24">
        <f>#REF!</f>
        <v/>
      </c>
      <c r="X2" s="24">
        <f>#REF!</f>
        <v/>
      </c>
      <c r="Y2" s="24">
        <f>#REF!</f>
        <v/>
      </c>
      <c r="Z2" s="24">
        <f>#REF!</f>
        <v/>
      </c>
      <c r="AA2" s="24">
        <f>#REF!</f>
        <v/>
      </c>
      <c r="AB2" s="24">
        <f>#REF!</f>
        <v/>
      </c>
      <c r="AC2" s="24">
        <f>#REF!</f>
        <v/>
      </c>
      <c r="AD2" s="24">
        <f>#REF!</f>
        <v/>
      </c>
      <c r="AE2" s="24">
        <f>#REF!</f>
        <v/>
      </c>
      <c r="AF2" s="24">
        <f>#REF!</f>
        <v/>
      </c>
      <c r="AG2" s="24">
        <f>#REF!</f>
        <v/>
      </c>
      <c r="AH2" s="24">
        <f>#REF!</f>
        <v/>
      </c>
      <c r="AI2" s="24">
        <f>#REF!</f>
        <v/>
      </c>
      <c r="AJ2" s="24">
        <f>#REF!</f>
        <v/>
      </c>
      <c r="AK2" s="24">
        <f>#REF!</f>
        <v/>
      </c>
      <c r="AL2" s="24">
        <f>#REF!</f>
        <v/>
      </c>
      <c r="AM2" s="24">
        <f>#REF!</f>
        <v/>
      </c>
      <c r="AN2" s="24">
        <f>#REF!</f>
        <v/>
      </c>
      <c r="AO2" s="24">
        <f>#REF!</f>
        <v/>
      </c>
    </row>
    <row r="3">
      <c r="A3" t="inlineStr">
        <is>
          <t>Semi-annual</t>
        </is>
      </c>
      <c r="B3" s="24">
        <f>#REF!</f>
        <v/>
      </c>
      <c r="C3" s="24">
        <f>#REF!</f>
        <v/>
      </c>
      <c r="D3" s="24">
        <f>#REF!</f>
        <v/>
      </c>
      <c r="E3" s="24">
        <f>#REF!</f>
        <v/>
      </c>
      <c r="F3" s="24">
        <f>#REF!</f>
        <v/>
      </c>
      <c r="G3" s="24">
        <f>#REF!</f>
        <v/>
      </c>
      <c r="H3" s="24">
        <f>#REF!</f>
        <v/>
      </c>
      <c r="I3" s="24">
        <f>#REF!</f>
        <v/>
      </c>
      <c r="J3" s="24">
        <f>#REF!</f>
        <v/>
      </c>
      <c r="K3" s="24">
        <f>#REF!</f>
        <v/>
      </c>
      <c r="L3" s="24">
        <f>#REF!</f>
        <v/>
      </c>
      <c r="M3" s="24">
        <f>#REF!</f>
        <v/>
      </c>
      <c r="N3" s="24">
        <f>#REF!</f>
        <v/>
      </c>
      <c r="O3" s="24">
        <f>#REF!</f>
        <v/>
      </c>
      <c r="P3" s="24">
        <f>#REF!</f>
        <v/>
      </c>
      <c r="Q3" s="24">
        <f>#REF!</f>
        <v/>
      </c>
      <c r="R3" s="24">
        <f>#REF!</f>
        <v/>
      </c>
      <c r="S3" s="24">
        <f>#REF!</f>
        <v/>
      </c>
      <c r="T3" s="24">
        <f>#REF!</f>
        <v/>
      </c>
      <c r="U3" s="24">
        <f>#REF!</f>
        <v/>
      </c>
      <c r="V3" s="24">
        <f>#REF!</f>
        <v/>
      </c>
      <c r="W3" s="24">
        <f>#REF!</f>
        <v/>
      </c>
      <c r="X3" s="24">
        <f>#REF!</f>
        <v/>
      </c>
      <c r="Y3" s="24">
        <f>#REF!</f>
        <v/>
      </c>
      <c r="Z3" s="24">
        <f>#REF!</f>
        <v/>
      </c>
      <c r="AA3" s="24">
        <f>#REF!</f>
        <v/>
      </c>
      <c r="AB3" s="24">
        <f>#REF!</f>
        <v/>
      </c>
      <c r="AC3" s="24">
        <f>#REF!</f>
        <v/>
      </c>
      <c r="AD3" s="24">
        <f>#REF!</f>
        <v/>
      </c>
      <c r="AE3" s="24">
        <f>#REF!</f>
        <v/>
      </c>
      <c r="AF3" s="24">
        <f>#REF!</f>
        <v/>
      </c>
      <c r="AG3" s="24">
        <f>#REF!</f>
        <v/>
      </c>
      <c r="AH3" s="24">
        <f>#REF!</f>
        <v/>
      </c>
      <c r="AI3" s="24">
        <f>#REF!</f>
        <v/>
      </c>
      <c r="AJ3" s="24">
        <f>#REF!</f>
        <v/>
      </c>
      <c r="AK3" s="24">
        <f>#REF!</f>
        <v/>
      </c>
      <c r="AL3" s="24">
        <f>#REF!</f>
        <v/>
      </c>
      <c r="AM3" s="24">
        <f>#REF!</f>
        <v/>
      </c>
      <c r="AN3" s="24">
        <f>#REF!</f>
        <v/>
      </c>
      <c r="AO3" s="24">
        <f>#REF!</f>
        <v/>
      </c>
    </row>
    <row r="4"/>
    <row r="5">
      <c r="A5" s="282">
        <f>IF(SUM(93:93)=0,"","Check Balance Sheet")</f>
        <v/>
      </c>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AD3&amp;"E"</f>
        <v/>
      </c>
      <c r="AE5" s="26">
        <f>AE3&amp;"E"</f>
        <v/>
      </c>
      <c r="AF5" s="26">
        <f>AF3&amp;"E"</f>
        <v/>
      </c>
      <c r="AG5" s="26">
        <f>AG3&amp;"E"</f>
        <v/>
      </c>
      <c r="AH5" s="26">
        <f>AH3&amp;"E"</f>
        <v/>
      </c>
      <c r="AI5" s="26">
        <f>AI3&amp;"E"</f>
        <v/>
      </c>
      <c r="AJ5" s="26">
        <f>AJ3&amp;"E"</f>
        <v/>
      </c>
      <c r="AK5" s="26">
        <f>AK3&amp;"E"</f>
        <v/>
      </c>
      <c r="AL5" s="26">
        <f>AL3&amp;"E"</f>
        <v/>
      </c>
      <c r="AM5" s="26">
        <f>AM3&amp;"E"</f>
        <v/>
      </c>
      <c r="AN5" s="26">
        <f>AN3&amp;"E"</f>
        <v/>
      </c>
      <c r="AO5" s="26">
        <f>AO3&amp;"E"</f>
        <v/>
      </c>
    </row>
    <row r="6">
      <c r="V6" s="36" t="n"/>
      <c r="W6" s="36" t="n"/>
      <c r="X6" s="36" t="n"/>
      <c r="Y6" s="36" t="n"/>
      <c r="Z6" s="36" t="n"/>
      <c r="AA6" s="36" t="n"/>
      <c r="AB6" s="36" t="n"/>
      <c r="AC6" s="36" t="n"/>
      <c r="AD6" s="36" t="n"/>
      <c r="AE6" s="36" t="n"/>
      <c r="AF6" s="36" t="n"/>
      <c r="AG6" s="36" t="n"/>
      <c r="AH6" s="36" t="n"/>
      <c r="AI6" s="36" t="n"/>
      <c r="AJ6" s="36" t="n"/>
      <c r="AK6" s="36" t="n"/>
      <c r="AL6" s="36" t="n"/>
      <c r="AM6" s="36" t="n"/>
      <c r="AN6" s="36" t="n"/>
      <c r="AO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37" t="n"/>
      <c r="X7" s="28" t="n"/>
      <c r="Y7" s="37" t="n"/>
      <c r="Z7" s="28" t="n"/>
      <c r="AA7" s="37" t="n"/>
      <c r="AB7" s="28" t="n"/>
      <c r="AC7" s="28" t="n"/>
      <c r="AD7" s="28" t="n"/>
      <c r="AE7" s="28" t="n"/>
      <c r="AF7" s="28" t="n"/>
      <c r="AG7" s="28" t="n"/>
      <c r="AH7" s="28" t="n"/>
      <c r="AI7" s="28" t="n"/>
      <c r="AJ7" s="28" t="n"/>
      <c r="AK7" s="28" t="n"/>
      <c r="AL7" s="28" t="n"/>
      <c r="AM7" s="28" t="n"/>
      <c r="AN7" s="28" t="n"/>
      <c r="AO7" s="28" t="n"/>
    </row>
    <row r="8"/>
    <row r="9">
      <c r="A9" s="81" t="inlineStr">
        <is>
          <t>CONSOLIDATED INCOME STATEMENT (RMB Million)</t>
        </is>
      </c>
    </row>
    <row r="10"/>
    <row r="11">
      <c r="A11" s="22" t="inlineStr">
        <is>
          <t>Revenue</t>
        </is>
      </c>
      <c r="B11" s="133" t="n"/>
      <c r="C11" s="133" t="n"/>
      <c r="D11" s="133" t="n"/>
      <c r="E11" s="133" t="n"/>
      <c r="F11" s="148" t="n"/>
      <c r="G11" s="148" t="n"/>
      <c r="H11" s="148" t="n"/>
      <c r="I11" s="148" t="n"/>
      <c r="J11" s="148" t="n"/>
      <c r="K11" s="148" t="n"/>
      <c r="L11" s="148" t="n"/>
      <c r="M11" s="149">
        <f>IF(M$2=1,#REF!,#REF!-#REF!)</f>
        <v/>
      </c>
      <c r="N11" s="149">
        <f>IF(N$2=1,#REF!,#REF!-#REF!)</f>
        <v/>
      </c>
      <c r="O11" s="149">
        <f>IF(O$2=1,#REF!,#REF!-#REF!)</f>
        <v/>
      </c>
      <c r="P11" s="149">
        <f>IF(P$2=1,#REF!,#REF!-#REF!)</f>
        <v/>
      </c>
      <c r="Q11" s="149">
        <f>IF(Q$2=1,#REF!,#REF!-#REF!)</f>
        <v/>
      </c>
      <c r="R11" s="149">
        <f>IF(R$2=1,#REF!,#REF!-#REF!)</f>
        <v/>
      </c>
      <c r="S11" s="149">
        <f>IF(S$2=1,#REF!,#REF!-#REF!)</f>
        <v/>
      </c>
      <c r="T11" s="149">
        <f>IF(T$2=1,#REF!,#REF!-#REF!)</f>
        <v/>
      </c>
      <c r="U11" s="149">
        <f>IF(U$2=1,#REF!,#REF!-#REF!)</f>
        <v/>
      </c>
      <c r="V11" s="149">
        <f>IF(V$2=1,#REF!,#REF!-#REF!)</f>
        <v/>
      </c>
      <c r="W11" s="149">
        <f>IF(W$2=1,#REF!,#REF!-#REF!)</f>
        <v/>
      </c>
      <c r="X11" s="149">
        <f>IF(X$2=1,#REF!,#REF!-#REF!)</f>
        <v/>
      </c>
      <c r="Y11" s="149">
        <f>IF(Y$2=1,#REF!,#REF!-#REF!)</f>
        <v/>
      </c>
      <c r="Z11" s="149">
        <f>IF(Z$2=1,#REF!,#REF!-#REF!)</f>
        <v/>
      </c>
      <c r="AA11" s="149">
        <f>IF(AA$2=1,#REF!,#REF!-#REF!)</f>
        <v/>
      </c>
      <c r="AB11" s="149">
        <f>IF(AB$2=1,#REF!,#REF!-#REF!)</f>
        <v/>
      </c>
      <c r="AC11" s="149">
        <f>IF(AC$2=1,#REF!,#REF!-#REF!)</f>
        <v/>
      </c>
      <c r="AD11" s="149">
        <f>Assumption!H20</f>
        <v/>
      </c>
      <c r="AE11" s="149">
        <f>Assumption!I20</f>
        <v/>
      </c>
      <c r="AF11" s="149">
        <f>Assumption!J20</f>
        <v/>
      </c>
      <c r="AG11" s="149">
        <f>Assumption!K20</f>
        <v/>
      </c>
      <c r="AH11" s="149">
        <f>Assumption!L20</f>
        <v/>
      </c>
      <c r="AI11" s="149">
        <f>Assumption!M20</f>
        <v/>
      </c>
      <c r="AJ11" s="149">
        <f>Assumption!N20</f>
        <v/>
      </c>
      <c r="AK11" s="149">
        <f>Assumption!O20</f>
        <v/>
      </c>
      <c r="AL11" s="149">
        <f>Assumption!P20</f>
        <v/>
      </c>
      <c r="AM11" s="149">
        <f>Assumption!Q20</f>
        <v/>
      </c>
      <c r="AN11" s="149">
        <f>Assumption!R20</f>
        <v/>
      </c>
      <c r="AO11" s="149">
        <f>Assumption!S20</f>
        <v/>
      </c>
      <c r="AP11" s="108" t="n"/>
    </row>
    <row r="12">
      <c r="A12" s="74" t="inlineStr">
        <is>
          <t>Cost of sales and services</t>
        </is>
      </c>
      <c r="B12" s="145" t="n"/>
      <c r="C12" s="145" t="n"/>
      <c r="D12" s="145" t="n"/>
      <c r="E12" s="145" t="n"/>
      <c r="F12" s="141" t="n"/>
      <c r="G12" s="141" t="n"/>
      <c r="H12" s="141" t="n"/>
      <c r="I12" s="141" t="n"/>
      <c r="J12" s="141" t="n"/>
      <c r="K12" s="141" t="n"/>
      <c r="L12" s="141" t="n"/>
      <c r="M12" s="175">
        <f>IF(M$2=1,#REF!,#REF!-#REF!)</f>
        <v/>
      </c>
      <c r="N12" s="175">
        <f>IF(N$2=1,#REF!,#REF!-#REF!)</f>
        <v/>
      </c>
      <c r="O12" s="175">
        <f>IF(O$2=1,#REF!,#REF!-#REF!)</f>
        <v/>
      </c>
      <c r="P12" s="175">
        <f>IF(P$2=1,#REF!,#REF!-#REF!)</f>
        <v/>
      </c>
      <c r="Q12" s="175">
        <f>IF(Q$2=1,#REF!,#REF!-#REF!)</f>
        <v/>
      </c>
      <c r="R12" s="175">
        <f>IF(R$2=1,#REF!,#REF!-#REF!)</f>
        <v/>
      </c>
      <c r="S12" s="175">
        <f>IF(S$2=1,#REF!,#REF!-#REF!)</f>
        <v/>
      </c>
      <c r="T12" s="175">
        <f>IF(T$2=1,#REF!,#REF!-#REF!)</f>
        <v/>
      </c>
      <c r="U12" s="175">
        <f>IF(U$2=1,#REF!,#REF!-#REF!)</f>
        <v/>
      </c>
      <c r="V12" s="175">
        <f>IF(V$2=1,#REF!,#REF!-#REF!)</f>
        <v/>
      </c>
      <c r="W12" s="175">
        <f>IF(W$2=1,#REF!,#REF!-#REF!)</f>
        <v/>
      </c>
      <c r="X12" s="175">
        <f>IF(X$2=1,#REF!,#REF!-#REF!)</f>
        <v/>
      </c>
      <c r="Y12" s="175">
        <f>IF(Y$2=1,#REF!,#REF!-#REF!)</f>
        <v/>
      </c>
      <c r="Z12" s="175">
        <f>IF(Z$2=1,#REF!,#REF!-#REF!)</f>
        <v/>
      </c>
      <c r="AA12" s="175">
        <f>IF(AA$2=1,#REF!,#REF!-#REF!)</f>
        <v/>
      </c>
      <c r="AB12" s="175">
        <f>IF(AB$2=1,#REF!,#REF!-#REF!)</f>
        <v/>
      </c>
      <c r="AC12" s="175">
        <f>IF(AC$2=1,#REF!,#REF!-#REF!)</f>
        <v/>
      </c>
      <c r="AD12" s="175">
        <f>Assumption!H64</f>
        <v/>
      </c>
      <c r="AE12" s="175">
        <f>Assumption!I64</f>
        <v/>
      </c>
      <c r="AF12" s="175">
        <f>Assumption!J64</f>
        <v/>
      </c>
      <c r="AG12" s="175">
        <f>Assumption!K64</f>
        <v/>
      </c>
      <c r="AH12" s="175">
        <f>Assumption!L64</f>
        <v/>
      </c>
      <c r="AI12" s="175">
        <f>Assumption!M64</f>
        <v/>
      </c>
      <c r="AJ12" s="175">
        <f>Assumption!N64</f>
        <v/>
      </c>
      <c r="AK12" s="175">
        <f>Assumption!O64</f>
        <v/>
      </c>
      <c r="AL12" s="175">
        <f>Assumption!P64</f>
        <v/>
      </c>
      <c r="AM12" s="175">
        <f>Assumption!Q64</f>
        <v/>
      </c>
      <c r="AN12" s="175">
        <f>Assumption!R64</f>
        <v/>
      </c>
      <c r="AO12" s="175">
        <f>Assumption!S64</f>
        <v/>
      </c>
      <c r="AP12" s="108" t="n"/>
    </row>
    <row r="13">
      <c r="A13" s="22" t="inlineStr">
        <is>
          <t>Gross profit</t>
        </is>
      </c>
      <c r="B13" s="133" t="n"/>
      <c r="C13" s="133" t="n"/>
      <c r="D13" s="133" t="n"/>
      <c r="E13" s="133" t="n"/>
      <c r="F13" s="131" t="n"/>
      <c r="G13" s="131" t="n"/>
      <c r="H13" s="131" t="n"/>
      <c r="I13" s="131" t="n"/>
      <c r="J13" s="131" t="n"/>
      <c r="K13" s="131" t="n"/>
      <c r="L13" s="131" t="n"/>
      <c r="M13" s="123">
        <f>M11+M12</f>
        <v/>
      </c>
      <c r="N13" s="123">
        <f>N11+N12</f>
        <v/>
      </c>
      <c r="O13" s="123">
        <f>O11+O12</f>
        <v/>
      </c>
      <c r="P13" s="123">
        <f>P11+P12</f>
        <v/>
      </c>
      <c r="Q13" s="123">
        <f>Q11+Q12</f>
        <v/>
      </c>
      <c r="R13" s="123">
        <f>R11+R12</f>
        <v/>
      </c>
      <c r="S13" s="123">
        <f>S11+S12</f>
        <v/>
      </c>
      <c r="T13" s="123">
        <f>T11+T12</f>
        <v/>
      </c>
      <c r="U13" s="123">
        <f>U11+U12</f>
        <v/>
      </c>
      <c r="V13" s="123">
        <f>V11+V12</f>
        <v/>
      </c>
      <c r="W13" s="123">
        <f>W11+W12</f>
        <v/>
      </c>
      <c r="X13" s="123">
        <f>X11+X12</f>
        <v/>
      </c>
      <c r="Y13" s="123">
        <f>Y11+Y12</f>
        <v/>
      </c>
      <c r="Z13" s="123">
        <f>Z11+Z12</f>
        <v/>
      </c>
      <c r="AA13" s="123">
        <f>AA11+AA12</f>
        <v/>
      </c>
      <c r="AB13" s="123">
        <f>AB11+AB12</f>
        <v/>
      </c>
      <c r="AC13" s="123">
        <f>AC11+AC12</f>
        <v/>
      </c>
      <c r="AD13" s="123">
        <f>AD11+AD12</f>
        <v/>
      </c>
      <c r="AE13" s="123">
        <f>AE11+AE12</f>
        <v/>
      </c>
      <c r="AF13" s="123">
        <f>AF11+AF12</f>
        <v/>
      </c>
      <c r="AG13" s="123">
        <f>AG11+AG12</f>
        <v/>
      </c>
      <c r="AH13" s="123">
        <f>AH11+AH12</f>
        <v/>
      </c>
      <c r="AI13" s="123">
        <f>AI11+AI12</f>
        <v/>
      </c>
      <c r="AJ13" s="123">
        <f>AJ11+AJ12</f>
        <v/>
      </c>
      <c r="AK13" s="123">
        <f>AK11+AK12</f>
        <v/>
      </c>
      <c r="AL13" s="123">
        <f>AL11+AL12</f>
        <v/>
      </c>
      <c r="AM13" s="123">
        <f>AM11+AM12</f>
        <v/>
      </c>
      <c r="AN13" s="123">
        <f>AN11+AN12</f>
        <v/>
      </c>
      <c r="AO13" s="123">
        <f>AO11+AO12</f>
        <v/>
      </c>
      <c r="AP13" s="108" t="n"/>
    </row>
    <row r="14">
      <c r="A14" s="74">
        <f>#REF!</f>
        <v/>
      </c>
      <c r="B14" s="145" t="n"/>
      <c r="C14" s="145" t="n"/>
      <c r="D14" s="145" t="n"/>
      <c r="E14" s="145" t="n"/>
      <c r="F14" s="141" t="n"/>
      <c r="G14" s="141" t="n"/>
      <c r="H14" s="141" t="n"/>
      <c r="I14" s="141" t="n"/>
      <c r="J14" s="141" t="n"/>
      <c r="K14" s="141" t="n"/>
      <c r="L14" s="141" t="n"/>
      <c r="M14" s="175">
        <f>IF(M$2=1,#REF!,#REF!-#REF!)</f>
        <v/>
      </c>
      <c r="N14" s="175">
        <f>IF(N$2=1,#REF!,#REF!-#REF!)</f>
        <v/>
      </c>
      <c r="O14" s="175">
        <f>IF(O$2=1,#REF!,#REF!-#REF!)</f>
        <v/>
      </c>
      <c r="P14" s="175">
        <f>IF(P$2=1,#REF!,#REF!-#REF!)</f>
        <v/>
      </c>
      <c r="Q14" s="175">
        <f>IF(Q$2=1,#REF!,#REF!-#REF!)</f>
        <v/>
      </c>
      <c r="R14" s="175">
        <f>IF(R$2=1,#REF!,#REF!-#REF!)</f>
        <v/>
      </c>
      <c r="S14" s="175">
        <f>IF(S$2=1,#REF!,#REF!-#REF!)</f>
        <v/>
      </c>
      <c r="T14" s="175">
        <f>IF(T$2=1,#REF!,#REF!-#REF!)</f>
        <v/>
      </c>
      <c r="U14" s="175">
        <f>IF(U$2=1,#REF!,#REF!-#REF!)</f>
        <v/>
      </c>
      <c r="V14" s="175">
        <f>IF(V$2=1,#REF!,#REF!-#REF!)</f>
        <v/>
      </c>
      <c r="W14" s="175">
        <f>IF(W$2=1,#REF!,#REF!-#REF!)</f>
        <v/>
      </c>
      <c r="X14" s="175">
        <f>IF(X$2=1,#REF!,#REF!-#REF!)</f>
        <v/>
      </c>
      <c r="Y14" s="175">
        <f>IF(Y$2=1,#REF!,#REF!-#REF!)</f>
        <v/>
      </c>
      <c r="Z14" s="175">
        <f>IF(Z$2=1,#REF!,#REF!-#REF!)</f>
        <v/>
      </c>
      <c r="AA14" s="175">
        <f>IF(AA$2=1,#REF!,#REF!-#REF!)</f>
        <v/>
      </c>
      <c r="AB14" s="175">
        <f>IF(AB$2=1,#REF!,#REF!-#REF!)</f>
        <v/>
      </c>
      <c r="AC14" s="175">
        <f>IF(AC$2=1,#REF!,#REF!-#REF!)</f>
        <v/>
      </c>
      <c r="AD14" s="175">
        <f>Assumption!H73</f>
        <v/>
      </c>
      <c r="AE14" s="175">
        <f>Assumption!I73</f>
        <v/>
      </c>
      <c r="AF14" s="175">
        <f>Assumption!J73</f>
        <v/>
      </c>
      <c r="AG14" s="175">
        <f>Assumption!K73</f>
        <v/>
      </c>
      <c r="AH14" s="175">
        <f>Assumption!L73</f>
        <v/>
      </c>
      <c r="AI14" s="175">
        <f>Assumption!M73</f>
        <v/>
      </c>
      <c r="AJ14" s="175">
        <f>Assumption!N73</f>
        <v/>
      </c>
      <c r="AK14" s="175">
        <f>Assumption!O73</f>
        <v/>
      </c>
      <c r="AL14" s="175">
        <f>Assumption!P73</f>
        <v/>
      </c>
      <c r="AM14" s="175">
        <f>Assumption!Q73</f>
        <v/>
      </c>
      <c r="AN14" s="175">
        <f>Assumption!R73</f>
        <v/>
      </c>
      <c r="AO14" s="175">
        <f>Assumption!S73</f>
        <v/>
      </c>
      <c r="AP14" s="108" t="n"/>
    </row>
    <row r="15">
      <c r="A15" s="74">
        <f>#REF!</f>
        <v/>
      </c>
      <c r="B15" s="145" t="n"/>
      <c r="C15" s="145" t="n"/>
      <c r="D15" s="145" t="n"/>
      <c r="E15" s="145" t="n"/>
      <c r="F15" s="141" t="n"/>
      <c r="G15" s="141" t="n"/>
      <c r="H15" s="141" t="n"/>
      <c r="I15" s="141" t="n"/>
      <c r="J15" s="141" t="n"/>
      <c r="K15" s="141" t="n"/>
      <c r="L15" s="141" t="n"/>
      <c r="M15" s="175">
        <f>IF(M$2=1,#REF!,#REF!-#REF!)</f>
        <v/>
      </c>
      <c r="N15" s="175">
        <f>IF(N$2=1,#REF!,#REF!-#REF!)</f>
        <v/>
      </c>
      <c r="O15" s="175">
        <f>IF(O$2=1,#REF!,#REF!-#REF!)</f>
        <v/>
      </c>
      <c r="P15" s="175">
        <f>IF(P$2=1,#REF!,#REF!-#REF!)</f>
        <v/>
      </c>
      <c r="Q15" s="175">
        <f>IF(Q$2=1,#REF!,#REF!-#REF!)</f>
        <v/>
      </c>
      <c r="R15" s="175">
        <f>IF(R$2=1,#REF!,#REF!-#REF!)</f>
        <v/>
      </c>
      <c r="S15" s="175">
        <f>IF(S$2=1,#REF!,#REF!-#REF!)</f>
        <v/>
      </c>
      <c r="T15" s="175">
        <f>IF(T$2=1,#REF!,#REF!-#REF!)</f>
        <v/>
      </c>
      <c r="U15" s="175">
        <f>IF(U$2=1,#REF!,#REF!-#REF!)</f>
        <v/>
      </c>
      <c r="V15" s="175">
        <f>IF(V$2=1,#REF!,#REF!-#REF!)</f>
        <v/>
      </c>
      <c r="W15" s="175">
        <f>IF(W$2=1,#REF!,#REF!-#REF!)</f>
        <v/>
      </c>
      <c r="X15" s="175">
        <f>IF(X$2=1,#REF!,#REF!-#REF!)</f>
        <v/>
      </c>
      <c r="Y15" s="175">
        <f>IF(Y$2=1,#REF!,#REF!-#REF!)</f>
        <v/>
      </c>
      <c r="Z15" s="175">
        <f>IF(Z$2=1,#REF!,#REF!-#REF!)</f>
        <v/>
      </c>
      <c r="AA15" s="175">
        <f>IF(AA$2=1,#REF!,#REF!-#REF!)</f>
        <v/>
      </c>
      <c r="AB15" s="175">
        <f>IF(AB$2=1,#REF!,#REF!-#REF!)</f>
        <v/>
      </c>
      <c r="AC15" s="175">
        <f>IF(AC$2=1,#REF!,#REF!-#REF!)</f>
        <v/>
      </c>
      <c r="AD15" s="175">
        <f>Assumption!H93</f>
        <v/>
      </c>
      <c r="AE15" s="175">
        <f>Assumption!I93</f>
        <v/>
      </c>
      <c r="AF15" s="175">
        <f>Assumption!J93</f>
        <v/>
      </c>
      <c r="AG15" s="175">
        <f>Assumption!K93</f>
        <v/>
      </c>
      <c r="AH15" s="175">
        <f>Assumption!L93</f>
        <v/>
      </c>
      <c r="AI15" s="175">
        <f>Assumption!M93</f>
        <v/>
      </c>
      <c r="AJ15" s="175">
        <f>Assumption!N93</f>
        <v/>
      </c>
      <c r="AK15" s="175">
        <f>Assumption!O93</f>
        <v/>
      </c>
      <c r="AL15" s="175">
        <f>Assumption!P93</f>
        <v/>
      </c>
      <c r="AM15" s="175">
        <f>Assumption!Q93</f>
        <v/>
      </c>
      <c r="AN15" s="175">
        <f>Assumption!R93</f>
        <v/>
      </c>
      <c r="AO15" s="175">
        <f>Assumption!S93</f>
        <v/>
      </c>
      <c r="AP15" s="108" t="n"/>
    </row>
    <row r="16">
      <c r="A16" s="74">
        <f>#REF!</f>
        <v/>
      </c>
      <c r="B16" s="145" t="n"/>
      <c r="C16" s="145" t="n"/>
      <c r="D16" s="145" t="n"/>
      <c r="E16" s="145" t="n"/>
      <c r="F16" s="141" t="n"/>
      <c r="G16" s="141" t="n"/>
      <c r="H16" s="141" t="n"/>
      <c r="I16" s="141" t="n"/>
      <c r="J16" s="141" t="n"/>
      <c r="K16" s="141" t="n"/>
      <c r="L16" s="141" t="n"/>
      <c r="M16" s="175">
        <f>IF(M$2=1,#REF!,#REF!-#REF!)</f>
        <v/>
      </c>
      <c r="N16" s="175">
        <f>IF(N$2=1,#REF!,#REF!-#REF!)</f>
        <v/>
      </c>
      <c r="O16" s="175">
        <f>IF(O$2=1,#REF!,#REF!-#REF!)</f>
        <v/>
      </c>
      <c r="P16" s="175">
        <f>IF(P$2=1,#REF!,#REF!-#REF!)</f>
        <v/>
      </c>
      <c r="Q16" s="175">
        <f>IF(Q$2=1,#REF!,#REF!-#REF!)</f>
        <v/>
      </c>
      <c r="R16" s="175">
        <f>IF(R$2=1,#REF!,#REF!-#REF!)</f>
        <v/>
      </c>
      <c r="S16" s="175">
        <f>IF(S$2=1,#REF!,#REF!-#REF!)</f>
        <v/>
      </c>
      <c r="T16" s="175">
        <f>IF(T$2=1,#REF!,#REF!-#REF!)</f>
        <v/>
      </c>
      <c r="U16" s="175">
        <f>IF(U$2=1,#REF!,#REF!-#REF!)</f>
        <v/>
      </c>
      <c r="V16" s="175">
        <f>IF(V$2=1,#REF!,#REF!-#REF!)</f>
        <v/>
      </c>
      <c r="W16" s="175">
        <f>IF(W$2=1,#REF!,#REF!-#REF!)</f>
        <v/>
      </c>
      <c r="X16" s="175">
        <f>IF(X$2=1,#REF!,#REF!-#REF!)</f>
        <v/>
      </c>
      <c r="Y16" s="175">
        <f>IF(Y$2=1,#REF!,#REF!-#REF!)</f>
        <v/>
      </c>
      <c r="Z16" s="175">
        <f>IF(Z$2=1,#REF!,#REF!-#REF!)</f>
        <v/>
      </c>
      <c r="AA16" s="175">
        <f>IF(AA$2=1,#REF!,#REF!-#REF!)</f>
        <v/>
      </c>
      <c r="AB16" s="175">
        <f>IF(AB$2=1,#REF!,#REF!-#REF!)</f>
        <v/>
      </c>
      <c r="AC16" s="175">
        <f>IF(AC$2=1,#REF!,#REF!-#REF!)</f>
        <v/>
      </c>
      <c r="AD16" s="175">
        <f>Assumption!H99</f>
        <v/>
      </c>
      <c r="AE16" s="175">
        <f>Assumption!I99</f>
        <v/>
      </c>
      <c r="AF16" s="175">
        <f>Assumption!J99</f>
        <v/>
      </c>
      <c r="AG16" s="175">
        <f>Assumption!K99</f>
        <v/>
      </c>
      <c r="AH16" s="175">
        <f>Assumption!L99</f>
        <v/>
      </c>
      <c r="AI16" s="175">
        <f>Assumption!M99</f>
        <v/>
      </c>
      <c r="AJ16" s="175">
        <f>Assumption!N99</f>
        <v/>
      </c>
      <c r="AK16" s="175">
        <f>Assumption!O99</f>
        <v/>
      </c>
      <c r="AL16" s="175">
        <f>Assumption!P99</f>
        <v/>
      </c>
      <c r="AM16" s="175">
        <f>Assumption!Q99</f>
        <v/>
      </c>
      <c r="AN16" s="175">
        <f>Assumption!R99</f>
        <v/>
      </c>
      <c r="AO16" s="175">
        <f>Assumption!S99</f>
        <v/>
      </c>
      <c r="AP16" s="108" t="n"/>
    </row>
    <row r="17">
      <c r="A17" s="74">
        <f>#REF!</f>
        <v/>
      </c>
      <c r="B17" s="145" t="n"/>
      <c r="C17" s="145" t="n"/>
      <c r="D17" s="145" t="n"/>
      <c r="E17" s="145" t="n"/>
      <c r="F17" s="141" t="n"/>
      <c r="G17" s="141" t="n"/>
      <c r="H17" s="141" t="n"/>
      <c r="I17" s="141" t="n"/>
      <c r="J17" s="141" t="n"/>
      <c r="K17" s="141" t="n"/>
      <c r="L17" s="141" t="n"/>
      <c r="M17" s="175">
        <f>IF(M$2=1,#REF!,#REF!-#REF!)</f>
        <v/>
      </c>
      <c r="N17" s="175">
        <f>IF(N$2=1,#REF!,#REF!-#REF!)</f>
        <v/>
      </c>
      <c r="O17" s="175">
        <f>IF(O$2=1,#REF!,#REF!-#REF!)</f>
        <v/>
      </c>
      <c r="P17" s="175">
        <f>IF(P$2=1,#REF!,#REF!-#REF!)</f>
        <v/>
      </c>
      <c r="Q17" s="175">
        <f>IF(Q$2=1,#REF!,#REF!-#REF!)</f>
        <v/>
      </c>
      <c r="R17" s="175">
        <f>IF(R$2=1,#REF!,#REF!-#REF!)</f>
        <v/>
      </c>
      <c r="S17" s="175">
        <f>IF(S$2=1,#REF!,#REF!-#REF!)</f>
        <v/>
      </c>
      <c r="T17" s="175">
        <f>IF(T$2=1,#REF!,#REF!-#REF!)</f>
        <v/>
      </c>
      <c r="U17" s="175">
        <f>IF(U$2=1,#REF!,#REF!-#REF!)</f>
        <v/>
      </c>
      <c r="V17" s="175">
        <f>IF(V$2=1,#REF!,#REF!-#REF!)</f>
        <v/>
      </c>
      <c r="W17" s="175">
        <f>IF(W$2=1,#REF!,#REF!-#REF!)</f>
        <v/>
      </c>
      <c r="X17" s="175">
        <f>IF(X$2=1,#REF!,#REF!-#REF!)</f>
        <v/>
      </c>
      <c r="Y17" s="175">
        <f>IF(Y$2=1,#REF!,#REF!-#REF!)</f>
        <v/>
      </c>
      <c r="Z17" s="175">
        <f>IF(Z$2=1,#REF!,#REF!-#REF!)</f>
        <v/>
      </c>
      <c r="AA17" s="175">
        <f>IF(AA$2=1,#REF!,#REF!-#REF!)</f>
        <v/>
      </c>
      <c r="AB17" s="175">
        <f>IF(AB$2=1,#REF!,#REF!-#REF!)</f>
        <v/>
      </c>
      <c r="AC17" s="175">
        <f>IF(AC$2=1,#REF!,#REF!-#REF!)</f>
        <v/>
      </c>
      <c r="AD17" s="175">
        <f>Assumption!H108</f>
        <v/>
      </c>
      <c r="AE17" s="175">
        <f>Assumption!I108</f>
        <v/>
      </c>
      <c r="AF17" s="175">
        <f>Assumption!J108</f>
        <v/>
      </c>
      <c r="AG17" s="175">
        <f>Assumption!K108</f>
        <v/>
      </c>
      <c r="AH17" s="175">
        <f>Assumption!L108</f>
        <v/>
      </c>
      <c r="AI17" s="175">
        <f>Assumption!M108</f>
        <v/>
      </c>
      <c r="AJ17" s="175">
        <f>Assumption!N108</f>
        <v/>
      </c>
      <c r="AK17" s="175">
        <f>Assumption!O108</f>
        <v/>
      </c>
      <c r="AL17" s="175">
        <f>Assumption!P108</f>
        <v/>
      </c>
      <c r="AM17" s="175">
        <f>Assumption!Q108</f>
        <v/>
      </c>
      <c r="AN17" s="175">
        <f>Assumption!R108</f>
        <v/>
      </c>
      <c r="AO17" s="175">
        <f>Assumption!S108</f>
        <v/>
      </c>
      <c r="AP17" s="108" t="n"/>
    </row>
    <row r="18">
      <c r="A18" s="146" t="inlineStr">
        <is>
          <t>Profit from continued operations / EBIT (Calculated)</t>
        </is>
      </c>
      <c r="B18" s="133" t="n"/>
      <c r="C18" s="133" t="n"/>
      <c r="D18" s="133" t="n"/>
      <c r="E18" s="133" t="n"/>
      <c r="F18" s="147" t="n"/>
      <c r="G18" s="147" t="n"/>
      <c r="H18" s="147" t="n"/>
      <c r="I18" s="147" t="n"/>
      <c r="J18" s="147" t="n"/>
      <c r="K18" s="147" t="n"/>
      <c r="L18" s="141" t="n"/>
      <c r="M18" s="123">
        <f>M13+SUM(M14:M17)</f>
        <v/>
      </c>
      <c r="N18" s="123">
        <f>N13+SUM(N14:N17)</f>
        <v/>
      </c>
      <c r="O18" s="123">
        <f>O13+SUM(O14:O17)</f>
        <v/>
      </c>
      <c r="P18" s="123">
        <f>P13+SUM(P14:P17)</f>
        <v/>
      </c>
      <c r="Q18" s="123">
        <f>Q13+SUM(Q14:Q17)</f>
        <v/>
      </c>
      <c r="R18" s="123">
        <f>R13+SUM(R14:R17)</f>
        <v/>
      </c>
      <c r="S18" s="123">
        <f>S13+SUM(S14:S17)</f>
        <v/>
      </c>
      <c r="T18" s="123">
        <f>T13+SUM(T14:T17)</f>
        <v/>
      </c>
      <c r="U18" s="123">
        <f>U13+SUM(U14:U17)</f>
        <v/>
      </c>
      <c r="V18" s="123">
        <f>V13+SUM(V14:V17)</f>
        <v/>
      </c>
      <c r="W18" s="123">
        <f>W13+SUM(W14:W17)</f>
        <v/>
      </c>
      <c r="X18" s="123">
        <f>X13+SUM(X14:X17)</f>
        <v/>
      </c>
      <c r="Y18" s="123">
        <f>Y13+SUM(Y14:Y17)</f>
        <v/>
      </c>
      <c r="Z18" s="123">
        <f>Z13+SUM(Z14:Z17)</f>
        <v/>
      </c>
      <c r="AA18" s="123">
        <f>AA13+SUM(AA14:AA17)</f>
        <v/>
      </c>
      <c r="AB18" s="123">
        <f>AB13+SUM(AB14:AB17)</f>
        <v/>
      </c>
      <c r="AC18" s="123">
        <f>AC13+SUM(AC14:AC17)</f>
        <v/>
      </c>
      <c r="AD18" s="123">
        <f>AD13+SUM(AD14:AD17)</f>
        <v/>
      </c>
      <c r="AE18" s="123">
        <f>AE13+SUM(AE14:AE17)</f>
        <v/>
      </c>
      <c r="AF18" s="123">
        <f>AF13+SUM(AF14:AF17)</f>
        <v/>
      </c>
      <c r="AG18" s="123">
        <f>AG13+SUM(AG14:AG17)</f>
        <v/>
      </c>
      <c r="AH18" s="123">
        <f>AH13+SUM(AH14:AH17)</f>
        <v/>
      </c>
      <c r="AI18" s="123">
        <f>AI13+SUM(AI14:AI17)</f>
        <v/>
      </c>
      <c r="AJ18" s="123">
        <f>AJ13+SUM(AJ14:AJ17)</f>
        <v/>
      </c>
      <c r="AK18" s="123">
        <f>AK13+SUM(AK14:AK17)</f>
        <v/>
      </c>
      <c r="AL18" s="123">
        <f>AL13+SUM(AL14:AL17)</f>
        <v/>
      </c>
      <c r="AM18" s="123">
        <f>AM13+SUM(AM14:AM17)</f>
        <v/>
      </c>
      <c r="AN18" s="123">
        <f>AN13+SUM(AN14:AN17)</f>
        <v/>
      </c>
      <c r="AO18" s="123">
        <f>AO13+SUM(AO14:AO17)</f>
        <v/>
      </c>
      <c r="AP18" s="108" t="n"/>
    </row>
    <row r="19">
      <c r="A19" s="74">
        <f>#REF!</f>
        <v/>
      </c>
      <c r="B19" s="145" t="n"/>
      <c r="C19" s="145" t="n"/>
      <c r="D19" s="145" t="n"/>
      <c r="E19" s="145" t="n"/>
      <c r="F19" s="141" t="n"/>
      <c r="G19" s="141" t="n"/>
      <c r="H19" s="141" t="n"/>
      <c r="I19" s="141" t="n"/>
      <c r="J19" s="141" t="n"/>
      <c r="K19" s="141" t="n"/>
      <c r="L19" s="141" t="n"/>
      <c r="M19" s="175">
        <f>IF(M$2=1,#REF!,#REF!-#REF!)</f>
        <v/>
      </c>
      <c r="N19" s="175">
        <f>IF(N$2=1,#REF!,#REF!-#REF!)</f>
        <v/>
      </c>
      <c r="O19" s="175">
        <f>IF(O$2=1,#REF!,#REF!-#REF!)</f>
        <v/>
      </c>
      <c r="P19" s="175">
        <f>IF(P$2=1,#REF!,#REF!-#REF!)</f>
        <v/>
      </c>
      <c r="Q19" s="175">
        <f>IF(Q$2=1,#REF!,#REF!-#REF!)</f>
        <v/>
      </c>
      <c r="R19" s="175">
        <f>IF(R$2=1,#REF!,#REF!-#REF!)</f>
        <v/>
      </c>
      <c r="S19" s="175">
        <f>IF(S$2=1,#REF!,#REF!-#REF!)</f>
        <v/>
      </c>
      <c r="T19" s="175">
        <f>IF(T$2=1,#REF!,#REF!-#REF!)</f>
        <v/>
      </c>
      <c r="U19" s="175">
        <f>IF(U$2=1,#REF!,#REF!-#REF!)</f>
        <v/>
      </c>
      <c r="V19" s="175">
        <f>IF(V$2=1,#REF!,#REF!-#REF!)</f>
        <v/>
      </c>
      <c r="W19" s="175">
        <f>IF(W$2=1,#REF!,#REF!-#REF!)</f>
        <v/>
      </c>
      <c r="X19" s="175">
        <f>IF(X$2=1,#REF!,#REF!-#REF!)</f>
        <v/>
      </c>
      <c r="Y19" s="175">
        <f>IF(Y$2=1,#REF!,#REF!-#REF!)</f>
        <v/>
      </c>
      <c r="Z19" s="175">
        <f>IF(Z$2=1,#REF!,#REF!-#REF!)</f>
        <v/>
      </c>
      <c r="AA19" s="175">
        <f>IF(AA$2=1,#REF!,#REF!-#REF!)</f>
        <v/>
      </c>
      <c r="AB19" s="175">
        <f>IF(AB$2=1,#REF!,#REF!-#REF!)</f>
        <v/>
      </c>
      <c r="AC19" s="175">
        <f>IF(AC$2=1,#REF!,#REF!-#REF!)</f>
        <v/>
      </c>
      <c r="AD19" s="175">
        <f>Assumption!#REF!</f>
        <v/>
      </c>
      <c r="AE19" s="175">
        <f>Assumption!#REF!</f>
        <v/>
      </c>
      <c r="AF19" s="175">
        <f>Assumption!#REF!</f>
        <v/>
      </c>
      <c r="AG19" s="175">
        <f>Assumption!#REF!</f>
        <v/>
      </c>
      <c r="AH19" s="175">
        <f>Assumption!#REF!</f>
        <v/>
      </c>
      <c r="AI19" s="175">
        <f>Assumption!#REF!</f>
        <v/>
      </c>
      <c r="AJ19" s="175">
        <f>Assumption!#REF!</f>
        <v/>
      </c>
      <c r="AK19" s="175">
        <f>Assumption!#REF!</f>
        <v/>
      </c>
      <c r="AL19" s="175">
        <f>Assumption!#REF!</f>
        <v/>
      </c>
      <c r="AM19" s="175">
        <f>Assumption!#REF!</f>
        <v/>
      </c>
      <c r="AN19" s="175">
        <f>Assumption!#REF!</f>
        <v/>
      </c>
      <c r="AO19" s="175">
        <f>Assumption!#REF!</f>
        <v/>
      </c>
      <c r="AP19" s="108" t="n"/>
    </row>
    <row r="20">
      <c r="A20" s="74">
        <f>#REF!</f>
        <v/>
      </c>
      <c r="B20" s="145" t="n"/>
      <c r="C20" s="145" t="n"/>
      <c r="D20" s="145" t="n"/>
      <c r="E20" s="145" t="n"/>
      <c r="F20" s="141" t="n"/>
      <c r="G20" s="141" t="n"/>
      <c r="H20" s="141" t="n"/>
      <c r="I20" s="141" t="n"/>
      <c r="J20" s="141" t="n"/>
      <c r="K20" s="141" t="n"/>
      <c r="L20" s="141" t="n"/>
      <c r="M20" s="175">
        <f>IF(M$2=1,#REF!,#REF!-#REF!)</f>
        <v/>
      </c>
      <c r="N20" s="175">
        <f>IF(N$2=1,#REF!,#REF!-#REF!)</f>
        <v/>
      </c>
      <c r="O20" s="175">
        <f>IF(O$2=1,#REF!,#REF!-#REF!)</f>
        <v/>
      </c>
      <c r="P20" s="175">
        <f>IF(P$2=1,#REF!,#REF!-#REF!)</f>
        <v/>
      </c>
      <c r="Q20" s="175">
        <f>IF(Q$2=1,#REF!,#REF!-#REF!)</f>
        <v/>
      </c>
      <c r="R20" s="175">
        <f>IF(R$2=1,#REF!,#REF!-#REF!)</f>
        <v/>
      </c>
      <c r="S20" s="175">
        <f>IF(S$2=1,#REF!,#REF!-#REF!)</f>
        <v/>
      </c>
      <c r="T20" s="175">
        <f>IF(T$2=1,#REF!,#REF!-#REF!)</f>
        <v/>
      </c>
      <c r="U20" s="175">
        <f>IF(U$2=1,#REF!,#REF!-#REF!)</f>
        <v/>
      </c>
      <c r="V20" s="175">
        <f>IF(V$2=1,#REF!,#REF!-#REF!)</f>
        <v/>
      </c>
      <c r="W20" s="175">
        <f>IF(W$2=1,#REF!,#REF!-#REF!)</f>
        <v/>
      </c>
      <c r="X20" s="175">
        <f>IF(X$2=1,#REF!,#REF!-#REF!)</f>
        <v/>
      </c>
      <c r="Y20" s="175">
        <f>IF(Y$2=1,#REF!,#REF!-#REF!)</f>
        <v/>
      </c>
      <c r="Z20" s="175">
        <f>IF(Z$2=1,#REF!,#REF!-#REF!)</f>
        <v/>
      </c>
      <c r="AA20" s="175">
        <f>IF(AA$2=1,#REF!,#REF!-#REF!)</f>
        <v/>
      </c>
      <c r="AB20" s="175">
        <f>IF(AB$2=1,#REF!,#REF!-#REF!)</f>
        <v/>
      </c>
      <c r="AC20" s="175">
        <f>IF(AC$2=1,#REF!,#REF!-#REF!)</f>
        <v/>
      </c>
      <c r="AD20" s="175">
        <f>Assumption!#REF!</f>
        <v/>
      </c>
      <c r="AE20" s="175">
        <f>Assumption!#REF!</f>
        <v/>
      </c>
      <c r="AF20" s="175">
        <f>Assumption!#REF!</f>
        <v/>
      </c>
      <c r="AG20" s="175">
        <f>Assumption!#REF!</f>
        <v/>
      </c>
      <c r="AH20" s="175">
        <f>Assumption!#REF!</f>
        <v/>
      </c>
      <c r="AI20" s="175">
        <f>Assumption!#REF!</f>
        <v/>
      </c>
      <c r="AJ20" s="175">
        <f>Assumption!#REF!</f>
        <v/>
      </c>
      <c r="AK20" s="175">
        <f>Assumption!#REF!</f>
        <v/>
      </c>
      <c r="AL20" s="175">
        <f>Assumption!#REF!</f>
        <v/>
      </c>
      <c r="AM20" s="175">
        <f>Assumption!#REF!</f>
        <v/>
      </c>
      <c r="AN20" s="175">
        <f>Assumption!#REF!</f>
        <v/>
      </c>
      <c r="AO20" s="175">
        <f>Assumption!#REF!</f>
        <v/>
      </c>
      <c r="AP20" s="108" t="n"/>
    </row>
    <row r="21">
      <c r="A21" s="74" t="inlineStr">
        <is>
          <t>Share of profits and losses of JV/Associates</t>
        </is>
      </c>
      <c r="B21" s="145" t="n"/>
      <c r="C21" s="145" t="n"/>
      <c r="D21" s="145" t="n"/>
      <c r="E21" s="145" t="n"/>
      <c r="F21" s="141" t="n"/>
      <c r="G21" s="141" t="n"/>
      <c r="H21" s="141" t="n"/>
      <c r="I21" s="141" t="n"/>
      <c r="J21" s="141" t="n"/>
      <c r="K21" s="141" t="n"/>
      <c r="L21" s="141" t="n"/>
      <c r="M21" s="175">
        <f>IF(M$2=1,#REF!,#REF!-#REF!)+IF(M$2=1,#REF!,#REF!-#REF!)</f>
        <v/>
      </c>
      <c r="N21" s="175">
        <f>IF(N$2=1,#REF!,#REF!-#REF!)+IF(N$2=1,#REF!,#REF!-#REF!)</f>
        <v/>
      </c>
      <c r="O21" s="175">
        <f>IF(O$2=1,#REF!,#REF!-#REF!)+IF(O$2=1,#REF!,#REF!-#REF!)</f>
        <v/>
      </c>
      <c r="P21" s="175">
        <f>IF(P$2=1,#REF!,#REF!-#REF!)+IF(P$2=1,#REF!,#REF!-#REF!)</f>
        <v/>
      </c>
      <c r="Q21" s="175">
        <f>IF(Q$2=1,#REF!,#REF!-#REF!)+IF(Q$2=1,#REF!,#REF!-#REF!)</f>
        <v/>
      </c>
      <c r="R21" s="175">
        <f>IF(R$2=1,#REF!,#REF!-#REF!)+IF(R$2=1,#REF!,#REF!-#REF!)</f>
        <v/>
      </c>
      <c r="S21" s="175">
        <f>IF(S$2=1,#REF!,#REF!-#REF!)+IF(S$2=1,#REF!,#REF!-#REF!)</f>
        <v/>
      </c>
      <c r="T21" s="175">
        <f>IF(T$2=1,#REF!,#REF!-#REF!)+IF(T$2=1,#REF!,#REF!-#REF!)</f>
        <v/>
      </c>
      <c r="U21" s="175">
        <f>IF(U$2=1,#REF!,#REF!-#REF!)+IF(U$2=1,#REF!,#REF!-#REF!)</f>
        <v/>
      </c>
      <c r="V21" s="175">
        <f>IF(V$2=1,#REF!,#REF!-#REF!)+IF(V$2=1,#REF!,#REF!-#REF!)</f>
        <v/>
      </c>
      <c r="W21" s="175">
        <f>IF(W$2=1,#REF!,#REF!-#REF!)+IF(W$2=1,#REF!,#REF!-#REF!)</f>
        <v/>
      </c>
      <c r="X21" s="175">
        <f>IF(X$2=1,#REF!,#REF!-#REF!)+IF(X$2=1,#REF!,#REF!-#REF!)</f>
        <v/>
      </c>
      <c r="Y21" s="175">
        <f>IF(Y$2=1,#REF!,#REF!-#REF!)+IF(Y$2=1,#REF!,#REF!-#REF!)</f>
        <v/>
      </c>
      <c r="Z21" s="175">
        <f>IF(Z$2=1,#REF!,#REF!-#REF!)+IF(Z$2=1,#REF!,#REF!-#REF!)</f>
        <v/>
      </c>
      <c r="AA21" s="175">
        <f>IF(AA$2=1,#REF!,#REF!-#REF!)+IF(AA$2=1,#REF!,#REF!-#REF!)</f>
        <v/>
      </c>
      <c r="AB21" s="175">
        <f>IF(AB$2=1,#REF!,#REF!-#REF!)+IF(AB$2=1,#REF!,#REF!-#REF!)</f>
        <v/>
      </c>
      <c r="AC21" s="175">
        <f>IF(AC$2=1,#REF!,#REF!-#REF!)+IF(AC$2=1,#REF!,#REF!-#REF!)</f>
        <v/>
      </c>
      <c r="AD21" s="175">
        <f>Assumption!#REF!</f>
        <v/>
      </c>
      <c r="AE21" s="175">
        <f>Assumption!#REF!</f>
        <v/>
      </c>
      <c r="AF21" s="175">
        <f>Assumption!#REF!</f>
        <v/>
      </c>
      <c r="AG21" s="175">
        <f>Assumption!#REF!</f>
        <v/>
      </c>
      <c r="AH21" s="175">
        <f>Assumption!#REF!</f>
        <v/>
      </c>
      <c r="AI21" s="175">
        <f>Assumption!#REF!</f>
        <v/>
      </c>
      <c r="AJ21" s="175">
        <f>Assumption!#REF!</f>
        <v/>
      </c>
      <c r="AK21" s="175">
        <f>Assumption!#REF!</f>
        <v/>
      </c>
      <c r="AL21" s="175">
        <f>Assumption!#REF!</f>
        <v/>
      </c>
      <c r="AM21" s="175">
        <f>Assumption!#REF!</f>
        <v/>
      </c>
      <c r="AN21" s="175">
        <f>Assumption!#REF!</f>
        <v/>
      </c>
      <c r="AO21" s="175">
        <f>Assumption!#REF!</f>
        <v/>
      </c>
      <c r="AP21" s="108" t="n"/>
    </row>
    <row r="22">
      <c r="A22" s="22" t="inlineStr">
        <is>
          <t>Profit before tax</t>
        </is>
      </c>
      <c r="B22" s="145" t="n"/>
      <c r="C22" s="145" t="n"/>
      <c r="D22" s="145" t="n"/>
      <c r="E22" s="145" t="n"/>
      <c r="F22" s="131" t="n"/>
      <c r="G22" s="131" t="n"/>
      <c r="H22" s="131" t="n"/>
      <c r="I22" s="131" t="n"/>
      <c r="J22" s="131" t="n"/>
      <c r="K22" s="131" t="n"/>
      <c r="L22" s="131" t="n"/>
      <c r="M22" s="123">
        <f>SUM(M18:M21)</f>
        <v/>
      </c>
      <c r="N22" s="123">
        <f>SUM(N18:N21)</f>
        <v/>
      </c>
      <c r="O22" s="123">
        <f>SUM(O18:O21)</f>
        <v/>
      </c>
      <c r="P22" s="123">
        <f>SUM(P18:P21)</f>
        <v/>
      </c>
      <c r="Q22" s="123">
        <f>SUM(Q18:Q21)</f>
        <v/>
      </c>
      <c r="R22" s="123">
        <f>SUM(R18:R21)</f>
        <v/>
      </c>
      <c r="S22" s="123">
        <f>SUM(S18:S21)</f>
        <v/>
      </c>
      <c r="T22" s="123">
        <f>SUM(T18:T21)</f>
        <v/>
      </c>
      <c r="U22" s="123">
        <f>SUM(U18:U21)</f>
        <v/>
      </c>
      <c r="V22" s="123">
        <f>SUM(V18:V21)</f>
        <v/>
      </c>
      <c r="W22" s="123">
        <f>SUM(W18:W21)</f>
        <v/>
      </c>
      <c r="X22" s="123">
        <f>SUM(X18:X21)</f>
        <v/>
      </c>
      <c r="Y22" s="123">
        <f>SUM(Y18:Y21)</f>
        <v/>
      </c>
      <c r="Z22" s="123">
        <f>SUM(Z18:Z21)</f>
        <v/>
      </c>
      <c r="AA22" s="123">
        <f>SUM(AA18:AA21)</f>
        <v/>
      </c>
      <c r="AB22" s="123">
        <f>SUM(AB18:AB21)</f>
        <v/>
      </c>
      <c r="AC22" s="123">
        <f>SUM(AC18:AC21)</f>
        <v/>
      </c>
      <c r="AD22" s="123">
        <f>SUM(AD18:AD21)</f>
        <v/>
      </c>
      <c r="AE22" s="123">
        <f>SUM(AE18:AE21)</f>
        <v/>
      </c>
      <c r="AF22" s="123">
        <f>SUM(AF18:AF21)</f>
        <v/>
      </c>
      <c r="AG22" s="123">
        <f>SUM(AG18:AG21)</f>
        <v/>
      </c>
      <c r="AH22" s="123">
        <f>SUM(AH18:AH21)</f>
        <v/>
      </c>
      <c r="AI22" s="123">
        <f>SUM(AI18:AI21)</f>
        <v/>
      </c>
      <c r="AJ22" s="123">
        <f>SUM(AJ18:AJ21)</f>
        <v/>
      </c>
      <c r="AK22" s="123">
        <f>SUM(AK18:AK21)</f>
        <v/>
      </c>
      <c r="AL22" s="123">
        <f>SUM(AL18:AL21)</f>
        <v/>
      </c>
      <c r="AM22" s="123">
        <f>SUM(AM18:AM21)</f>
        <v/>
      </c>
      <c r="AN22" s="123">
        <f>SUM(AN18:AN21)</f>
        <v/>
      </c>
      <c r="AO22" s="123">
        <f>SUM(AO18:AO21)</f>
        <v/>
      </c>
      <c r="AP22" s="108" t="n"/>
    </row>
    <row r="23">
      <c r="A23" s="74" t="inlineStr">
        <is>
          <t>Income tax expense</t>
        </is>
      </c>
      <c r="B23" s="145" t="n"/>
      <c r="C23" s="145" t="n"/>
      <c r="D23" s="145" t="n"/>
      <c r="E23" s="145" t="n"/>
      <c r="F23" s="141" t="n"/>
      <c r="G23" s="141" t="n"/>
      <c r="H23" s="141" t="n"/>
      <c r="I23" s="141" t="n"/>
      <c r="J23" s="141" t="n"/>
      <c r="K23" s="141" t="n"/>
      <c r="L23" s="141" t="n"/>
      <c r="M23" s="175">
        <f>IF(M$2=1,#REF!,#REF!-#REF!)</f>
        <v/>
      </c>
      <c r="N23" s="175">
        <f>IF(N$2=1,#REF!,#REF!-#REF!)</f>
        <v/>
      </c>
      <c r="O23" s="175">
        <f>IF(O$2=1,#REF!,#REF!-#REF!)</f>
        <v/>
      </c>
      <c r="P23" s="175">
        <f>IF(P$2=1,#REF!,#REF!-#REF!)</f>
        <v/>
      </c>
      <c r="Q23" s="175">
        <f>IF(Q$2=1,#REF!,#REF!-#REF!)</f>
        <v/>
      </c>
      <c r="R23" s="175">
        <f>IF(R$2=1,#REF!,#REF!-#REF!)</f>
        <v/>
      </c>
      <c r="S23" s="175">
        <f>IF(S$2=1,#REF!,#REF!-#REF!)</f>
        <v/>
      </c>
      <c r="T23" s="175">
        <f>IF(T$2=1,#REF!,#REF!-#REF!)</f>
        <v/>
      </c>
      <c r="U23" s="175">
        <f>IF(U$2=1,#REF!,#REF!-#REF!)</f>
        <v/>
      </c>
      <c r="V23" s="175">
        <f>IF(V$2=1,#REF!,#REF!-#REF!)</f>
        <v/>
      </c>
      <c r="W23" s="175">
        <f>IF(W$2=1,#REF!,#REF!-#REF!)</f>
        <v/>
      </c>
      <c r="X23" s="175">
        <f>IF(X$2=1,#REF!,#REF!-#REF!)</f>
        <v/>
      </c>
      <c r="Y23" s="175">
        <f>IF(Y$2=1,#REF!,#REF!-#REF!)</f>
        <v/>
      </c>
      <c r="Z23" s="175">
        <f>IF(Z$2=1,#REF!,#REF!-#REF!)</f>
        <v/>
      </c>
      <c r="AA23" s="175">
        <f>IF(AA$2=1,#REF!,#REF!-#REF!)</f>
        <v/>
      </c>
      <c r="AB23" s="175">
        <f>IF(AB$2=1,#REF!,#REF!-#REF!)</f>
        <v/>
      </c>
      <c r="AC23" s="175">
        <f>IF(AC$2=1,#REF!,#REF!-#REF!)</f>
        <v/>
      </c>
      <c r="AD23" s="175">
        <f>Assumption!#REF!</f>
        <v/>
      </c>
      <c r="AE23" s="175">
        <f>Assumption!#REF!</f>
        <v/>
      </c>
      <c r="AF23" s="175">
        <f>Assumption!#REF!</f>
        <v/>
      </c>
      <c r="AG23" s="175">
        <f>Assumption!#REF!</f>
        <v/>
      </c>
      <c r="AH23" s="175">
        <f>Assumption!#REF!</f>
        <v/>
      </c>
      <c r="AI23" s="175">
        <f>Assumption!#REF!</f>
        <v/>
      </c>
      <c r="AJ23" s="175">
        <f>Assumption!#REF!</f>
        <v/>
      </c>
      <c r="AK23" s="175">
        <f>Assumption!#REF!</f>
        <v/>
      </c>
      <c r="AL23" s="175">
        <f>Assumption!#REF!</f>
        <v/>
      </c>
      <c r="AM23" s="175">
        <f>Assumption!#REF!</f>
        <v/>
      </c>
      <c r="AN23" s="175">
        <f>Assumption!#REF!</f>
        <v/>
      </c>
      <c r="AO23" s="175">
        <f>Assumption!#REF!</f>
        <v/>
      </c>
      <c r="AP23" s="108" t="n"/>
    </row>
    <row r="24">
      <c r="A24" s="22" t="inlineStr">
        <is>
          <t>Profit for the period</t>
        </is>
      </c>
      <c r="B24" s="147" t="n"/>
      <c r="C24" s="147" t="n"/>
      <c r="D24" s="147" t="n"/>
      <c r="E24" s="147" t="n"/>
      <c r="F24" s="147" t="n"/>
      <c r="G24" s="147" t="n"/>
      <c r="H24" s="147" t="n"/>
      <c r="I24" s="147" t="n"/>
      <c r="J24" s="147" t="n"/>
      <c r="K24" s="147" t="n"/>
      <c r="L24" s="147" t="n"/>
      <c r="M24" s="123">
        <f>M22+M23</f>
        <v/>
      </c>
      <c r="N24" s="123">
        <f>N22+N23</f>
        <v/>
      </c>
      <c r="O24" s="123">
        <f>O22+O23</f>
        <v/>
      </c>
      <c r="P24" s="123">
        <f>P22+P23</f>
        <v/>
      </c>
      <c r="Q24" s="123">
        <f>Q22+Q23</f>
        <v/>
      </c>
      <c r="R24" s="123">
        <f>R22+R23</f>
        <v/>
      </c>
      <c r="S24" s="123">
        <f>S22+S23</f>
        <v/>
      </c>
      <c r="T24" s="123">
        <f>T22+T23</f>
        <v/>
      </c>
      <c r="U24" s="123">
        <f>U22+U23</f>
        <v/>
      </c>
      <c r="V24" s="123">
        <f>V22+V23</f>
        <v/>
      </c>
      <c r="W24" s="123">
        <f>W22+W23</f>
        <v/>
      </c>
      <c r="X24" s="123">
        <f>X22+X23</f>
        <v/>
      </c>
      <c r="Y24" s="123">
        <f>Y22+Y23</f>
        <v/>
      </c>
      <c r="Z24" s="123">
        <f>Z22+Z23</f>
        <v/>
      </c>
      <c r="AA24" s="123">
        <f>AA22+AA23</f>
        <v/>
      </c>
      <c r="AB24" s="123">
        <f>AB22+AB23</f>
        <v/>
      </c>
      <c r="AC24" s="123">
        <f>AC22+AC23</f>
        <v/>
      </c>
      <c r="AD24" s="123">
        <f>AD22+AD23</f>
        <v/>
      </c>
      <c r="AE24" s="123">
        <f>AE22+AE23</f>
        <v/>
      </c>
      <c r="AF24" s="123">
        <f>AF22+AF23</f>
        <v/>
      </c>
      <c r="AG24" s="123">
        <f>AG22+AG23</f>
        <v/>
      </c>
      <c r="AH24" s="123">
        <f>AH22+AH23</f>
        <v/>
      </c>
      <c r="AI24" s="123">
        <f>AI22+AI23</f>
        <v/>
      </c>
      <c r="AJ24" s="123">
        <f>AJ22+AJ23</f>
        <v/>
      </c>
      <c r="AK24" s="123">
        <f>AK22+AK23</f>
        <v/>
      </c>
      <c r="AL24" s="123">
        <f>AL22+AL23</f>
        <v/>
      </c>
      <c r="AM24" s="123">
        <f>AM22+AM23</f>
        <v/>
      </c>
      <c r="AN24" s="123">
        <f>AN22+AN23</f>
        <v/>
      </c>
      <c r="AO24" s="123">
        <f>AO22+AO23</f>
        <v/>
      </c>
      <c r="AP24" s="108" t="n"/>
    </row>
    <row r="25">
      <c r="A25" s="74" t="inlineStr">
        <is>
          <t>Attributable to:</t>
        </is>
      </c>
      <c r="F25" s="145" t="n"/>
      <c r="G25" s="145" t="n"/>
      <c r="H25" s="145" t="n"/>
      <c r="I25" s="145" t="n"/>
      <c r="J25" s="145" t="n"/>
      <c r="K25" s="145" t="n"/>
      <c r="L25" s="145" t="n"/>
      <c r="M25" s="143" t="n"/>
      <c r="N25" s="143" t="n"/>
      <c r="O25" s="143" t="n"/>
      <c r="P25" s="143" t="n"/>
      <c r="Q25" s="143" t="n"/>
      <c r="R25" s="143" t="n"/>
      <c r="S25" s="143" t="n"/>
      <c r="T25" s="143" t="n"/>
      <c r="U25" s="143" t="n"/>
      <c r="V25" s="143" t="n"/>
      <c r="W25" s="143" t="n"/>
      <c r="X25" s="143" t="n"/>
      <c r="Y25" s="143" t="n"/>
      <c r="Z25" s="143" t="n"/>
      <c r="AA25" s="143" t="n"/>
      <c r="AB25" s="143" t="n"/>
      <c r="AC25" s="143" t="n"/>
      <c r="AD25" s="143" t="n"/>
      <c r="AE25" s="143" t="n"/>
      <c r="AF25" s="143" t="n"/>
      <c r="AG25" s="143" t="n"/>
      <c r="AH25" s="143" t="n"/>
      <c r="AI25" s="143" t="n"/>
      <c r="AJ25" s="143" t="n"/>
      <c r="AK25" s="143" t="n"/>
      <c r="AL25" s="143" t="n"/>
      <c r="AM25" s="143" t="n"/>
      <c r="AN25" s="143" t="n"/>
      <c r="AO25" s="143" t="n"/>
      <c r="AP25" s="108" t="n"/>
    </row>
    <row r="26">
      <c r="A26" s="33" t="inlineStr">
        <is>
          <t>Equity shareholders of the Company</t>
        </is>
      </c>
      <c r="B26" s="145" t="n"/>
      <c r="C26" s="145" t="n"/>
      <c r="D26" s="145" t="n"/>
      <c r="E26" s="145" t="n"/>
      <c r="F26" s="141" t="n"/>
      <c r="G26" s="141" t="n"/>
      <c r="H26" s="141" t="n"/>
      <c r="I26" s="141" t="n"/>
      <c r="J26" s="141" t="n"/>
      <c r="K26" s="141" t="n"/>
      <c r="L26" s="141" t="n"/>
      <c r="M26" s="175">
        <f>IF(M$2=1,#REF!,#REF!-#REF!)</f>
        <v/>
      </c>
      <c r="N26" s="175">
        <f>IF(N$2=1,#REF!,#REF!-#REF!)</f>
        <v/>
      </c>
      <c r="O26" s="175">
        <f>IF(O$2=1,#REF!,#REF!-#REF!)</f>
        <v/>
      </c>
      <c r="P26" s="175">
        <f>IF(P$2=1,#REF!,#REF!-#REF!)</f>
        <v/>
      </c>
      <c r="Q26" s="175">
        <f>IF(Q$2=1,#REF!,#REF!-#REF!)</f>
        <v/>
      </c>
      <c r="R26" s="175">
        <f>IF(R$2=1,#REF!,#REF!-#REF!)</f>
        <v/>
      </c>
      <c r="S26" s="175">
        <f>IF(S$2=1,#REF!,#REF!-#REF!)</f>
        <v/>
      </c>
      <c r="T26" s="175">
        <f>IF(T$2=1,#REF!,#REF!-#REF!)</f>
        <v/>
      </c>
      <c r="U26" s="175">
        <f>IF(U$2=1,#REF!,#REF!-#REF!)</f>
        <v/>
      </c>
      <c r="V26" s="175">
        <f>IF(V$2=1,#REF!,#REF!-#REF!)</f>
        <v/>
      </c>
      <c r="W26" s="175">
        <f>IF(W$2=1,#REF!,#REF!-#REF!)</f>
        <v/>
      </c>
      <c r="X26" s="175">
        <f>IF(X$2=1,#REF!,#REF!-#REF!)</f>
        <v/>
      </c>
      <c r="Y26" s="175">
        <f>IF(Y$2=1,#REF!,#REF!-#REF!)</f>
        <v/>
      </c>
      <c r="Z26" s="175">
        <f>IF(Z$2=1,#REF!,#REF!-#REF!)</f>
        <v/>
      </c>
      <c r="AA26" s="175">
        <f>IF(AA$2=1,#REF!,#REF!-#REF!)</f>
        <v/>
      </c>
      <c r="AB26" s="175">
        <f>IF(AB$2=1,#REF!,#REF!-#REF!)</f>
        <v/>
      </c>
      <c r="AC26" s="175">
        <f>IF(AC$2=1,#REF!,#REF!-#REF!)</f>
        <v/>
      </c>
      <c r="AD26" s="88">
        <f>+AD24-AD27</f>
        <v/>
      </c>
      <c r="AE26" s="88">
        <f>+AE24-AE27</f>
        <v/>
      </c>
      <c r="AF26" s="88">
        <f>+AF24-AF27</f>
        <v/>
      </c>
      <c r="AG26" s="88">
        <f>+AG24-AG27</f>
        <v/>
      </c>
      <c r="AH26" s="88">
        <f>+AH24-AH27</f>
        <v/>
      </c>
      <c r="AI26" s="88">
        <f>+AI24-AI27</f>
        <v/>
      </c>
      <c r="AJ26" s="88">
        <f>+AJ24-AJ27</f>
        <v/>
      </c>
      <c r="AK26" s="88">
        <f>+AK24-AK27</f>
        <v/>
      </c>
      <c r="AL26" s="88">
        <f>+AL24-AL27</f>
        <v/>
      </c>
      <c r="AM26" s="88">
        <f>+AM24-AM27</f>
        <v/>
      </c>
      <c r="AN26" s="88">
        <f>+AN24-AN27</f>
        <v/>
      </c>
      <c r="AO26" s="88">
        <f>+AO24-AO27</f>
        <v/>
      </c>
      <c r="AP26" s="108" t="n"/>
    </row>
    <row r="27">
      <c r="A27" s="33" t="inlineStr">
        <is>
          <t>Non-controlling interests</t>
        </is>
      </c>
      <c r="B27" s="145" t="n"/>
      <c r="C27" s="145" t="n"/>
      <c r="D27" s="145" t="n"/>
      <c r="E27" s="145" t="n"/>
      <c r="F27" s="141" t="n"/>
      <c r="G27" s="141" t="n"/>
      <c r="H27" s="141" t="n"/>
      <c r="I27" s="141" t="n"/>
      <c r="J27" s="141" t="n"/>
      <c r="K27" s="141" t="n"/>
      <c r="L27" s="141" t="n"/>
      <c r="M27" s="175">
        <f>IF(M$2=1,#REF!,#REF!-#REF!)</f>
        <v/>
      </c>
      <c r="N27" s="175">
        <f>IF(N$2=1,#REF!,#REF!-#REF!)</f>
        <v/>
      </c>
      <c r="O27" s="175">
        <f>IF(O$2=1,#REF!,#REF!-#REF!)</f>
        <v/>
      </c>
      <c r="P27" s="175">
        <f>IF(P$2=1,#REF!,#REF!-#REF!)</f>
        <v/>
      </c>
      <c r="Q27" s="175">
        <f>IF(Q$2=1,#REF!,#REF!-#REF!)</f>
        <v/>
      </c>
      <c r="R27" s="175">
        <f>IF(R$2=1,#REF!,#REF!-#REF!)</f>
        <v/>
      </c>
      <c r="S27" s="175">
        <f>IF(S$2=1,#REF!,#REF!-#REF!)</f>
        <v/>
      </c>
      <c r="T27" s="175">
        <f>IF(T$2=1,#REF!,#REF!-#REF!)</f>
        <v/>
      </c>
      <c r="U27" s="175">
        <f>IF(U$2=1,#REF!,#REF!-#REF!)</f>
        <v/>
      </c>
      <c r="V27" s="175">
        <f>IF(V$2=1,#REF!,#REF!-#REF!)</f>
        <v/>
      </c>
      <c r="W27" s="175">
        <f>IF(W$2=1,#REF!,#REF!-#REF!)</f>
        <v/>
      </c>
      <c r="X27" s="175">
        <f>IF(X$2=1,#REF!,#REF!-#REF!)</f>
        <v/>
      </c>
      <c r="Y27" s="175">
        <f>IF(Y$2=1,#REF!,#REF!-#REF!)</f>
        <v/>
      </c>
      <c r="Z27" s="175">
        <f>IF(Z$2=1,#REF!,#REF!-#REF!)</f>
        <v/>
      </c>
      <c r="AA27" s="175">
        <f>IF(AA$2=1,#REF!,#REF!-#REF!)</f>
        <v/>
      </c>
      <c r="AB27" s="175">
        <f>IF(AB$2=1,#REF!,#REF!-#REF!)</f>
        <v/>
      </c>
      <c r="AC27" s="175">
        <f>IF(AC$2=1,#REF!,#REF!-#REF!)</f>
        <v/>
      </c>
      <c r="AD27" s="175">
        <f>Assumption!#REF!</f>
        <v/>
      </c>
      <c r="AE27" s="175">
        <f>Assumption!#REF!</f>
        <v/>
      </c>
      <c r="AF27" s="175">
        <f>Assumption!#REF!</f>
        <v/>
      </c>
      <c r="AG27" s="175">
        <f>Assumption!#REF!</f>
        <v/>
      </c>
      <c r="AH27" s="175">
        <f>Assumption!#REF!</f>
        <v/>
      </c>
      <c r="AI27" s="175">
        <f>Assumption!#REF!</f>
        <v/>
      </c>
      <c r="AJ27" s="175">
        <f>Assumption!#REF!</f>
        <v/>
      </c>
      <c r="AK27" s="175">
        <f>Assumption!#REF!</f>
        <v/>
      </c>
      <c r="AL27" s="175">
        <f>Assumption!#REF!</f>
        <v/>
      </c>
      <c r="AM27" s="175">
        <f>Assumption!#REF!</f>
        <v/>
      </c>
      <c r="AN27" s="175">
        <f>Assumption!#REF!</f>
        <v/>
      </c>
      <c r="AO27" s="175">
        <f>Assumption!#REF!</f>
        <v/>
      </c>
      <c r="AP27" s="108" t="n"/>
    </row>
    <row r="28">
      <c r="F28" s="143" t="n"/>
      <c r="G28" s="143" t="n"/>
      <c r="H28" s="143" t="n"/>
      <c r="I28" s="143" t="n"/>
      <c r="J28" s="143" t="n"/>
      <c r="K28" s="143" t="n"/>
      <c r="L28" s="143" t="n"/>
      <c r="M28" s="190" t="n"/>
      <c r="N28" s="190" t="n"/>
      <c r="O28" s="190" t="n"/>
      <c r="P28" s="190" t="n"/>
      <c r="Q28" s="190" t="n"/>
      <c r="R28" s="190" t="n"/>
      <c r="S28" s="190" t="n"/>
      <c r="T28" s="190" t="n"/>
      <c r="U28" s="190" t="n"/>
      <c r="V28" s="190" t="n"/>
      <c r="W28" s="190" t="n"/>
      <c r="X28" s="190" t="n"/>
      <c r="Y28" s="190" t="n"/>
      <c r="Z28" s="190" t="n"/>
      <c r="AA28" s="190" t="n"/>
      <c r="AB28" s="190" t="n"/>
      <c r="AC28" s="190" t="n"/>
      <c r="AD28" s="190" t="n"/>
      <c r="AE28" s="190" t="n"/>
      <c r="AF28" s="190" t="n"/>
      <c r="AG28" s="190" t="n"/>
      <c r="AH28" s="190" t="n"/>
      <c r="AI28" s="190" t="n"/>
      <c r="AJ28" s="190" t="n"/>
      <c r="AK28" s="190" t="n"/>
      <c r="AL28" s="190" t="n"/>
      <c r="AM28" s="190" t="n"/>
      <c r="AN28" s="190" t="n"/>
      <c r="AO28" s="190" t="n"/>
      <c r="AP28" s="108" t="n"/>
    </row>
    <row r="29">
      <c r="A29" s="22" t="inlineStr">
        <is>
          <t>Basic earnings per share  (HKD)</t>
        </is>
      </c>
      <c r="B29" s="95" t="n"/>
      <c r="C29" s="95" t="n"/>
      <c r="D29" s="95" t="n"/>
      <c r="E29" s="95" t="n"/>
      <c r="F29" s="139" t="n"/>
      <c r="G29" s="139" t="n"/>
      <c r="H29" s="139" t="n"/>
      <c r="I29" s="139" t="n"/>
      <c r="J29" s="139" t="n"/>
      <c r="K29" s="139" t="n"/>
      <c r="L29" s="139" t="n"/>
      <c r="M29" s="150">
        <f>IF(M$2=1,#REF!,#REF!-#REF!)/M226</f>
        <v/>
      </c>
      <c r="N29" s="150">
        <f>IF(N$2=1,#REF!,#REF!-#REF!)/N226</f>
        <v/>
      </c>
      <c r="O29" s="150">
        <f>IF(O$2=1,#REF!,#REF!-#REF!)/O226</f>
        <v/>
      </c>
      <c r="P29" s="150">
        <f>IF(P$2=1,#REF!,#REF!-#REF!)/P226</f>
        <v/>
      </c>
      <c r="Q29" s="150">
        <f>IF(Q$2=1,#REF!,#REF!-#REF!)/Q226</f>
        <v/>
      </c>
      <c r="R29" s="150">
        <f>IF(R$2=1,#REF!,#REF!-#REF!)/R226</f>
        <v/>
      </c>
      <c r="S29" s="150">
        <f>IF(S$2=1,#REF!,#REF!-#REF!)/S226</f>
        <v/>
      </c>
      <c r="T29" s="150">
        <f>IF(T$2=1,#REF!,#REF!-#REF!)/T226</f>
        <v/>
      </c>
      <c r="U29" s="150">
        <f>IF(U$2=1,#REF!,#REF!-#REF!)/U226</f>
        <v/>
      </c>
      <c r="V29" s="150">
        <f>IF(V$2=1,#REF!,#REF!-#REF!)/V226</f>
        <v/>
      </c>
      <c r="W29" s="150">
        <f>IF(W$2=1,#REF!,#REF!-#REF!)/W226</f>
        <v/>
      </c>
      <c r="X29" s="150">
        <f>IF(X$2=1,#REF!,#REF!-#REF!)/X226</f>
        <v/>
      </c>
      <c r="Y29" s="150">
        <f>IF(Y$2=1,#REF!,#REF!-#REF!)/Y226</f>
        <v/>
      </c>
      <c r="Z29" s="150">
        <f>IF(Z$2=1,#REF!,#REF!-#REF!)/Z226</f>
        <v/>
      </c>
      <c r="AA29" s="150">
        <f>IF(AA$2=1,#REF!,#REF!-#REF!)/AA226</f>
        <v/>
      </c>
      <c r="AB29" s="150">
        <f>IF(AB$2=1,#REF!,#REF!-#REF!)/AB226</f>
        <v/>
      </c>
      <c r="AC29" s="150">
        <f>IF(AC$2=1,#REF!,#REF!-#REF!)/AC226</f>
        <v/>
      </c>
      <c r="AD29" s="118">
        <f>1/AD226*AD26/AD31</f>
        <v/>
      </c>
      <c r="AE29" s="118">
        <f>1/AE226*AE26/AE31</f>
        <v/>
      </c>
      <c r="AF29" s="118">
        <f>1/AF226*AF26/AF31</f>
        <v/>
      </c>
      <c r="AG29" s="118">
        <f>1/AG226*AG26/AG31</f>
        <v/>
      </c>
      <c r="AH29" s="118">
        <f>1/AH226*AH26/AH31</f>
        <v/>
      </c>
      <c r="AI29" s="118">
        <f>1/AI226*AI26/AI31</f>
        <v/>
      </c>
      <c r="AJ29" s="118">
        <f>1/AJ226*AJ26/AJ31</f>
        <v/>
      </c>
      <c r="AK29" s="118">
        <f>1/AK226*AK26/AK31</f>
        <v/>
      </c>
      <c r="AL29" s="118">
        <f>1/AL226*AL26/AL31</f>
        <v/>
      </c>
      <c r="AM29" s="118">
        <f>1/AM226*AM26/AM31</f>
        <v/>
      </c>
      <c r="AN29" s="118">
        <f>1/AN226*AN26/AN31</f>
        <v/>
      </c>
      <c r="AO29" s="118">
        <f>1/AO226*AO26/AO31</f>
        <v/>
      </c>
      <c r="AP29" s="108" t="n"/>
    </row>
    <row r="30">
      <c r="A30" s="22" t="inlineStr">
        <is>
          <t>Diluted earnings per share  (HKD)</t>
        </is>
      </c>
      <c r="B30" s="95" t="n"/>
      <c r="C30" s="95" t="n"/>
      <c r="D30" s="95" t="n"/>
      <c r="E30" s="95" t="n"/>
      <c r="F30" s="139" t="n"/>
      <c r="G30" s="139" t="n"/>
      <c r="H30" s="139" t="n"/>
      <c r="I30" s="139" t="n"/>
      <c r="J30" s="139" t="n"/>
      <c r="K30" s="139" t="n"/>
      <c r="L30" s="139" t="n"/>
      <c r="M30" s="150">
        <f>IF(M$2=1,#REF!,#REF!-#REF!)/M226</f>
        <v/>
      </c>
      <c r="N30" s="150">
        <f>IF(N$2=1,#REF!,#REF!-#REF!)/N226</f>
        <v/>
      </c>
      <c r="O30" s="150">
        <f>IF(O$2=1,#REF!,#REF!-#REF!)/O226</f>
        <v/>
      </c>
      <c r="P30" s="150">
        <f>IF(P$2=1,#REF!,#REF!-#REF!)/P226</f>
        <v/>
      </c>
      <c r="Q30" s="150">
        <f>IF(Q$2=1,#REF!,#REF!-#REF!)/Q226</f>
        <v/>
      </c>
      <c r="R30" s="150">
        <f>IF(R$2=1,#REF!,#REF!-#REF!)/R226</f>
        <v/>
      </c>
      <c r="S30" s="150">
        <f>IF(S$2=1,#REF!,#REF!-#REF!)/S226</f>
        <v/>
      </c>
      <c r="T30" s="150">
        <f>IF(T$2=1,#REF!,#REF!-#REF!)/T226</f>
        <v/>
      </c>
      <c r="U30" s="150">
        <f>IF(U$2=1,#REF!,#REF!-#REF!)/U226</f>
        <v/>
      </c>
      <c r="V30" s="150">
        <f>IF(V$2=1,#REF!,#REF!-#REF!)/V226</f>
        <v/>
      </c>
      <c r="W30" s="150">
        <f>IF(W$2=1,#REF!,#REF!-#REF!)/W226</f>
        <v/>
      </c>
      <c r="X30" s="150">
        <f>IF(X$2=1,#REF!,#REF!-#REF!)/X226</f>
        <v/>
      </c>
      <c r="Y30" s="150">
        <f>IF(Y$2=1,#REF!,#REF!-#REF!)/Y226</f>
        <v/>
      </c>
      <c r="Z30" s="150">
        <f>IF(Z$2=1,#REF!,#REF!-#REF!)/Z226</f>
        <v/>
      </c>
      <c r="AA30" s="150">
        <f>IF(AA$2=1,#REF!,#REF!-#REF!)/AA226</f>
        <v/>
      </c>
      <c r="AB30" s="150">
        <f>IF(AB$2=1,#REF!,#REF!-#REF!)/AB226</f>
        <v/>
      </c>
      <c r="AC30" s="150">
        <f>IF(AC$2=1,#REF!,#REF!-#REF!)/AC226</f>
        <v/>
      </c>
      <c r="AD30" s="118">
        <f>1/AD226*AD26/AD32</f>
        <v/>
      </c>
      <c r="AE30" s="118">
        <f>1/AE226*AE26/AE32</f>
        <v/>
      </c>
      <c r="AF30" s="118">
        <f>1/AF226*AF26/AF32</f>
        <v/>
      </c>
      <c r="AG30" s="118">
        <f>1/AG226*AG26/AG32</f>
        <v/>
      </c>
      <c r="AH30" s="118">
        <f>1/AH226*AH26/AH32</f>
        <v/>
      </c>
      <c r="AI30" s="118">
        <f>1/AI226*AI26/AI32</f>
        <v/>
      </c>
      <c r="AJ30" s="118">
        <f>1/AJ226*AJ26/AJ32</f>
        <v/>
      </c>
      <c r="AK30" s="118">
        <f>1/AK226*AK26/AK32</f>
        <v/>
      </c>
      <c r="AL30" s="118">
        <f>1/AL226*AL26/AL32</f>
        <v/>
      </c>
      <c r="AM30" s="118">
        <f>1/AM226*AM26/AM32</f>
        <v/>
      </c>
      <c r="AN30" s="118">
        <f>1/AN226*AN26/AN32</f>
        <v/>
      </c>
      <c r="AO30" s="118">
        <f>1/AO226*AO26/AO32</f>
        <v/>
      </c>
      <c r="AP30" s="108" t="n"/>
    </row>
    <row r="31">
      <c r="A31" t="inlineStr">
        <is>
          <t>Weighted average number of shares (basic)</t>
        </is>
      </c>
      <c r="F31" s="141" t="n"/>
      <c r="G31" s="141" t="n"/>
      <c r="H31" s="141" t="n"/>
      <c r="I31" s="141" t="n"/>
      <c r="J31" s="141" t="n"/>
      <c r="K31" s="141" t="n"/>
      <c r="L31" s="141" t="n"/>
      <c r="M31" s="175">
        <f>Assumption!#REF!</f>
        <v/>
      </c>
      <c r="N31" s="175">
        <f>Assumption!#REF!</f>
        <v/>
      </c>
      <c r="O31" s="175">
        <f>Assumption!#REF!</f>
        <v/>
      </c>
      <c r="P31" s="175">
        <f>Assumption!#REF!</f>
        <v/>
      </c>
      <c r="Q31" s="175">
        <f>Assumption!#REF!</f>
        <v/>
      </c>
      <c r="R31" s="175">
        <f>Assumption!#REF!</f>
        <v/>
      </c>
      <c r="S31" s="175">
        <f>Assumption!#REF!</f>
        <v/>
      </c>
      <c r="T31" s="175">
        <f>Assumption!#REF!</f>
        <v/>
      </c>
      <c r="U31" s="175">
        <f>Assumption!#REF!</f>
        <v/>
      </c>
      <c r="V31" s="175">
        <f>Assumption!#REF!</f>
        <v/>
      </c>
      <c r="W31" s="175">
        <f>Assumption!#REF!</f>
        <v/>
      </c>
      <c r="X31" s="175">
        <f>Assumption!#REF!</f>
        <v/>
      </c>
      <c r="Y31" s="175">
        <f>Assumption!#REF!</f>
        <v/>
      </c>
      <c r="Z31" s="175">
        <f>Assumption!#REF!</f>
        <v/>
      </c>
      <c r="AA31" s="175">
        <f>Assumption!#REF!</f>
        <v/>
      </c>
      <c r="AB31" s="175">
        <f>Assumption!#REF!</f>
        <v/>
      </c>
      <c r="AC31" s="175">
        <f>Assumption!#REF!</f>
        <v/>
      </c>
      <c r="AD31" s="175">
        <f>Assumption!#REF!</f>
        <v/>
      </c>
      <c r="AE31" s="175">
        <f>Assumption!#REF!</f>
        <v/>
      </c>
      <c r="AF31" s="175">
        <f>Assumption!#REF!</f>
        <v/>
      </c>
      <c r="AG31" s="175">
        <f>Assumption!#REF!</f>
        <v/>
      </c>
      <c r="AH31" s="175">
        <f>Assumption!#REF!</f>
        <v/>
      </c>
      <c r="AI31" s="175">
        <f>Assumption!#REF!</f>
        <v/>
      </c>
      <c r="AJ31" s="175">
        <f>Assumption!#REF!</f>
        <v/>
      </c>
      <c r="AK31" s="175">
        <f>Assumption!#REF!</f>
        <v/>
      </c>
      <c r="AL31" s="175">
        <f>Assumption!#REF!</f>
        <v/>
      </c>
      <c r="AM31" s="175">
        <f>Assumption!#REF!</f>
        <v/>
      </c>
      <c r="AN31" s="175">
        <f>Assumption!#REF!</f>
        <v/>
      </c>
      <c r="AO31" s="175">
        <f>Assumption!#REF!</f>
        <v/>
      </c>
      <c r="AP31" s="108" t="n"/>
    </row>
    <row r="32">
      <c r="A32" t="inlineStr">
        <is>
          <t>Weighted average number of shares (diluted)</t>
        </is>
      </c>
      <c r="F32" s="141" t="n"/>
      <c r="G32" s="141" t="n"/>
      <c r="H32" s="141" t="n"/>
      <c r="I32" s="141" t="n"/>
      <c r="J32" s="141" t="n"/>
      <c r="K32" s="141" t="n"/>
      <c r="L32" s="141" t="n"/>
      <c r="M32" s="175">
        <f>Assumption!#REF!</f>
        <v/>
      </c>
      <c r="N32" s="175">
        <f>Assumption!#REF!</f>
        <v/>
      </c>
      <c r="O32" s="175">
        <f>Assumption!#REF!</f>
        <v/>
      </c>
      <c r="P32" s="175">
        <f>Assumption!#REF!</f>
        <v/>
      </c>
      <c r="Q32" s="175">
        <f>Assumption!#REF!</f>
        <v/>
      </c>
      <c r="R32" s="175">
        <f>Assumption!#REF!</f>
        <v/>
      </c>
      <c r="S32" s="175">
        <f>Assumption!#REF!</f>
        <v/>
      </c>
      <c r="T32" s="175">
        <f>Assumption!#REF!</f>
        <v/>
      </c>
      <c r="U32" s="175">
        <f>Assumption!#REF!</f>
        <v/>
      </c>
      <c r="V32" s="175">
        <f>Assumption!#REF!</f>
        <v/>
      </c>
      <c r="W32" s="175">
        <f>Assumption!#REF!</f>
        <v/>
      </c>
      <c r="X32" s="175">
        <f>Assumption!#REF!</f>
        <v/>
      </c>
      <c r="Y32" s="175">
        <f>Assumption!#REF!</f>
        <v/>
      </c>
      <c r="Z32" s="175">
        <f>Assumption!#REF!</f>
        <v/>
      </c>
      <c r="AA32" s="175">
        <f>Assumption!#REF!</f>
        <v/>
      </c>
      <c r="AB32" s="175">
        <f>Assumption!#REF!</f>
        <v/>
      </c>
      <c r="AC32" s="175">
        <f>Assumption!#REF!</f>
        <v/>
      </c>
      <c r="AD32" s="175">
        <f>Assumption!#REF!</f>
        <v/>
      </c>
      <c r="AE32" s="175">
        <f>Assumption!#REF!</f>
        <v/>
      </c>
      <c r="AF32" s="175">
        <f>Assumption!#REF!</f>
        <v/>
      </c>
      <c r="AG32" s="175">
        <f>Assumption!#REF!</f>
        <v/>
      </c>
      <c r="AH32" s="175">
        <f>Assumption!#REF!</f>
        <v/>
      </c>
      <c r="AI32" s="175">
        <f>Assumption!#REF!</f>
        <v/>
      </c>
      <c r="AJ32" s="175">
        <f>Assumption!#REF!</f>
        <v/>
      </c>
      <c r="AK32" s="175">
        <f>Assumption!#REF!</f>
        <v/>
      </c>
      <c r="AL32" s="175">
        <f>Assumption!#REF!</f>
        <v/>
      </c>
      <c r="AM32" s="175">
        <f>Assumption!#REF!</f>
        <v/>
      </c>
      <c r="AN32" s="175">
        <f>Assumption!#REF!</f>
        <v/>
      </c>
      <c r="AO32" s="175">
        <f>Assumption!#REF!</f>
        <v/>
      </c>
      <c r="AP32" s="108" t="n"/>
    </row>
    <row r="33">
      <c r="F33" s="141" t="n"/>
      <c r="G33" s="141" t="n"/>
      <c r="H33" s="141" t="n"/>
      <c r="I33" s="141" t="n"/>
      <c r="J33" s="141" t="n"/>
      <c r="K33" s="141" t="n"/>
      <c r="L33" s="141" t="n"/>
      <c r="M33" s="891" t="n"/>
      <c r="N33" s="891" t="n"/>
      <c r="O33" s="891" t="n"/>
      <c r="P33" s="891" t="n"/>
      <c r="Q33" s="891" t="n"/>
      <c r="R33" s="891" t="n"/>
      <c r="S33" s="891" t="n"/>
      <c r="T33" s="891" t="n"/>
      <c r="U33" s="891" t="n"/>
      <c r="V33" s="891" t="n"/>
      <c r="W33" s="891" t="n"/>
      <c r="X33" s="891" t="n"/>
      <c r="Y33" s="891" t="n"/>
      <c r="Z33" s="891" t="n"/>
      <c r="AA33" s="891" t="n"/>
      <c r="AB33" s="891" t="n"/>
      <c r="AC33" s="891" t="n"/>
      <c r="AD33" s="891" t="n"/>
      <c r="AE33" s="891" t="n"/>
      <c r="AF33" s="891" t="n"/>
      <c r="AG33" s="891" t="n"/>
      <c r="AH33" s="891" t="n"/>
      <c r="AI33" s="891" t="n"/>
      <c r="AJ33" s="891" t="n"/>
      <c r="AK33" s="891" t="n"/>
      <c r="AL33" s="891" t="n"/>
      <c r="AM33" s="891" t="n"/>
      <c r="AN33" s="891" t="n"/>
      <c r="AO33" s="891" t="n"/>
      <c r="AP33" s="108" t="n"/>
    </row>
    <row r="34">
      <c r="F34" s="142" t="n"/>
      <c r="G34" s="142" t="n"/>
      <c r="H34" s="142" t="n"/>
      <c r="I34" s="142" t="n"/>
      <c r="J34" s="142" t="n"/>
      <c r="K34" s="142" t="n"/>
      <c r="L34" s="142" t="n"/>
      <c r="M34" s="143" t="n"/>
      <c r="N34" s="143" t="n"/>
      <c r="O34" s="143" t="n"/>
      <c r="P34" s="143" t="n"/>
      <c r="Q34" s="143" t="n"/>
      <c r="R34" s="143" t="n"/>
      <c r="S34" s="143" t="n"/>
      <c r="T34" s="143" t="n"/>
      <c r="U34" s="143" t="n"/>
      <c r="V34" s="143" t="n"/>
      <c r="W34" s="143" t="n"/>
      <c r="X34" s="143" t="n"/>
      <c r="Y34" s="143" t="n"/>
      <c r="Z34" s="143" t="n"/>
      <c r="AA34" s="143" t="n"/>
      <c r="AB34" s="143" t="n"/>
      <c r="AC34" s="143" t="n"/>
      <c r="AD34" s="143" t="n"/>
      <c r="AE34" s="143" t="n"/>
      <c r="AF34" s="143" t="n"/>
      <c r="AG34" s="143" t="n"/>
      <c r="AH34" s="143" t="n"/>
      <c r="AI34" s="143" t="n"/>
      <c r="AJ34" s="143" t="n"/>
      <c r="AK34" s="143" t="n"/>
      <c r="AL34" s="143" t="n"/>
      <c r="AM34" s="143" t="n"/>
      <c r="AN34" s="143" t="n"/>
      <c r="AO34" s="143" t="n"/>
      <c r="AP34" s="108" t="n"/>
    </row>
    <row r="35">
      <c r="A35" s="81" t="inlineStr">
        <is>
          <t>CONSOLIDATED BALANCE SHEET (RMB Million)</t>
        </is>
      </c>
      <c r="F35" s="142" t="n"/>
      <c r="G35" s="142" t="n"/>
      <c r="H35" s="142" t="n"/>
      <c r="I35" s="142" t="n"/>
      <c r="J35" s="142" t="n"/>
      <c r="K35" s="142" t="n"/>
      <c r="L35" s="142" t="n"/>
      <c r="M35" s="143" t="n"/>
      <c r="N35" s="143" t="n"/>
      <c r="O35" s="143" t="n"/>
      <c r="P35" s="143" t="n"/>
      <c r="Q35" s="143" t="n"/>
      <c r="R35" s="143" t="n"/>
      <c r="S35" s="143" t="n"/>
      <c r="T35" s="143" t="n"/>
      <c r="U35" s="143" t="n"/>
      <c r="V35" s="143" t="n"/>
      <c r="W35" s="143" t="n"/>
      <c r="X35" s="143" t="n"/>
      <c r="Y35" s="143" t="n"/>
      <c r="Z35" s="143" t="n"/>
      <c r="AA35" s="143" t="n"/>
      <c r="AB35" s="143" t="n"/>
      <c r="AC35" s="143" t="n"/>
      <c r="AD35" s="143" t="n"/>
      <c r="AE35" s="143" t="n"/>
      <c r="AF35" s="143" t="n"/>
      <c r="AG35" s="143" t="n"/>
      <c r="AH35" s="143" t="n"/>
      <c r="AI35" s="143" t="n"/>
      <c r="AJ35" s="143" t="n"/>
      <c r="AK35" s="143" t="n"/>
      <c r="AL35" s="143" t="n"/>
      <c r="AM35" s="143" t="n"/>
      <c r="AN35" s="143" t="n"/>
      <c r="AO35" s="143" t="n"/>
      <c r="AP35" s="108" t="n"/>
    </row>
    <row r="36">
      <c r="M36" s="31" t="n"/>
      <c r="N36" s="31" t="n"/>
      <c r="O36" s="31" t="n"/>
      <c r="P36" s="31" t="n"/>
      <c r="Q36" s="31" t="n"/>
      <c r="R36" s="31" t="n"/>
      <c r="S36" s="31" t="n"/>
      <c r="T36" s="31" t="n"/>
      <c r="U36" s="31" t="n"/>
      <c r="V36" s="31" t="n"/>
      <c r="W36" s="31" t="n"/>
      <c r="X36" s="31" t="n"/>
      <c r="Y36" s="31" t="n"/>
      <c r="Z36" s="31" t="n"/>
      <c r="AA36" s="31" t="n"/>
      <c r="AB36" s="31" t="n"/>
      <c r="AC36" s="31" t="n"/>
      <c r="AD36" s="31" t="n"/>
      <c r="AE36" s="31" t="n"/>
      <c r="AF36" s="31" t="n"/>
      <c r="AG36" s="31" t="n"/>
      <c r="AH36" s="31" t="n"/>
      <c r="AI36" s="31" t="n"/>
      <c r="AJ36" s="31" t="n"/>
      <c r="AK36" s="31" t="n"/>
      <c r="AL36" s="31" t="n"/>
      <c r="AM36" s="31" t="n"/>
      <c r="AN36" s="31" t="n"/>
      <c r="AO36" s="31" t="n"/>
      <c r="AP36" s="108" t="n"/>
    </row>
    <row r="37">
      <c r="A37" s="22" t="inlineStr">
        <is>
          <t>Current assets</t>
        </is>
      </c>
      <c r="M37" s="31" t="n"/>
      <c r="N37" s="31" t="n"/>
      <c r="O37" s="31" t="n"/>
      <c r="P37" s="31" t="n"/>
      <c r="Q37" s="31" t="n"/>
      <c r="R37" s="31" t="n"/>
      <c r="S37" s="31" t="n"/>
      <c r="T37" s="31" t="n"/>
      <c r="U37" s="31" t="n"/>
      <c r="V37" s="31" t="n"/>
      <c r="W37" s="31" t="n"/>
      <c r="X37" s="31" t="n"/>
      <c r="Y37" s="31" t="n"/>
      <c r="Z37" s="31" t="n"/>
      <c r="AA37" s="31" t="n"/>
      <c r="AB37" s="31" t="n"/>
      <c r="AC37" s="31" t="n"/>
      <c r="AD37" s="76" t="n"/>
      <c r="AE37" s="31" t="n"/>
      <c r="AF37" s="31" t="n"/>
      <c r="AG37" s="31" t="n"/>
      <c r="AH37" s="31" t="n"/>
      <c r="AI37" s="31" t="n"/>
      <c r="AJ37" s="31" t="n"/>
      <c r="AK37" s="31" t="n"/>
      <c r="AL37" s="31" t="n"/>
      <c r="AM37" s="31" t="n"/>
      <c r="AN37" s="31" t="n"/>
      <c r="AO37" s="31" t="n"/>
      <c r="AP37" s="108" t="n"/>
    </row>
    <row r="38">
      <c r="A38" s="74">
        <f>#REF!</f>
        <v/>
      </c>
      <c r="B38" s="145" t="n"/>
      <c r="C38" s="145" t="n"/>
      <c r="D38" s="145" t="n"/>
      <c r="E38" s="145" t="n"/>
      <c r="F38" s="141" t="n"/>
      <c r="G38" s="141" t="n"/>
      <c r="H38" s="141" t="n"/>
      <c r="I38" s="141" t="n"/>
      <c r="J38" s="141" t="n"/>
      <c r="K38" s="141" t="n"/>
      <c r="L38" s="141" t="n"/>
      <c r="M38" s="175">
        <f>#REF!</f>
        <v/>
      </c>
      <c r="N38" s="175">
        <f>#REF!</f>
        <v/>
      </c>
      <c r="O38" s="175">
        <f>#REF!</f>
        <v/>
      </c>
      <c r="P38" s="175">
        <f>#REF!</f>
        <v/>
      </c>
      <c r="Q38" s="175">
        <f>#REF!</f>
        <v/>
      </c>
      <c r="R38" s="175">
        <f>#REF!</f>
        <v/>
      </c>
      <c r="S38" s="175">
        <f>#REF!</f>
        <v/>
      </c>
      <c r="T38" s="175">
        <f>#REF!</f>
        <v/>
      </c>
      <c r="U38" s="175">
        <f>#REF!</f>
        <v/>
      </c>
      <c r="V38" s="175">
        <f>#REF!</f>
        <v/>
      </c>
      <c r="W38" s="175">
        <f>#REF!</f>
        <v/>
      </c>
      <c r="X38" s="175">
        <f>#REF!</f>
        <v/>
      </c>
      <c r="Y38" s="175">
        <f>#REF!</f>
        <v/>
      </c>
      <c r="Z38" s="175">
        <f>#REF!</f>
        <v/>
      </c>
      <c r="AA38" s="175">
        <f>#REF!</f>
        <v/>
      </c>
      <c r="AB38" s="175">
        <f>#REF!</f>
        <v/>
      </c>
      <c r="AC38" s="175">
        <f>#REF!</f>
        <v/>
      </c>
      <c r="AD38" s="88">
        <f>AD145</f>
        <v/>
      </c>
      <c r="AE38" s="88">
        <f>AE145</f>
        <v/>
      </c>
      <c r="AF38" s="88">
        <f>AF145</f>
        <v/>
      </c>
      <c r="AG38" s="88">
        <f>AG145</f>
        <v/>
      </c>
      <c r="AH38" s="88">
        <f>AH145</f>
        <v/>
      </c>
      <c r="AI38" s="88">
        <f>AI145</f>
        <v/>
      </c>
      <c r="AJ38" s="88">
        <f>AJ145</f>
        <v/>
      </c>
      <c r="AK38" s="88">
        <f>AK145</f>
        <v/>
      </c>
      <c r="AL38" s="88">
        <f>AL145</f>
        <v/>
      </c>
      <c r="AM38" s="88">
        <f>AM145</f>
        <v/>
      </c>
      <c r="AN38" s="88">
        <f>AN145</f>
        <v/>
      </c>
      <c r="AO38" s="88">
        <f>AO145</f>
        <v/>
      </c>
      <c r="AP38" s="108" t="n"/>
      <c r="AQ38">
        <f>AD38-AC38</f>
        <v/>
      </c>
    </row>
    <row r="39">
      <c r="A39" s="74" t="inlineStr">
        <is>
          <t>Trade receivables</t>
        </is>
      </c>
      <c r="B39" s="145" t="n"/>
      <c r="C39" s="145" t="n"/>
      <c r="D39" s="145" t="n"/>
      <c r="E39" s="145" t="n"/>
      <c r="F39" s="141" t="n"/>
      <c r="G39" s="141" t="n"/>
      <c r="H39" s="141" t="n"/>
      <c r="I39" s="141" t="n"/>
      <c r="J39" s="141" t="n"/>
      <c r="K39" s="141" t="n"/>
      <c r="L39" s="141" t="n"/>
      <c r="M39" s="175">
        <f>#REF!</f>
        <v/>
      </c>
      <c r="N39" s="175">
        <f>#REF!</f>
        <v/>
      </c>
      <c r="O39" s="175">
        <f>#REF!</f>
        <v/>
      </c>
      <c r="P39" s="175">
        <f>#REF!</f>
        <v/>
      </c>
      <c r="Q39" s="175">
        <f>#REF!</f>
        <v/>
      </c>
      <c r="R39" s="175">
        <f>#REF!</f>
        <v/>
      </c>
      <c r="S39" s="175">
        <f>#REF!</f>
        <v/>
      </c>
      <c r="T39" s="175">
        <f>#REF!</f>
        <v/>
      </c>
      <c r="U39" s="175">
        <f>#REF!</f>
        <v/>
      </c>
      <c r="V39" s="175">
        <f>#REF!</f>
        <v/>
      </c>
      <c r="W39" s="175">
        <f>#REF!</f>
        <v/>
      </c>
      <c r="X39" s="175">
        <f>#REF!</f>
        <v/>
      </c>
      <c r="Y39" s="175">
        <f>#REF!</f>
        <v/>
      </c>
      <c r="Z39" s="175">
        <f>#REF!</f>
        <v/>
      </c>
      <c r="AA39" s="175">
        <f>#REF!</f>
        <v/>
      </c>
      <c r="AB39" s="175">
        <f>#REF!</f>
        <v/>
      </c>
      <c r="AC39" s="175">
        <f>#REF!</f>
        <v/>
      </c>
      <c r="AD39" s="175">
        <f>Assumption!H157</f>
        <v/>
      </c>
      <c r="AE39" s="175">
        <f>Assumption!I157</f>
        <v/>
      </c>
      <c r="AF39" s="175">
        <f>Assumption!J157</f>
        <v/>
      </c>
      <c r="AG39" s="175">
        <f>Assumption!K157</f>
        <v/>
      </c>
      <c r="AH39" s="175">
        <f>Assumption!L157</f>
        <v/>
      </c>
      <c r="AI39" s="175">
        <f>Assumption!M157</f>
        <v/>
      </c>
      <c r="AJ39" s="175">
        <f>Assumption!N157</f>
        <v/>
      </c>
      <c r="AK39" s="175">
        <f>Assumption!O157</f>
        <v/>
      </c>
      <c r="AL39" s="175">
        <f>Assumption!P157</f>
        <v/>
      </c>
      <c r="AM39" s="175">
        <f>Assumption!Q157</f>
        <v/>
      </c>
      <c r="AN39" s="175">
        <f>Assumption!R157</f>
        <v/>
      </c>
      <c r="AO39" s="175">
        <f>Assumption!S157</f>
        <v/>
      </c>
      <c r="AP39" s="108" t="n"/>
      <c r="AQ39">
        <f>AD39-AC39</f>
        <v/>
      </c>
    </row>
    <row r="40">
      <c r="A40" s="74">
        <f>#REF!</f>
        <v/>
      </c>
      <c r="B40" s="145" t="n"/>
      <c r="C40" s="145" t="n"/>
      <c r="D40" s="145" t="n"/>
      <c r="E40" s="145" t="n"/>
      <c r="F40" s="141" t="n"/>
      <c r="G40" s="141" t="n"/>
      <c r="H40" s="141" t="n"/>
      <c r="I40" s="141" t="n"/>
      <c r="J40" s="141" t="n"/>
      <c r="K40" s="141" t="n"/>
      <c r="L40" s="141" t="n"/>
      <c r="M40" s="175">
        <f>#REF!</f>
        <v/>
      </c>
      <c r="N40" s="175">
        <f>#REF!</f>
        <v/>
      </c>
      <c r="O40" s="175">
        <f>#REF!</f>
        <v/>
      </c>
      <c r="P40" s="175">
        <f>#REF!</f>
        <v/>
      </c>
      <c r="Q40" s="175">
        <f>#REF!</f>
        <v/>
      </c>
      <c r="R40" s="175">
        <f>#REF!</f>
        <v/>
      </c>
      <c r="S40" s="175">
        <f>#REF!</f>
        <v/>
      </c>
      <c r="T40" s="175">
        <f>#REF!</f>
        <v/>
      </c>
      <c r="U40" s="175">
        <f>#REF!</f>
        <v/>
      </c>
      <c r="V40" s="175">
        <f>#REF!</f>
        <v/>
      </c>
      <c r="W40" s="175">
        <f>#REF!</f>
        <v/>
      </c>
      <c r="X40" s="175">
        <f>#REF!</f>
        <v/>
      </c>
      <c r="Y40" s="175">
        <f>#REF!</f>
        <v/>
      </c>
      <c r="Z40" s="175">
        <f>#REF!</f>
        <v/>
      </c>
      <c r="AA40" s="175">
        <f>#REF!</f>
        <v/>
      </c>
      <c r="AB40" s="175">
        <f>#REF!</f>
        <v/>
      </c>
      <c r="AC40" s="175">
        <f>#REF!</f>
        <v/>
      </c>
      <c r="AD40" s="175">
        <f>Assumption!#REF!</f>
        <v/>
      </c>
      <c r="AE40" s="175">
        <f>Assumption!#REF!</f>
        <v/>
      </c>
      <c r="AF40" s="175">
        <f>Assumption!#REF!</f>
        <v/>
      </c>
      <c r="AG40" s="175">
        <f>Assumption!#REF!</f>
        <v/>
      </c>
      <c r="AH40" s="175">
        <f>Assumption!#REF!</f>
        <v/>
      </c>
      <c r="AI40" s="175">
        <f>Assumption!#REF!</f>
        <v/>
      </c>
      <c r="AJ40" s="175">
        <f>Assumption!#REF!</f>
        <v/>
      </c>
      <c r="AK40" s="175">
        <f>Assumption!#REF!</f>
        <v/>
      </c>
      <c r="AL40" s="175">
        <f>Assumption!#REF!</f>
        <v/>
      </c>
      <c r="AM40" s="175">
        <f>Assumption!#REF!</f>
        <v/>
      </c>
      <c r="AN40" s="175">
        <f>Assumption!#REF!</f>
        <v/>
      </c>
      <c r="AO40" s="175">
        <f>Assumption!#REF!</f>
        <v/>
      </c>
      <c r="AP40" s="108" t="n"/>
      <c r="AQ40">
        <f>AD40-AC40</f>
        <v/>
      </c>
    </row>
    <row r="41">
      <c r="A41" s="74" t="inlineStr">
        <is>
          <t>Other receivable</t>
        </is>
      </c>
      <c r="B41" s="145" t="n"/>
      <c r="C41" s="145" t="n"/>
      <c r="D41" s="145" t="n"/>
      <c r="E41" s="145" t="n"/>
      <c r="F41" s="141" t="n"/>
      <c r="G41" s="141" t="n"/>
      <c r="H41" s="141" t="n"/>
      <c r="I41" s="141" t="n"/>
      <c r="J41" s="141" t="n"/>
      <c r="K41" s="141" t="n"/>
      <c r="L41" s="141" t="n"/>
      <c r="M41" s="175">
        <f>#REF!+#REF!+#REF!</f>
        <v/>
      </c>
      <c r="N41" s="175">
        <f>#REF!+#REF!+#REF!</f>
        <v/>
      </c>
      <c r="O41" s="175">
        <f>#REF!+#REF!+#REF!</f>
        <v/>
      </c>
      <c r="P41" s="175">
        <f>#REF!+#REF!+#REF!</f>
        <v/>
      </c>
      <c r="Q41" s="175">
        <f>#REF!+#REF!+#REF!</f>
        <v/>
      </c>
      <c r="R41" s="175">
        <f>#REF!+#REF!+#REF!</f>
        <v/>
      </c>
      <c r="S41" s="175">
        <f>#REF!+#REF!+#REF!</f>
        <v/>
      </c>
      <c r="T41" s="175">
        <f>#REF!+#REF!+#REF!</f>
        <v/>
      </c>
      <c r="U41" s="175">
        <f>#REF!+#REF!+#REF!</f>
        <v/>
      </c>
      <c r="V41" s="175">
        <f>#REF!+#REF!+#REF!</f>
        <v/>
      </c>
      <c r="W41" s="175">
        <f>#REF!+#REF!+#REF!</f>
        <v/>
      </c>
      <c r="X41" s="175">
        <f>#REF!+#REF!+#REF!</f>
        <v/>
      </c>
      <c r="Y41" s="175">
        <f>#REF!+#REF!+#REF!</f>
        <v/>
      </c>
      <c r="Z41" s="175">
        <f>#REF!+#REF!+#REF!</f>
        <v/>
      </c>
      <c r="AA41" s="175">
        <f>#REF!+#REF!+#REF!</f>
        <v/>
      </c>
      <c r="AB41" s="175">
        <f>#REF!+#REF!+#REF!</f>
        <v/>
      </c>
      <c r="AC41" s="175">
        <f>#REF!+#REF!+#REF!</f>
        <v/>
      </c>
      <c r="AD41" s="175">
        <f>Assumption!#REF!</f>
        <v/>
      </c>
      <c r="AE41" s="175">
        <f>Assumption!#REF!</f>
        <v/>
      </c>
      <c r="AF41" s="175">
        <f>Assumption!#REF!</f>
        <v/>
      </c>
      <c r="AG41" s="175">
        <f>Assumption!#REF!</f>
        <v/>
      </c>
      <c r="AH41" s="175">
        <f>Assumption!#REF!</f>
        <v/>
      </c>
      <c r="AI41" s="175">
        <f>Assumption!#REF!</f>
        <v/>
      </c>
      <c r="AJ41" s="175">
        <f>Assumption!#REF!</f>
        <v/>
      </c>
      <c r="AK41" s="175">
        <f>Assumption!#REF!</f>
        <v/>
      </c>
      <c r="AL41" s="175">
        <f>Assumption!#REF!</f>
        <v/>
      </c>
      <c r="AM41" s="175">
        <f>Assumption!#REF!</f>
        <v/>
      </c>
      <c r="AN41" s="175">
        <f>Assumption!#REF!</f>
        <v/>
      </c>
      <c r="AO41" s="175">
        <f>Assumption!#REF!</f>
        <v/>
      </c>
      <c r="AP41" s="108" t="n"/>
      <c r="AQ41">
        <f>AD41-AC41</f>
        <v/>
      </c>
    </row>
    <row r="42">
      <c r="A42" s="74">
        <f>#REF!</f>
        <v/>
      </c>
      <c r="B42" s="145" t="n"/>
      <c r="C42" s="145" t="n"/>
      <c r="D42" s="145" t="n"/>
      <c r="E42" s="145" t="n"/>
      <c r="F42" s="141" t="n"/>
      <c r="G42" s="141" t="n"/>
      <c r="H42" s="141" t="n"/>
      <c r="I42" s="141" t="n"/>
      <c r="J42" s="141" t="n"/>
      <c r="K42" s="141" t="n"/>
      <c r="L42" s="141" t="n"/>
      <c r="M42" s="175">
        <f>#REF!</f>
        <v/>
      </c>
      <c r="N42" s="175">
        <f>#REF!</f>
        <v/>
      </c>
      <c r="O42" s="175">
        <f>#REF!</f>
        <v/>
      </c>
      <c r="P42" s="175">
        <f>#REF!</f>
        <v/>
      </c>
      <c r="Q42" s="175">
        <f>#REF!</f>
        <v/>
      </c>
      <c r="R42" s="175">
        <f>#REF!</f>
        <v/>
      </c>
      <c r="S42" s="175">
        <f>#REF!</f>
        <v/>
      </c>
      <c r="T42" s="175">
        <f>#REF!</f>
        <v/>
      </c>
      <c r="U42" s="175">
        <f>#REF!</f>
        <v/>
      </c>
      <c r="V42" s="175">
        <f>#REF!</f>
        <v/>
      </c>
      <c r="W42" s="175">
        <f>#REF!</f>
        <v/>
      </c>
      <c r="X42" s="175">
        <f>#REF!</f>
        <v/>
      </c>
      <c r="Y42" s="175">
        <f>#REF!</f>
        <v/>
      </c>
      <c r="Z42" s="175">
        <f>#REF!</f>
        <v/>
      </c>
      <c r="AA42" s="175">
        <f>#REF!</f>
        <v/>
      </c>
      <c r="AB42" s="175">
        <f>#REF!</f>
        <v/>
      </c>
      <c r="AC42" s="175">
        <f>#REF!</f>
        <v/>
      </c>
      <c r="AD42" s="175">
        <f>Assumption!H160</f>
        <v/>
      </c>
      <c r="AE42" s="175">
        <f>Assumption!I160</f>
        <v/>
      </c>
      <c r="AF42" s="175">
        <f>Assumption!J160</f>
        <v/>
      </c>
      <c r="AG42" s="175">
        <f>Assumption!K160</f>
        <v/>
      </c>
      <c r="AH42" s="175">
        <f>Assumption!L160</f>
        <v/>
      </c>
      <c r="AI42" s="175">
        <f>Assumption!M160</f>
        <v/>
      </c>
      <c r="AJ42" s="175">
        <f>Assumption!N160</f>
        <v/>
      </c>
      <c r="AK42" s="175">
        <f>Assumption!O160</f>
        <v/>
      </c>
      <c r="AL42" s="175">
        <f>Assumption!P160</f>
        <v/>
      </c>
      <c r="AM42" s="175">
        <f>Assumption!Q160</f>
        <v/>
      </c>
      <c r="AN42" s="175">
        <f>Assumption!R160</f>
        <v/>
      </c>
      <c r="AO42" s="175">
        <f>Assumption!S160</f>
        <v/>
      </c>
      <c r="AP42" s="108" t="n"/>
      <c r="AQ42">
        <f>AD42-AC42</f>
        <v/>
      </c>
    </row>
    <row r="43">
      <c r="A43" s="74">
        <f>#REF!</f>
        <v/>
      </c>
      <c r="B43" s="145" t="n"/>
      <c r="C43" s="145" t="n"/>
      <c r="D43" s="145" t="n"/>
      <c r="E43" s="145" t="n"/>
      <c r="F43" s="141" t="n"/>
      <c r="G43" s="141" t="n"/>
      <c r="H43" s="141" t="n"/>
      <c r="I43" s="141" t="n"/>
      <c r="J43" s="141" t="n"/>
      <c r="K43" s="141" t="n"/>
      <c r="L43" s="141" t="n"/>
      <c r="M43" s="175">
        <f>#REF!</f>
        <v/>
      </c>
      <c r="N43" s="175">
        <f>#REF!</f>
        <v/>
      </c>
      <c r="O43" s="175">
        <f>#REF!</f>
        <v/>
      </c>
      <c r="P43" s="175">
        <f>#REF!</f>
        <v/>
      </c>
      <c r="Q43" s="175">
        <f>#REF!</f>
        <v/>
      </c>
      <c r="R43" s="175">
        <f>#REF!</f>
        <v/>
      </c>
      <c r="S43" s="175">
        <f>#REF!</f>
        <v/>
      </c>
      <c r="T43" s="175">
        <f>#REF!</f>
        <v/>
      </c>
      <c r="U43" s="175">
        <f>#REF!</f>
        <v/>
      </c>
      <c r="V43" s="175">
        <f>#REF!</f>
        <v/>
      </c>
      <c r="W43" s="175">
        <f>#REF!</f>
        <v/>
      </c>
      <c r="X43" s="175">
        <f>#REF!</f>
        <v/>
      </c>
      <c r="Y43" s="175">
        <f>#REF!</f>
        <v/>
      </c>
      <c r="Z43" s="175">
        <f>#REF!</f>
        <v/>
      </c>
      <c r="AA43" s="175">
        <f>#REF!</f>
        <v/>
      </c>
      <c r="AB43" s="175">
        <f>#REF!</f>
        <v/>
      </c>
      <c r="AC43" s="175">
        <f>#REF!</f>
        <v/>
      </c>
      <c r="AD43" s="175">
        <f>Assumption!H159</f>
        <v/>
      </c>
      <c r="AE43" s="175">
        <f>Assumption!I159</f>
        <v/>
      </c>
      <c r="AF43" s="175">
        <f>Assumption!J159</f>
        <v/>
      </c>
      <c r="AG43" s="175">
        <f>Assumption!K159</f>
        <v/>
      </c>
      <c r="AH43" s="175">
        <f>Assumption!L159</f>
        <v/>
      </c>
      <c r="AI43" s="175">
        <f>Assumption!M159</f>
        <v/>
      </c>
      <c r="AJ43" s="175">
        <f>Assumption!N159</f>
        <v/>
      </c>
      <c r="AK43" s="175">
        <f>Assumption!O159</f>
        <v/>
      </c>
      <c r="AL43" s="175">
        <f>Assumption!P159</f>
        <v/>
      </c>
      <c r="AM43" s="175">
        <f>Assumption!Q159</f>
        <v/>
      </c>
      <c r="AN43" s="175">
        <f>Assumption!R159</f>
        <v/>
      </c>
      <c r="AO43" s="175">
        <f>Assumption!S159</f>
        <v/>
      </c>
      <c r="AP43" s="108" t="n"/>
      <c r="AQ43">
        <f>AD43-AC43</f>
        <v/>
      </c>
    </row>
    <row r="44">
      <c r="A44" s="74" t="inlineStr">
        <is>
          <t>Others</t>
        </is>
      </c>
      <c r="B44" s="145" t="n"/>
      <c r="C44" s="145" t="n"/>
      <c r="D44" s="145" t="n"/>
      <c r="E44" s="145" t="n"/>
      <c r="F44" s="141" t="n"/>
      <c r="G44" s="141" t="n"/>
      <c r="H44" s="141" t="n"/>
      <c r="I44" s="141" t="n"/>
      <c r="J44" s="141" t="n"/>
      <c r="K44" s="141" t="n"/>
      <c r="L44" s="141" t="n"/>
      <c r="M44" s="86">
        <f>+M45-SUM(M38:M43)</f>
        <v/>
      </c>
      <c r="N44" s="86">
        <f>+N45-SUM(N38:N43)</f>
        <v/>
      </c>
      <c r="O44" s="86">
        <f>+O45-SUM(O38:O43)</f>
        <v/>
      </c>
      <c r="P44" s="86">
        <f>+P45-SUM(P38:P43)</f>
        <v/>
      </c>
      <c r="Q44" s="86">
        <f>+Q45-SUM(Q38:Q43)</f>
        <v/>
      </c>
      <c r="R44" s="86">
        <f>+R45-SUM(R38:R43)</f>
        <v/>
      </c>
      <c r="S44" s="86">
        <f>+S45-SUM(S38:S43)</f>
        <v/>
      </c>
      <c r="T44" s="86">
        <f>+T45-SUM(T38:T43)</f>
        <v/>
      </c>
      <c r="U44" s="86">
        <f>+U45-SUM(U38:U43)</f>
        <v/>
      </c>
      <c r="V44" s="86">
        <f>+V45-SUM(V38:V43)</f>
        <v/>
      </c>
      <c r="W44" s="86">
        <f>+W45-SUM(W38:W43)</f>
        <v/>
      </c>
      <c r="X44" s="86">
        <f>+X45-SUM(X38:X43)</f>
        <v/>
      </c>
      <c r="Y44" s="86">
        <f>+Y45-SUM(Y38:Y43)</f>
        <v/>
      </c>
      <c r="Z44" s="86">
        <f>+Z45-SUM(Z38:Z43)</f>
        <v/>
      </c>
      <c r="AA44" s="86">
        <f>+AA45-SUM(AA38:AA43)</f>
        <v/>
      </c>
      <c r="AB44" s="86">
        <f>+AB45-SUM(AB38:AB43)</f>
        <v/>
      </c>
      <c r="AC44" s="86">
        <f>+AC45-SUM(AC38:AC43)</f>
        <v/>
      </c>
      <c r="AD44" s="80">
        <f>Assumption!#REF!</f>
        <v/>
      </c>
      <c r="AE44" s="80">
        <f>Assumption!#REF!</f>
        <v/>
      </c>
      <c r="AF44" s="80">
        <f>Assumption!#REF!</f>
        <v/>
      </c>
      <c r="AG44" s="80">
        <f>Assumption!#REF!</f>
        <v/>
      </c>
      <c r="AH44" s="80">
        <f>Assumption!#REF!</f>
        <v/>
      </c>
      <c r="AI44" s="80">
        <f>Assumption!#REF!</f>
        <v/>
      </c>
      <c r="AJ44" s="80">
        <f>Assumption!#REF!</f>
        <v/>
      </c>
      <c r="AK44" s="80">
        <f>Assumption!#REF!</f>
        <v/>
      </c>
      <c r="AL44" s="80">
        <f>Assumption!#REF!</f>
        <v/>
      </c>
      <c r="AM44" s="80">
        <f>Assumption!#REF!</f>
        <v/>
      </c>
      <c r="AN44" s="80">
        <f>Assumption!#REF!</f>
        <v/>
      </c>
      <c r="AO44" s="80">
        <f>Assumption!#REF!</f>
        <v/>
      </c>
      <c r="AP44" s="108" t="n"/>
    </row>
    <row r="45">
      <c r="A45" s="40" t="inlineStr">
        <is>
          <t>Total current assets</t>
        </is>
      </c>
      <c r="B45" s="128" t="n"/>
      <c r="C45" s="128" t="n"/>
      <c r="D45" s="128" t="n"/>
      <c r="E45" s="128" t="n"/>
      <c r="F45" s="128" t="n"/>
      <c r="G45" s="128" t="n"/>
      <c r="H45" s="128" t="n"/>
      <c r="I45" s="128" t="n"/>
      <c r="J45" s="128" t="n"/>
      <c r="K45" s="128" t="n"/>
      <c r="L45" s="128" t="n"/>
      <c r="M45" s="149">
        <f>#REF!</f>
        <v/>
      </c>
      <c r="N45" s="149">
        <f>#REF!</f>
        <v/>
      </c>
      <c r="O45" s="149">
        <f>#REF!</f>
        <v/>
      </c>
      <c r="P45" s="149">
        <f>#REF!</f>
        <v/>
      </c>
      <c r="Q45" s="149">
        <f>#REF!</f>
        <v/>
      </c>
      <c r="R45" s="149">
        <f>#REF!</f>
        <v/>
      </c>
      <c r="S45" s="149">
        <f>#REF!</f>
        <v/>
      </c>
      <c r="T45" s="149">
        <f>#REF!</f>
        <v/>
      </c>
      <c r="U45" s="149">
        <f>#REF!</f>
        <v/>
      </c>
      <c r="V45" s="149">
        <f>#REF!</f>
        <v/>
      </c>
      <c r="W45" s="149">
        <f>#REF!</f>
        <v/>
      </c>
      <c r="X45" s="149">
        <f>#REF!</f>
        <v/>
      </c>
      <c r="Y45" s="149">
        <f>#REF!</f>
        <v/>
      </c>
      <c r="Z45" s="149">
        <f>#REF!</f>
        <v/>
      </c>
      <c r="AA45" s="149">
        <f>#REF!</f>
        <v/>
      </c>
      <c r="AB45" s="149">
        <f>#REF!</f>
        <v/>
      </c>
      <c r="AC45" s="149">
        <f>#REF!</f>
        <v/>
      </c>
      <c r="AD45" s="123">
        <f>SUM(AD38:AD44)</f>
        <v/>
      </c>
      <c r="AE45" s="123">
        <f>SUM(AE38:AE44)</f>
        <v/>
      </c>
      <c r="AF45" s="123">
        <f>SUM(AF38:AF44)</f>
        <v/>
      </c>
      <c r="AG45" s="123">
        <f>SUM(AG38:AG44)</f>
        <v/>
      </c>
      <c r="AH45" s="123">
        <f>SUM(AH38:AH44)</f>
        <v/>
      </c>
      <c r="AI45" s="123">
        <f>SUM(AI38:AI44)</f>
        <v/>
      </c>
      <c r="AJ45" s="123">
        <f>SUM(AJ38:AJ44)</f>
        <v/>
      </c>
      <c r="AK45" s="123">
        <f>SUM(AK38:AK44)</f>
        <v/>
      </c>
      <c r="AL45" s="123">
        <f>SUM(AL38:AL44)</f>
        <v/>
      </c>
      <c r="AM45" s="123">
        <f>SUM(AM38:AM44)</f>
        <v/>
      </c>
      <c r="AN45" s="123">
        <f>SUM(AN38:AN44)</f>
        <v/>
      </c>
      <c r="AO45" s="123">
        <f>SUM(AO38:AO44)</f>
        <v/>
      </c>
      <c r="AP45" s="108" t="n"/>
    </row>
    <row r="46">
      <c r="F46" s="142" t="n"/>
      <c r="G46" s="142" t="n"/>
      <c r="H46" s="142" t="n"/>
      <c r="I46" s="142" t="n"/>
      <c r="J46" s="142" t="n"/>
      <c r="K46" s="142" t="n"/>
      <c r="L46" s="142" t="n"/>
      <c r="M46" s="143" t="n"/>
      <c r="N46" s="143" t="n"/>
      <c r="O46" s="143" t="n"/>
      <c r="P46" s="143" t="n"/>
      <c r="Q46" s="143" t="n"/>
      <c r="R46" s="143" t="n"/>
      <c r="S46" s="143" t="n"/>
      <c r="T46" s="143" t="n"/>
      <c r="U46" s="143" t="n"/>
      <c r="V46" s="143" t="n"/>
      <c r="W46" s="143" t="n"/>
      <c r="X46" s="143" t="n"/>
      <c r="Y46" s="143" t="n"/>
      <c r="Z46" s="143" t="n"/>
      <c r="AA46" s="143" t="n"/>
      <c r="AB46" s="143" t="n"/>
      <c r="AC46" s="143" t="n"/>
      <c r="AD46" s="143" t="n"/>
      <c r="AE46" s="143" t="n"/>
      <c r="AF46" s="143" t="n"/>
      <c r="AG46" s="143" t="n"/>
      <c r="AH46" s="143" t="n"/>
      <c r="AI46" s="143" t="n"/>
      <c r="AJ46" s="143" t="n"/>
      <c r="AK46" s="143" t="n"/>
      <c r="AL46" s="143" t="n"/>
      <c r="AM46" s="143" t="n"/>
      <c r="AN46" s="143" t="n"/>
      <c r="AO46" s="143" t="n"/>
      <c r="AP46" s="108" t="n"/>
    </row>
    <row r="47">
      <c r="A47" s="22" t="inlineStr">
        <is>
          <t>Non-current assets</t>
        </is>
      </c>
      <c r="F47" s="142" t="n"/>
      <c r="G47" s="142" t="n"/>
      <c r="H47" s="142" t="n"/>
      <c r="I47" s="142" t="n"/>
      <c r="J47" s="142" t="n"/>
      <c r="K47" s="142" t="n"/>
      <c r="L47" s="142" t="n"/>
      <c r="M47" s="143" t="n"/>
      <c r="N47" s="143" t="n"/>
      <c r="O47" s="143" t="n"/>
      <c r="P47" s="143" t="n"/>
      <c r="Q47" s="143" t="n"/>
      <c r="R47" s="143" t="n"/>
      <c r="S47" s="143" t="n"/>
      <c r="T47" s="143" t="n"/>
      <c r="U47" s="143" t="n"/>
      <c r="V47" s="143" t="n"/>
      <c r="W47" s="143" t="n"/>
      <c r="X47" s="143" t="n"/>
      <c r="Y47" s="143" t="n"/>
      <c r="Z47" s="143" t="n"/>
      <c r="AA47" s="143" t="n"/>
      <c r="AB47" s="143">
        <f>SUM(AB50:AB51)</f>
        <v/>
      </c>
      <c r="AC47" s="143">
        <f>SUM(AC50:AC51)</f>
        <v/>
      </c>
      <c r="AD47" s="143">
        <f>SUM(AD50:AD51)</f>
        <v/>
      </c>
      <c r="AE47" s="143" t="n"/>
      <c r="AF47" s="143" t="n"/>
      <c r="AG47" s="143" t="n"/>
      <c r="AH47" s="143" t="n"/>
      <c r="AI47" s="143" t="n"/>
      <c r="AJ47" s="143" t="n"/>
      <c r="AK47" s="143" t="n"/>
      <c r="AL47" s="143" t="n"/>
      <c r="AM47" s="143" t="n"/>
      <c r="AN47" s="143" t="n"/>
      <c r="AO47" s="143" t="n"/>
      <c r="AP47" s="108" t="n"/>
    </row>
    <row r="48">
      <c r="A48" s="74" t="inlineStr">
        <is>
          <t>Property, plant and equipment</t>
        </is>
      </c>
      <c r="B48" s="145">
        <f>#REF!</f>
        <v/>
      </c>
      <c r="C48" s="145">
        <f>#REF!</f>
        <v/>
      </c>
      <c r="D48" s="145">
        <f>#REF!</f>
        <v/>
      </c>
      <c r="E48" s="145">
        <f>#REF!</f>
        <v/>
      </c>
      <c r="F48" s="141">
        <f>#REF!</f>
        <v/>
      </c>
      <c r="G48" s="141">
        <f>#REF!</f>
        <v/>
      </c>
      <c r="H48" s="141">
        <f>#REF!</f>
        <v/>
      </c>
      <c r="I48" s="141">
        <f>#REF!</f>
        <v/>
      </c>
      <c r="J48" s="141">
        <f>#REF!</f>
        <v/>
      </c>
      <c r="K48" s="141">
        <f>#REF!</f>
        <v/>
      </c>
      <c r="L48" s="141">
        <f>#REF!</f>
        <v/>
      </c>
      <c r="M48" s="175">
        <f>#REF!</f>
        <v/>
      </c>
      <c r="N48" s="175">
        <f>#REF!</f>
        <v/>
      </c>
      <c r="O48" s="175">
        <f>#REF!</f>
        <v/>
      </c>
      <c r="P48" s="175">
        <f>#REF!</f>
        <v/>
      </c>
      <c r="Q48" s="175">
        <f>#REF!</f>
        <v/>
      </c>
      <c r="R48" s="175">
        <f>#REF!</f>
        <v/>
      </c>
      <c r="S48" s="175">
        <f>#REF!</f>
        <v/>
      </c>
      <c r="T48" s="175">
        <f>#REF!</f>
        <v/>
      </c>
      <c r="U48" s="175">
        <f>#REF!</f>
        <v/>
      </c>
      <c r="V48" s="175">
        <f>#REF!</f>
        <v/>
      </c>
      <c r="W48" s="175">
        <f>#REF!</f>
        <v/>
      </c>
      <c r="X48" s="175">
        <f>#REF!</f>
        <v/>
      </c>
      <c r="Y48" s="175">
        <f>#REF!</f>
        <v/>
      </c>
      <c r="Z48" s="175">
        <f>#REF!</f>
        <v/>
      </c>
      <c r="AA48" s="175">
        <f>#REF!</f>
        <v/>
      </c>
      <c r="AB48" s="175">
        <f>#REF!</f>
        <v/>
      </c>
      <c r="AC48" s="175">
        <f>#REF!</f>
        <v/>
      </c>
      <c r="AD48" s="175">
        <f>Assumption!H180</f>
        <v/>
      </c>
      <c r="AE48" s="175">
        <f>Assumption!I180</f>
        <v/>
      </c>
      <c r="AF48" s="175">
        <f>Assumption!J180</f>
        <v/>
      </c>
      <c r="AG48" s="175">
        <f>Assumption!K180</f>
        <v/>
      </c>
      <c r="AH48" s="175">
        <f>Assumption!L180</f>
        <v/>
      </c>
      <c r="AI48" s="175">
        <f>Assumption!M180</f>
        <v/>
      </c>
      <c r="AJ48" s="175">
        <f>Assumption!#REF!</f>
        <v/>
      </c>
      <c r="AK48" s="175">
        <f>Assumption!O180</f>
        <v/>
      </c>
      <c r="AL48" s="175">
        <f>Assumption!P180</f>
        <v/>
      </c>
      <c r="AM48" s="175">
        <f>Assumption!Q180</f>
        <v/>
      </c>
      <c r="AN48" s="175">
        <f>Assumption!R180</f>
        <v/>
      </c>
      <c r="AO48" s="175">
        <f>Assumption!S180</f>
        <v/>
      </c>
      <c r="AP48" s="108" t="n"/>
      <c r="AQ48">
        <f>AD48-AC48</f>
        <v/>
      </c>
    </row>
    <row r="49">
      <c r="A49" s="74" t="inlineStr">
        <is>
          <t>Prepaid land lease payments</t>
        </is>
      </c>
      <c r="B49" s="145" t="n"/>
      <c r="C49" s="145" t="n"/>
      <c r="D49" s="145" t="n"/>
      <c r="E49" s="145" t="n"/>
      <c r="F49" s="141" t="n"/>
      <c r="G49" s="141" t="n"/>
      <c r="H49" s="141" t="n"/>
      <c r="I49" s="141" t="n"/>
      <c r="J49" s="141" t="n"/>
      <c r="K49" s="141" t="n"/>
      <c r="L49" s="141" t="n"/>
      <c r="M49" s="175">
        <f>#REF!</f>
        <v/>
      </c>
      <c r="N49" s="175">
        <f>#REF!</f>
        <v/>
      </c>
      <c r="O49" s="175">
        <f>#REF!</f>
        <v/>
      </c>
      <c r="P49" s="175">
        <f>#REF!</f>
        <v/>
      </c>
      <c r="Q49" s="175">
        <f>#REF!</f>
        <v/>
      </c>
      <c r="R49" s="175">
        <f>#REF!</f>
        <v/>
      </c>
      <c r="S49" s="175">
        <f>#REF!</f>
        <v/>
      </c>
      <c r="T49" s="175">
        <f>#REF!</f>
        <v/>
      </c>
      <c r="U49" s="175">
        <f>#REF!</f>
        <v/>
      </c>
      <c r="V49" s="175">
        <f>#REF!</f>
        <v/>
      </c>
      <c r="W49" s="175">
        <f>#REF!</f>
        <v/>
      </c>
      <c r="X49" s="175">
        <f>#REF!</f>
        <v/>
      </c>
      <c r="Y49" s="175">
        <f>#REF!</f>
        <v/>
      </c>
      <c r="Z49" s="175">
        <f>#REF!</f>
        <v/>
      </c>
      <c r="AA49" s="175">
        <f>#REF!</f>
        <v/>
      </c>
      <c r="AB49" s="175">
        <f>#REF!</f>
        <v/>
      </c>
      <c r="AC49" s="175">
        <f>#REF!</f>
        <v/>
      </c>
      <c r="AD49" s="175">
        <f>Assumption!#REF!</f>
        <v/>
      </c>
      <c r="AE49" s="175">
        <f>Assumption!#REF!</f>
        <v/>
      </c>
      <c r="AF49" s="175">
        <f>Assumption!#REF!</f>
        <v/>
      </c>
      <c r="AG49" s="175">
        <f>Assumption!#REF!</f>
        <v/>
      </c>
      <c r="AH49" s="175">
        <f>Assumption!#REF!</f>
        <v/>
      </c>
      <c r="AI49" s="175">
        <f>Assumption!#REF!</f>
        <v/>
      </c>
      <c r="AJ49" s="175">
        <f>Assumption!#REF!</f>
        <v/>
      </c>
      <c r="AK49" s="175">
        <f>Assumption!#REF!</f>
        <v/>
      </c>
      <c r="AL49" s="175">
        <f>Assumption!#REF!</f>
        <v/>
      </c>
      <c r="AM49" s="175">
        <f>Assumption!#REF!</f>
        <v/>
      </c>
      <c r="AN49" s="175">
        <f>Assumption!#REF!</f>
        <v/>
      </c>
      <c r="AO49" s="175">
        <f>Assumption!#REF!</f>
        <v/>
      </c>
      <c r="AP49" s="108" t="n"/>
      <c r="AQ49">
        <f>AD49-AC49</f>
        <v/>
      </c>
    </row>
    <row r="50">
      <c r="A50" s="74" t="inlineStr">
        <is>
          <t>Goodwill</t>
        </is>
      </c>
      <c r="B50" s="145">
        <f>#REF!</f>
        <v/>
      </c>
      <c r="C50" s="145">
        <f>#REF!</f>
        <v/>
      </c>
      <c r="D50" s="145">
        <f>#REF!</f>
        <v/>
      </c>
      <c r="E50" s="145">
        <f>#REF!</f>
        <v/>
      </c>
      <c r="F50" s="141">
        <f>#REF!</f>
        <v/>
      </c>
      <c r="G50" s="141">
        <f>#REF!</f>
        <v/>
      </c>
      <c r="H50" s="141">
        <f>#REF!</f>
        <v/>
      </c>
      <c r="I50" s="141">
        <f>#REF!</f>
        <v/>
      </c>
      <c r="J50" s="141">
        <f>#REF!</f>
        <v/>
      </c>
      <c r="K50" s="141">
        <f>#REF!</f>
        <v/>
      </c>
      <c r="L50" s="141">
        <f>#REF!</f>
        <v/>
      </c>
      <c r="M50" s="175">
        <f>#REF!</f>
        <v/>
      </c>
      <c r="N50" s="175">
        <f>#REF!</f>
        <v/>
      </c>
      <c r="O50" s="175">
        <f>#REF!</f>
        <v/>
      </c>
      <c r="P50" s="175">
        <f>#REF!</f>
        <v/>
      </c>
      <c r="Q50" s="175">
        <f>#REF!</f>
        <v/>
      </c>
      <c r="R50" s="175">
        <f>#REF!</f>
        <v/>
      </c>
      <c r="S50" s="175">
        <f>#REF!</f>
        <v/>
      </c>
      <c r="T50" s="175">
        <f>#REF!</f>
        <v/>
      </c>
      <c r="U50" s="175">
        <f>#REF!</f>
        <v/>
      </c>
      <c r="V50" s="175">
        <f>#REF!</f>
        <v/>
      </c>
      <c r="W50" s="175">
        <f>#REF!</f>
        <v/>
      </c>
      <c r="X50" s="175">
        <f>#REF!</f>
        <v/>
      </c>
      <c r="Y50" s="175">
        <f>#REF!</f>
        <v/>
      </c>
      <c r="Z50" s="175">
        <f>#REF!</f>
        <v/>
      </c>
      <c r="AA50" s="175">
        <f>#REF!</f>
        <v/>
      </c>
      <c r="AB50" s="175">
        <f>#REF!</f>
        <v/>
      </c>
      <c r="AC50" s="175">
        <f>#REF!</f>
        <v/>
      </c>
      <c r="AD50" s="175">
        <f>Assumption!#REF!</f>
        <v/>
      </c>
      <c r="AE50" s="175">
        <f>Assumption!#REF!</f>
        <v/>
      </c>
      <c r="AF50" s="175">
        <f>Assumption!#REF!</f>
        <v/>
      </c>
      <c r="AG50" s="175">
        <f>Assumption!#REF!</f>
        <v/>
      </c>
      <c r="AH50" s="175">
        <f>Assumption!#REF!</f>
        <v/>
      </c>
      <c r="AI50" s="175">
        <f>Assumption!#REF!</f>
        <v/>
      </c>
      <c r="AJ50" s="175">
        <f>Assumption!#REF!</f>
        <v/>
      </c>
      <c r="AK50" s="175">
        <f>Assumption!#REF!</f>
        <v/>
      </c>
      <c r="AL50" s="175">
        <f>Assumption!#REF!</f>
        <v/>
      </c>
      <c r="AM50" s="175">
        <f>Assumption!#REF!</f>
        <v/>
      </c>
      <c r="AN50" s="175">
        <f>Assumption!#REF!</f>
        <v/>
      </c>
      <c r="AO50" s="175">
        <f>Assumption!#REF!</f>
        <v/>
      </c>
      <c r="AP50" s="108" t="n"/>
      <c r="AQ50">
        <f>AD50-AC50</f>
        <v/>
      </c>
    </row>
    <row r="51">
      <c r="A51" s="74" t="inlineStr">
        <is>
          <t>Other intangible assets</t>
        </is>
      </c>
      <c r="B51" s="145" t="n"/>
      <c r="C51" s="145" t="n"/>
      <c r="D51" s="145" t="n"/>
      <c r="E51" s="145" t="n"/>
      <c r="F51" s="141" t="n"/>
      <c r="G51" s="141" t="n"/>
      <c r="H51" s="141" t="n"/>
      <c r="I51" s="141" t="n"/>
      <c r="J51" s="141" t="n"/>
      <c r="K51" s="141" t="n"/>
      <c r="L51" s="141" t="n"/>
      <c r="M51" s="175">
        <f>#REF!</f>
        <v/>
      </c>
      <c r="N51" s="175">
        <f>#REF!</f>
        <v/>
      </c>
      <c r="O51" s="175">
        <f>#REF!</f>
        <v/>
      </c>
      <c r="P51" s="175">
        <f>#REF!</f>
        <v/>
      </c>
      <c r="Q51" s="175">
        <f>#REF!</f>
        <v/>
      </c>
      <c r="R51" s="175">
        <f>#REF!</f>
        <v/>
      </c>
      <c r="S51" s="175">
        <f>#REF!</f>
        <v/>
      </c>
      <c r="T51" s="175">
        <f>#REF!</f>
        <v/>
      </c>
      <c r="U51" s="175">
        <f>#REF!</f>
        <v/>
      </c>
      <c r="V51" s="175">
        <f>#REF!</f>
        <v/>
      </c>
      <c r="W51" s="175">
        <f>#REF!</f>
        <v/>
      </c>
      <c r="X51" s="175">
        <f>#REF!</f>
        <v/>
      </c>
      <c r="Y51" s="175">
        <f>#REF!</f>
        <v/>
      </c>
      <c r="Z51" s="175">
        <f>#REF!</f>
        <v/>
      </c>
      <c r="AA51" s="175">
        <f>#REF!</f>
        <v/>
      </c>
      <c r="AB51" s="175">
        <f>#REF!</f>
        <v/>
      </c>
      <c r="AC51" s="175">
        <f>#REF!</f>
        <v/>
      </c>
      <c r="AD51" s="175">
        <f>Assumption!#REF!</f>
        <v/>
      </c>
      <c r="AE51" s="175">
        <f>Assumption!#REF!</f>
        <v/>
      </c>
      <c r="AF51" s="175">
        <f>Assumption!#REF!</f>
        <v/>
      </c>
      <c r="AG51" s="175">
        <f>Assumption!#REF!</f>
        <v/>
      </c>
      <c r="AH51" s="175">
        <f>Assumption!#REF!</f>
        <v/>
      </c>
      <c r="AI51" s="175">
        <f>Assumption!#REF!</f>
        <v/>
      </c>
      <c r="AJ51" s="175">
        <f>Assumption!#REF!</f>
        <v/>
      </c>
      <c r="AK51" s="175">
        <f>Assumption!#REF!</f>
        <v/>
      </c>
      <c r="AL51" s="175">
        <f>Assumption!#REF!</f>
        <v/>
      </c>
      <c r="AM51" s="175">
        <f>Assumption!#REF!</f>
        <v/>
      </c>
      <c r="AN51" s="175">
        <f>Assumption!#REF!</f>
        <v/>
      </c>
      <c r="AO51" s="175">
        <f>Assumption!#REF!</f>
        <v/>
      </c>
      <c r="AP51" s="108" t="n"/>
      <c r="AQ51">
        <f>AD51-AC51</f>
        <v/>
      </c>
    </row>
    <row r="52">
      <c r="A52" s="74" t="inlineStr">
        <is>
          <t>Investments in JV/Associates</t>
        </is>
      </c>
      <c r="B52" s="145" t="n"/>
      <c r="C52" s="145" t="n"/>
      <c r="D52" s="145" t="n"/>
      <c r="E52" s="145" t="n"/>
      <c r="F52" s="141" t="n"/>
      <c r="G52" s="141" t="n"/>
      <c r="H52" s="141" t="n"/>
      <c r="I52" s="141" t="n"/>
      <c r="J52" s="141" t="n"/>
      <c r="K52" s="141" t="n"/>
      <c r="L52" s="141" t="n"/>
      <c r="M52" s="175">
        <f>#REF!+#REF!</f>
        <v/>
      </c>
      <c r="N52" s="175">
        <f>#REF!+#REF!</f>
        <v/>
      </c>
      <c r="O52" s="175">
        <f>#REF!+#REF!</f>
        <v/>
      </c>
      <c r="P52" s="175">
        <f>#REF!+#REF!</f>
        <v/>
      </c>
      <c r="Q52" s="175">
        <f>#REF!+#REF!</f>
        <v/>
      </c>
      <c r="R52" s="175">
        <f>#REF!+#REF!</f>
        <v/>
      </c>
      <c r="S52" s="175">
        <f>#REF!+#REF!</f>
        <v/>
      </c>
      <c r="T52" s="175">
        <f>#REF!+#REF!</f>
        <v/>
      </c>
      <c r="U52" s="175">
        <f>#REF!+#REF!</f>
        <v/>
      </c>
      <c r="V52" s="175">
        <f>#REF!+#REF!</f>
        <v/>
      </c>
      <c r="W52" s="175">
        <f>#REF!+#REF!</f>
        <v/>
      </c>
      <c r="X52" s="175">
        <f>#REF!+#REF!</f>
        <v/>
      </c>
      <c r="Y52" s="175">
        <f>#REF!+#REF!</f>
        <v/>
      </c>
      <c r="Z52" s="175">
        <f>#REF!+#REF!</f>
        <v/>
      </c>
      <c r="AA52" s="175">
        <f>#REF!+#REF!</f>
        <v/>
      </c>
      <c r="AB52" s="175">
        <f>#REF!+#REF!</f>
        <v/>
      </c>
      <c r="AC52" s="175">
        <f>#REF!+#REF!</f>
        <v/>
      </c>
      <c r="AD52" s="175">
        <f>Assumption!#REF!</f>
        <v/>
      </c>
      <c r="AE52" s="175">
        <f>Assumption!#REF!</f>
        <v/>
      </c>
      <c r="AF52" s="175">
        <f>Assumption!#REF!</f>
        <v/>
      </c>
      <c r="AG52" s="175">
        <f>Assumption!#REF!</f>
        <v/>
      </c>
      <c r="AH52" s="175">
        <f>Assumption!#REF!</f>
        <v/>
      </c>
      <c r="AI52" s="175">
        <f>Assumption!#REF!</f>
        <v/>
      </c>
      <c r="AJ52" s="175">
        <f>Assumption!#REF!</f>
        <v/>
      </c>
      <c r="AK52" s="175">
        <f>Assumption!#REF!</f>
        <v/>
      </c>
      <c r="AL52" s="175">
        <f>Assumption!#REF!</f>
        <v/>
      </c>
      <c r="AM52" s="175">
        <f>Assumption!#REF!</f>
        <v/>
      </c>
      <c r="AN52" s="175">
        <f>Assumption!#REF!</f>
        <v/>
      </c>
      <c r="AO52" s="175">
        <f>Assumption!#REF!</f>
        <v/>
      </c>
      <c r="AP52" s="108" t="n"/>
      <c r="AQ52">
        <f>AD52-AC52</f>
        <v/>
      </c>
    </row>
    <row r="53">
      <c r="A53" s="74" t="inlineStr">
        <is>
          <t>Loans receivables</t>
        </is>
      </c>
      <c r="B53" s="145" t="n"/>
      <c r="C53" s="145" t="n"/>
      <c r="D53" s="145" t="n"/>
      <c r="E53" s="145" t="n"/>
      <c r="F53" s="141" t="n"/>
      <c r="G53" s="141" t="n"/>
      <c r="H53" s="141" t="n"/>
      <c r="I53" s="141" t="n"/>
      <c r="J53" s="141" t="n"/>
      <c r="K53" s="141" t="n"/>
      <c r="L53" s="141" t="n"/>
      <c r="M53" s="143" t="n"/>
      <c r="N53" s="175">
        <f>#REF!</f>
        <v/>
      </c>
      <c r="O53" s="175">
        <f>#REF!</f>
        <v/>
      </c>
      <c r="P53" s="175">
        <f>#REF!</f>
        <v/>
      </c>
      <c r="Q53" s="175">
        <f>#REF!</f>
        <v/>
      </c>
      <c r="R53" s="175">
        <f>#REF!</f>
        <v/>
      </c>
      <c r="S53" s="175">
        <f>#REF!</f>
        <v/>
      </c>
      <c r="T53" s="175">
        <f>#REF!</f>
        <v/>
      </c>
      <c r="U53" s="175">
        <f>#REF!</f>
        <v/>
      </c>
      <c r="V53" s="175">
        <f>#REF!</f>
        <v/>
      </c>
      <c r="W53" s="175">
        <f>#REF!</f>
        <v/>
      </c>
      <c r="X53" s="175">
        <f>#REF!</f>
        <v/>
      </c>
      <c r="Y53" s="175">
        <f>#REF!</f>
        <v/>
      </c>
      <c r="Z53" s="175">
        <f>#REF!</f>
        <v/>
      </c>
      <c r="AA53" s="175">
        <f>#REF!</f>
        <v/>
      </c>
      <c r="AB53" s="175">
        <f>#REF!</f>
        <v/>
      </c>
      <c r="AC53" s="175">
        <f>#REF!</f>
        <v/>
      </c>
      <c r="AD53" s="175">
        <f>Assumption!#REF!</f>
        <v/>
      </c>
      <c r="AE53" s="175">
        <f>Assumption!#REF!</f>
        <v/>
      </c>
      <c r="AF53" s="175">
        <f>Assumption!#REF!</f>
        <v/>
      </c>
      <c r="AG53" s="175">
        <f>Assumption!#REF!</f>
        <v/>
      </c>
      <c r="AH53" s="175">
        <f>Assumption!#REF!</f>
        <v/>
      </c>
      <c r="AI53" s="175">
        <f>Assumption!#REF!</f>
        <v/>
      </c>
      <c r="AJ53" s="175">
        <f>Assumption!#REF!</f>
        <v/>
      </c>
      <c r="AK53" s="175">
        <f>Assumption!#REF!</f>
        <v/>
      </c>
      <c r="AL53" s="175">
        <f>Assumption!#REF!</f>
        <v/>
      </c>
      <c r="AM53" s="175">
        <f>Assumption!#REF!</f>
        <v/>
      </c>
      <c r="AN53" s="175">
        <f>Assumption!#REF!</f>
        <v/>
      </c>
      <c r="AO53" s="175">
        <f>Assumption!#REF!</f>
        <v/>
      </c>
      <c r="AP53" s="108" t="n"/>
      <c r="AQ53">
        <f>AD53-AC53</f>
        <v/>
      </c>
    </row>
    <row r="54">
      <c r="A54" s="74">
        <f>#REF!</f>
        <v/>
      </c>
      <c r="B54" s="145">
        <f>#REF!</f>
        <v/>
      </c>
      <c r="C54" s="145">
        <f>#REF!</f>
        <v/>
      </c>
      <c r="D54" s="145">
        <f>#REF!</f>
        <v/>
      </c>
      <c r="E54" s="145">
        <f>#REF!</f>
        <v/>
      </c>
      <c r="F54" s="141">
        <f>#REF!</f>
        <v/>
      </c>
      <c r="G54" s="141">
        <f>#REF!</f>
        <v/>
      </c>
      <c r="H54" s="141">
        <f>#REF!</f>
        <v/>
      </c>
      <c r="I54" s="141">
        <f>#REF!</f>
        <v/>
      </c>
      <c r="J54" s="141">
        <f>#REF!</f>
        <v/>
      </c>
      <c r="K54" s="141">
        <f>#REF!</f>
        <v/>
      </c>
      <c r="L54" s="141">
        <f>#REF!</f>
        <v/>
      </c>
      <c r="M54" s="175">
        <f>#REF!</f>
        <v/>
      </c>
      <c r="N54" s="175">
        <f>#REF!</f>
        <v/>
      </c>
      <c r="O54" s="175">
        <f>#REF!</f>
        <v/>
      </c>
      <c r="P54" s="175">
        <f>#REF!</f>
        <v/>
      </c>
      <c r="Q54" s="175">
        <f>#REF!</f>
        <v/>
      </c>
      <c r="R54" s="175">
        <f>#REF!</f>
        <v/>
      </c>
      <c r="S54" s="175">
        <f>#REF!</f>
        <v/>
      </c>
      <c r="T54" s="175">
        <f>#REF!</f>
        <v/>
      </c>
      <c r="U54" s="175">
        <f>#REF!</f>
        <v/>
      </c>
      <c r="V54" s="175">
        <f>#REF!</f>
        <v/>
      </c>
      <c r="W54" s="175">
        <f>#REF!</f>
        <v/>
      </c>
      <c r="X54" s="175">
        <f>#REF!</f>
        <v/>
      </c>
      <c r="Y54" s="175">
        <f>#REF!</f>
        <v/>
      </c>
      <c r="Z54" s="175">
        <f>#REF!</f>
        <v/>
      </c>
      <c r="AA54" s="175">
        <f>#REF!</f>
        <v/>
      </c>
      <c r="AB54" s="175">
        <f>#REF!</f>
        <v/>
      </c>
      <c r="AC54" s="175">
        <f>#REF!</f>
        <v/>
      </c>
      <c r="AD54" s="175">
        <f>Assumption!#REF!</f>
        <v/>
      </c>
      <c r="AE54" s="175">
        <f>Assumption!#REF!</f>
        <v/>
      </c>
      <c r="AF54" s="175">
        <f>Assumption!#REF!</f>
        <v/>
      </c>
      <c r="AG54" s="175">
        <f>Assumption!#REF!</f>
        <v/>
      </c>
      <c r="AH54" s="175">
        <f>Assumption!#REF!</f>
        <v/>
      </c>
      <c r="AI54" s="175">
        <f>Assumption!#REF!</f>
        <v/>
      </c>
      <c r="AJ54" s="175">
        <f>Assumption!#REF!</f>
        <v/>
      </c>
      <c r="AK54" s="175">
        <f>Assumption!#REF!</f>
        <v/>
      </c>
      <c r="AL54" s="175">
        <f>Assumption!#REF!</f>
        <v/>
      </c>
      <c r="AM54" s="175">
        <f>Assumption!#REF!</f>
        <v/>
      </c>
      <c r="AN54" s="175">
        <f>Assumption!#REF!</f>
        <v/>
      </c>
      <c r="AO54" s="175">
        <f>Assumption!#REF!</f>
        <v/>
      </c>
      <c r="AP54" s="108" t="n"/>
      <c r="AQ54">
        <f>AD54-AC54</f>
        <v/>
      </c>
    </row>
    <row r="55">
      <c r="A55" s="74" t="inlineStr">
        <is>
          <t>Others</t>
        </is>
      </c>
      <c r="B55" s="145" t="n"/>
      <c r="C55" s="145" t="n"/>
      <c r="D55" s="145" t="n"/>
      <c r="E55" s="145" t="n"/>
      <c r="F55" s="145" t="n"/>
      <c r="G55" s="145" t="n"/>
      <c r="H55" s="145" t="n"/>
      <c r="I55" s="145" t="n"/>
      <c r="J55" s="145" t="n"/>
      <c r="K55" s="145" t="n"/>
      <c r="L55" s="145" t="n"/>
      <c r="M55" s="86">
        <f>M56-SUM(M48:M54)</f>
        <v/>
      </c>
      <c r="N55" s="86">
        <f>N56-SUM(N48:N54)</f>
        <v/>
      </c>
      <c r="O55" s="86">
        <f>O56-SUM(O48:O54)</f>
        <v/>
      </c>
      <c r="P55" s="86">
        <f>P56-SUM(P48:P54)</f>
        <v/>
      </c>
      <c r="Q55" s="86">
        <f>Q56-SUM(Q48:Q54)</f>
        <v/>
      </c>
      <c r="R55" s="86">
        <f>R56-SUM(R48:R54)</f>
        <v/>
      </c>
      <c r="S55" s="86">
        <f>S56-SUM(S48:S54)</f>
        <v/>
      </c>
      <c r="T55" s="86">
        <f>T56-SUM(T48:T54)</f>
        <v/>
      </c>
      <c r="U55" s="86">
        <f>U56-SUM(U48:U54)</f>
        <v/>
      </c>
      <c r="V55" s="86">
        <f>V56-SUM(V48:V54)</f>
        <v/>
      </c>
      <c r="W55" s="86">
        <f>W56-SUM(W48:W54)</f>
        <v/>
      </c>
      <c r="X55" s="86">
        <f>X56-SUM(X48:X54)</f>
        <v/>
      </c>
      <c r="Y55" s="86">
        <f>Y56-SUM(Y48:Y54)</f>
        <v/>
      </c>
      <c r="Z55" s="86">
        <f>Z56-SUM(Z48:Z54)</f>
        <v/>
      </c>
      <c r="AA55" s="86">
        <f>AA56-SUM(AA48:AA54)</f>
        <v/>
      </c>
      <c r="AB55" s="86">
        <f>AB56-SUM(AB48:AB54)</f>
        <v/>
      </c>
      <c r="AC55" s="86">
        <f>AC56-SUM(AC48:AC54)</f>
        <v/>
      </c>
      <c r="AD55" s="80">
        <f>Assumption!#REF!</f>
        <v/>
      </c>
      <c r="AE55" s="80">
        <f>Assumption!#REF!</f>
        <v/>
      </c>
      <c r="AF55" s="80">
        <f>Assumption!#REF!</f>
        <v/>
      </c>
      <c r="AG55" s="80">
        <f>Assumption!#REF!</f>
        <v/>
      </c>
      <c r="AH55" s="80">
        <f>Assumption!#REF!</f>
        <v/>
      </c>
      <c r="AI55" s="80">
        <f>Assumption!#REF!</f>
        <v/>
      </c>
      <c r="AJ55" s="80">
        <f>Assumption!#REF!</f>
        <v/>
      </c>
      <c r="AK55" s="80">
        <f>Assumption!#REF!</f>
        <v/>
      </c>
      <c r="AL55" s="80">
        <f>Assumption!#REF!</f>
        <v/>
      </c>
      <c r="AM55" s="80">
        <f>Assumption!#REF!</f>
        <v/>
      </c>
      <c r="AN55" s="80">
        <f>Assumption!#REF!</f>
        <v/>
      </c>
      <c r="AO55" s="80">
        <f>Assumption!#REF!</f>
        <v/>
      </c>
      <c r="AP55" s="108" t="n"/>
      <c r="AQ55">
        <f>AD55-AC55</f>
        <v/>
      </c>
    </row>
    <row r="56">
      <c r="A56" s="40" t="inlineStr">
        <is>
          <t>Total non-current assets</t>
        </is>
      </c>
      <c r="B56" s="128" t="n"/>
      <c r="C56" s="128" t="n"/>
      <c r="D56" s="128" t="n"/>
      <c r="E56" s="128" t="n"/>
      <c r="F56" s="128" t="n"/>
      <c r="G56" s="128" t="n"/>
      <c r="H56" s="128" t="n"/>
      <c r="I56" s="128" t="n"/>
      <c r="J56" s="128" t="n"/>
      <c r="K56" s="128" t="n"/>
      <c r="L56" s="128" t="n"/>
      <c r="M56" s="149">
        <f>#REF!</f>
        <v/>
      </c>
      <c r="N56" s="149">
        <f>#REF!</f>
        <v/>
      </c>
      <c r="O56" s="149">
        <f>#REF!</f>
        <v/>
      </c>
      <c r="P56" s="149">
        <f>#REF!</f>
        <v/>
      </c>
      <c r="Q56" s="149">
        <f>#REF!</f>
        <v/>
      </c>
      <c r="R56" s="149">
        <f>#REF!</f>
        <v/>
      </c>
      <c r="S56" s="149">
        <f>#REF!</f>
        <v/>
      </c>
      <c r="T56" s="149">
        <f>#REF!</f>
        <v/>
      </c>
      <c r="U56" s="149">
        <f>#REF!</f>
        <v/>
      </c>
      <c r="V56" s="149">
        <f>#REF!</f>
        <v/>
      </c>
      <c r="W56" s="149">
        <f>#REF!</f>
        <v/>
      </c>
      <c r="X56" s="149">
        <f>#REF!</f>
        <v/>
      </c>
      <c r="Y56" s="149">
        <f>#REF!</f>
        <v/>
      </c>
      <c r="Z56" s="149">
        <f>#REF!</f>
        <v/>
      </c>
      <c r="AA56" s="149">
        <f>#REF!</f>
        <v/>
      </c>
      <c r="AB56" s="149">
        <f>#REF!</f>
        <v/>
      </c>
      <c r="AC56" s="149">
        <f>#REF!</f>
        <v/>
      </c>
      <c r="AD56" s="123">
        <f>SUM(AD48:AD55)</f>
        <v/>
      </c>
      <c r="AE56" s="123">
        <f>SUM(AE48:AE55)</f>
        <v/>
      </c>
      <c r="AF56" s="123">
        <f>SUM(AF48:AF55)</f>
        <v/>
      </c>
      <c r="AG56" s="123">
        <f>SUM(AG48:AG55)</f>
        <v/>
      </c>
      <c r="AH56" s="123">
        <f>SUM(AH48:AH55)</f>
        <v/>
      </c>
      <c r="AI56" s="123">
        <f>SUM(AI48:AI55)</f>
        <v/>
      </c>
      <c r="AJ56" s="123">
        <f>SUM(AJ48:AJ55)</f>
        <v/>
      </c>
      <c r="AK56" s="123">
        <f>SUM(AK48:AK55)</f>
        <v/>
      </c>
      <c r="AL56" s="123">
        <f>SUM(AL48:AL55)</f>
        <v/>
      </c>
      <c r="AM56" s="123">
        <f>SUM(AM48:AM55)</f>
        <v/>
      </c>
      <c r="AN56" s="123">
        <f>SUM(AN48:AN55)</f>
        <v/>
      </c>
      <c r="AO56" s="123">
        <f>SUM(AO48:AO55)</f>
        <v/>
      </c>
      <c r="AP56" s="108" t="n"/>
    </row>
    <row r="57">
      <c r="M57" s="31" t="n"/>
      <c r="N57" s="31" t="n"/>
      <c r="O57" s="31" t="n"/>
      <c r="P57" s="31" t="n"/>
      <c r="Q57" s="31" t="n"/>
      <c r="R57" s="31" t="n"/>
      <c r="S57" s="31" t="n"/>
      <c r="T57" s="31" t="n"/>
      <c r="U57" s="31" t="n"/>
      <c r="V57" s="31" t="n"/>
      <c r="W57" s="31" t="n"/>
      <c r="X57" s="31" t="n"/>
      <c r="Y57" s="31" t="n"/>
      <c r="Z57" s="31" t="n"/>
      <c r="AA57" s="31" t="n"/>
      <c r="AB57" s="31" t="n"/>
      <c r="AC57" s="31" t="n"/>
      <c r="AD57" s="31" t="n"/>
      <c r="AE57" s="31" t="n"/>
      <c r="AF57" s="31" t="n"/>
      <c r="AG57" s="31" t="n"/>
      <c r="AH57" s="31" t="n"/>
      <c r="AI57" s="31" t="n"/>
      <c r="AJ57" s="31" t="n"/>
      <c r="AK57" s="31" t="n"/>
      <c r="AL57" s="31" t="n"/>
      <c r="AM57" s="31" t="n"/>
      <c r="AN57" s="31" t="n"/>
      <c r="AO57" s="31" t="n"/>
      <c r="AP57" s="108" t="n"/>
    </row>
    <row r="58">
      <c r="A58" s="22" t="inlineStr">
        <is>
          <t>Total assets</t>
        </is>
      </c>
      <c r="B58" s="128" t="n"/>
      <c r="C58" s="128" t="n"/>
      <c r="D58" s="128" t="n"/>
      <c r="E58" s="128" t="n"/>
      <c r="F58" s="128" t="n"/>
      <c r="G58" s="128" t="n"/>
      <c r="H58" s="128" t="n"/>
      <c r="I58" s="128" t="n"/>
      <c r="J58" s="128" t="n"/>
      <c r="K58" s="128" t="n"/>
      <c r="L58" s="128" t="n"/>
      <c r="M58" s="121">
        <f>+M56+M45</f>
        <v/>
      </c>
      <c r="N58" s="121">
        <f>+N56+N45</f>
        <v/>
      </c>
      <c r="O58" s="121">
        <f>+O56+O45</f>
        <v/>
      </c>
      <c r="P58" s="121">
        <f>+P56+P45</f>
        <v/>
      </c>
      <c r="Q58" s="121">
        <f>+Q56+Q45</f>
        <v/>
      </c>
      <c r="R58" s="121">
        <f>+R56+R45</f>
        <v/>
      </c>
      <c r="S58" s="121">
        <f>+S56+S45</f>
        <v/>
      </c>
      <c r="T58" s="121">
        <f>+T56+T45</f>
        <v/>
      </c>
      <c r="U58" s="121">
        <f>+U56+U45</f>
        <v/>
      </c>
      <c r="V58" s="121">
        <f>+V56+V45</f>
        <v/>
      </c>
      <c r="W58" s="121">
        <f>+W56+W45</f>
        <v/>
      </c>
      <c r="X58" s="121">
        <f>+X56+X45</f>
        <v/>
      </c>
      <c r="Y58" s="121">
        <f>+Y56+Y45</f>
        <v/>
      </c>
      <c r="Z58" s="121">
        <f>+Z56+Z45</f>
        <v/>
      </c>
      <c r="AA58" s="121">
        <f>+AA56+AA45</f>
        <v/>
      </c>
      <c r="AB58" s="121">
        <f>+AB56+AB45</f>
        <v/>
      </c>
      <c r="AC58" s="121">
        <f>+AC56+AC45</f>
        <v/>
      </c>
      <c r="AD58" s="121">
        <f>+AD56+AD45</f>
        <v/>
      </c>
      <c r="AE58" s="121">
        <f>+AE56+AE45</f>
        <v/>
      </c>
      <c r="AF58" s="121">
        <f>+AF56+AF45</f>
        <v/>
      </c>
      <c r="AG58" s="121">
        <f>+AG56+AG45</f>
        <v/>
      </c>
      <c r="AH58" s="121">
        <f>+AH56+AH45</f>
        <v/>
      </c>
      <c r="AI58" s="121">
        <f>+AI56+AI45</f>
        <v/>
      </c>
      <c r="AJ58" s="121">
        <f>+AJ56+AJ45</f>
        <v/>
      </c>
      <c r="AK58" s="121">
        <f>+AK56+AK45</f>
        <v/>
      </c>
      <c r="AL58" s="121">
        <f>+AL56+AL45</f>
        <v/>
      </c>
      <c r="AM58" s="121">
        <f>+AM56+AM45</f>
        <v/>
      </c>
      <c r="AN58" s="121">
        <f>+AN56+AN45</f>
        <v/>
      </c>
      <c r="AO58" s="121">
        <f>+AO56+AO45</f>
        <v/>
      </c>
      <c r="AP58" s="108" t="n"/>
      <c r="AQ58" t="inlineStr">
        <is>
          <t>1H 2015</t>
        </is>
      </c>
    </row>
    <row r="59">
      <c r="M59" s="31" t="n"/>
      <c r="N59" s="31" t="n"/>
      <c r="O59" s="31" t="n"/>
      <c r="P59" s="31" t="n"/>
      <c r="Q59" s="31" t="n"/>
      <c r="R59" s="31" t="n"/>
      <c r="S59" s="31" t="n"/>
      <c r="T59" s="31" t="n"/>
      <c r="U59" s="31" t="n"/>
      <c r="V59" s="31" t="n"/>
      <c r="W59" s="31" t="n"/>
      <c r="X59" s="31" t="n"/>
      <c r="Y59" s="31" t="n"/>
      <c r="Z59" s="31" t="n"/>
      <c r="AA59" s="31" t="n"/>
      <c r="AB59" s="31" t="n"/>
      <c r="AC59" s="31" t="n"/>
      <c r="AD59" s="31" t="n"/>
      <c r="AE59" s="31" t="n"/>
      <c r="AF59" s="31" t="n"/>
      <c r="AG59" s="31" t="n"/>
      <c r="AH59" s="31" t="n"/>
      <c r="AI59" s="31" t="n"/>
      <c r="AJ59" s="31" t="n"/>
      <c r="AK59" s="31" t="n"/>
      <c r="AL59" s="31" t="n"/>
      <c r="AM59" s="31" t="n"/>
      <c r="AN59" s="31" t="n"/>
      <c r="AO59" s="31" t="n"/>
      <c r="AP59" s="108" t="n"/>
    </row>
    <row r="60">
      <c r="A60" s="22" t="inlineStr">
        <is>
          <t>Current liabilities</t>
        </is>
      </c>
      <c r="F60" s="108" t="n"/>
      <c r="G60" s="108" t="n"/>
      <c r="H60" s="108" t="n"/>
      <c r="I60" s="108" t="n"/>
      <c r="J60" s="108" t="n"/>
      <c r="K60" s="108" t="n"/>
      <c r="L60" s="108" t="n"/>
      <c r="M60" s="76" t="n"/>
      <c r="N60" s="76" t="n"/>
      <c r="O60" s="76" t="n"/>
      <c r="P60" s="76" t="n"/>
      <c r="Q60" s="76" t="n"/>
      <c r="R60" s="76" t="n"/>
      <c r="S60" s="76" t="n"/>
      <c r="T60" s="76" t="n"/>
      <c r="U60" s="76" t="n"/>
      <c r="V60" s="76" t="n"/>
      <c r="W60" s="76" t="n"/>
      <c r="X60" s="76" t="n"/>
      <c r="Y60" s="76" t="n"/>
      <c r="Z60" s="76" t="n"/>
      <c r="AA60" s="76" t="n"/>
      <c r="AB60" s="76" t="n"/>
      <c r="AC60" s="76" t="n"/>
      <c r="AD60" s="76" t="n"/>
      <c r="AE60" s="76" t="n"/>
      <c r="AF60" s="76" t="n"/>
      <c r="AG60" s="76" t="n"/>
      <c r="AH60" s="76" t="n"/>
      <c r="AI60" s="76" t="n"/>
      <c r="AJ60" s="76" t="n"/>
      <c r="AK60" s="76" t="n"/>
      <c r="AL60" s="76" t="n"/>
      <c r="AM60" s="76" t="n"/>
      <c r="AN60" s="76" t="n"/>
      <c r="AO60" s="76" t="n"/>
      <c r="AP60" s="108" t="n"/>
    </row>
    <row r="61">
      <c r="A61" s="74" t="inlineStr">
        <is>
          <t>Trade payables</t>
        </is>
      </c>
      <c r="B61" s="145">
        <f>#REF!</f>
        <v/>
      </c>
      <c r="C61" s="145">
        <f>#REF!</f>
        <v/>
      </c>
      <c r="D61" s="145">
        <f>#REF!</f>
        <v/>
      </c>
      <c r="E61" s="145">
        <f>#REF!</f>
        <v/>
      </c>
      <c r="F61" s="141">
        <f>#REF!</f>
        <v/>
      </c>
      <c r="G61" s="141">
        <f>#REF!</f>
        <v/>
      </c>
      <c r="H61" s="141">
        <f>#REF!</f>
        <v/>
      </c>
      <c r="I61" s="141">
        <f>#REF!</f>
        <v/>
      </c>
      <c r="J61" s="141">
        <f>#REF!</f>
        <v/>
      </c>
      <c r="K61" s="141">
        <f>#REF!</f>
        <v/>
      </c>
      <c r="L61" s="141">
        <f>#REF!</f>
        <v/>
      </c>
      <c r="M61" s="175">
        <f>#REF!+#REF!</f>
        <v/>
      </c>
      <c r="N61" s="175">
        <f>#REF!+#REF!</f>
        <v/>
      </c>
      <c r="O61" s="175">
        <f>#REF!+#REF!</f>
        <v/>
      </c>
      <c r="P61" s="175">
        <f>#REF!+#REF!</f>
        <v/>
      </c>
      <c r="Q61" s="175">
        <f>#REF!+#REF!</f>
        <v/>
      </c>
      <c r="R61" s="175">
        <f>#REF!+#REF!</f>
        <v/>
      </c>
      <c r="S61" s="175">
        <f>#REF!+#REF!</f>
        <v/>
      </c>
      <c r="T61" s="175">
        <f>#REF!+#REF!</f>
        <v/>
      </c>
      <c r="U61" s="175">
        <f>#REF!+#REF!</f>
        <v/>
      </c>
      <c r="V61" s="175">
        <f>#REF!+#REF!</f>
        <v/>
      </c>
      <c r="W61" s="175">
        <f>#REF!+#REF!</f>
        <v/>
      </c>
      <c r="X61" s="175">
        <f>#REF!+#REF!</f>
        <v/>
      </c>
      <c r="Y61" s="175">
        <f>#REF!+#REF!</f>
        <v/>
      </c>
      <c r="Z61" s="175">
        <f>#REF!+#REF!</f>
        <v/>
      </c>
      <c r="AA61" s="175">
        <f>#REF!+#REF!</f>
        <v/>
      </c>
      <c r="AB61" s="175">
        <f>#REF!+#REF!</f>
        <v/>
      </c>
      <c r="AC61" s="175">
        <f>#REF!+#REF!</f>
        <v/>
      </c>
      <c r="AD61" s="175">
        <f>Assumption!H164</f>
        <v/>
      </c>
      <c r="AE61" s="175">
        <f>Assumption!I164</f>
        <v/>
      </c>
      <c r="AF61" s="175">
        <f>Assumption!J164</f>
        <v/>
      </c>
      <c r="AG61" s="175">
        <f>Assumption!K164</f>
        <v/>
      </c>
      <c r="AH61" s="175">
        <f>Assumption!L164</f>
        <v/>
      </c>
      <c r="AI61" s="175">
        <f>Assumption!M164</f>
        <v/>
      </c>
      <c r="AJ61" s="175">
        <f>Assumption!N164</f>
        <v/>
      </c>
      <c r="AK61" s="175">
        <f>Assumption!O164</f>
        <v/>
      </c>
      <c r="AL61" s="175">
        <f>Assumption!P164</f>
        <v/>
      </c>
      <c r="AM61" s="175">
        <f>Assumption!Q164</f>
        <v/>
      </c>
      <c r="AN61" s="175">
        <f>Assumption!R164</f>
        <v/>
      </c>
      <c r="AO61" s="175">
        <f>Assumption!S164</f>
        <v/>
      </c>
      <c r="AP61" s="108" t="n"/>
      <c r="AQ61">
        <f>AD61-AC61</f>
        <v/>
      </c>
    </row>
    <row r="62">
      <c r="A62" s="74" t="inlineStr">
        <is>
          <t>Customer payable</t>
        </is>
      </c>
      <c r="B62" s="145" t="n"/>
      <c r="C62" s="145" t="n"/>
      <c r="D62" s="145" t="n"/>
      <c r="E62" s="145" t="n"/>
      <c r="F62" s="141" t="n"/>
      <c r="G62" s="141" t="n"/>
      <c r="H62" s="141" t="n"/>
      <c r="I62" s="141" t="n"/>
      <c r="J62" s="141" t="n"/>
      <c r="K62" s="141" t="n"/>
      <c r="L62" s="141" t="n"/>
      <c r="M62" s="175">
        <f>#REF!+#REF!</f>
        <v/>
      </c>
      <c r="N62" s="175">
        <f>#REF!+#REF!</f>
        <v/>
      </c>
      <c r="O62" s="175">
        <f>#REF!+#REF!</f>
        <v/>
      </c>
      <c r="P62" s="175">
        <f>#REF!+#REF!</f>
        <v/>
      </c>
      <c r="Q62" s="175">
        <f>#REF!+#REF!</f>
        <v/>
      </c>
      <c r="R62" s="175">
        <f>#REF!+#REF!</f>
        <v/>
      </c>
      <c r="S62" s="175">
        <f>#REF!+#REF!</f>
        <v/>
      </c>
      <c r="T62" s="175">
        <f>#REF!+#REF!</f>
        <v/>
      </c>
      <c r="U62" s="175">
        <f>#REF!+#REF!</f>
        <v/>
      </c>
      <c r="V62" s="175">
        <f>#REF!+#REF!</f>
        <v/>
      </c>
      <c r="W62" s="175">
        <f>#REF!+#REF!</f>
        <v/>
      </c>
      <c r="X62" s="175">
        <f>#REF!+#REF!</f>
        <v/>
      </c>
      <c r="Y62" s="175">
        <f>#REF!+#REF!</f>
        <v/>
      </c>
      <c r="Z62" s="175">
        <f>#REF!+#REF!</f>
        <v/>
      </c>
      <c r="AA62" s="175">
        <f>#REF!+#REF!</f>
        <v/>
      </c>
      <c r="AB62" s="175">
        <f>#REF!+#REF!</f>
        <v/>
      </c>
      <c r="AC62" s="175">
        <f>#REF!+#REF!</f>
        <v/>
      </c>
      <c r="AD62" s="175">
        <f>Assumption!H165</f>
        <v/>
      </c>
      <c r="AE62" s="175">
        <f>Assumption!I165</f>
        <v/>
      </c>
      <c r="AF62" s="175">
        <f>Assumption!J165</f>
        <v/>
      </c>
      <c r="AG62" s="175">
        <f>Assumption!K165</f>
        <v/>
      </c>
      <c r="AH62" s="175">
        <f>Assumption!L165</f>
        <v/>
      </c>
      <c r="AI62" s="175">
        <f>Assumption!M165</f>
        <v/>
      </c>
      <c r="AJ62" s="175">
        <f>Assumption!N165</f>
        <v/>
      </c>
      <c r="AK62" s="175">
        <f>Assumption!O165</f>
        <v/>
      </c>
      <c r="AL62" s="175">
        <f>Assumption!P165</f>
        <v/>
      </c>
      <c r="AM62" s="175">
        <f>Assumption!Q165</f>
        <v/>
      </c>
      <c r="AN62" s="175">
        <f>Assumption!R165</f>
        <v/>
      </c>
      <c r="AO62" s="175">
        <f>Assumption!S165</f>
        <v/>
      </c>
      <c r="AP62" s="108" t="n"/>
      <c r="AQ62">
        <f>AD62-AC62</f>
        <v/>
      </c>
    </row>
    <row r="63">
      <c r="A63" s="74" t="inlineStr">
        <is>
          <t>Borrowings</t>
        </is>
      </c>
      <c r="B63" s="145" t="n"/>
      <c r="C63" s="145" t="n"/>
      <c r="D63" s="145" t="n"/>
      <c r="E63" s="145" t="n"/>
      <c r="F63" s="141" t="n"/>
      <c r="G63" s="141" t="n"/>
      <c r="H63" s="141" t="n"/>
      <c r="I63" s="141" t="n"/>
      <c r="J63" s="141" t="n"/>
      <c r="K63" s="141" t="n"/>
      <c r="L63" s="141" t="n"/>
      <c r="M63" s="175">
        <f>#REF!+#REF!+#REF!</f>
        <v/>
      </c>
      <c r="N63" s="175">
        <f>#REF!+#REF!+#REF!</f>
        <v/>
      </c>
      <c r="O63" s="175">
        <f>#REF!+#REF!+#REF!</f>
        <v/>
      </c>
      <c r="P63" s="175">
        <f>#REF!+#REF!+#REF!</f>
        <v/>
      </c>
      <c r="Q63" s="175">
        <f>#REF!+#REF!+#REF!</f>
        <v/>
      </c>
      <c r="R63" s="175">
        <f>#REF!+#REF!+#REF!</f>
        <v/>
      </c>
      <c r="S63" s="175">
        <f>#REF!+#REF!+#REF!</f>
        <v/>
      </c>
      <c r="T63" s="175">
        <f>#REF!+#REF!+#REF!</f>
        <v/>
      </c>
      <c r="U63" s="175">
        <f>#REF!+#REF!+#REF!</f>
        <v/>
      </c>
      <c r="V63" s="175">
        <f>#REF!+#REF!+#REF!</f>
        <v/>
      </c>
      <c r="W63" s="175">
        <f>#REF!+#REF!+#REF!</f>
        <v/>
      </c>
      <c r="X63" s="175">
        <f>#REF!+#REF!+#REF!</f>
        <v/>
      </c>
      <c r="Y63" s="175">
        <f>#REF!+#REF!+#REF!</f>
        <v/>
      </c>
      <c r="Z63" s="175">
        <f>#REF!+#REF!+#REF!</f>
        <v/>
      </c>
      <c r="AA63" s="175">
        <f>#REF!+#REF!+#REF!</f>
        <v/>
      </c>
      <c r="AB63" s="175">
        <f>#REF!+#REF!+#REF!</f>
        <v/>
      </c>
      <c r="AC63" s="175">
        <f>#REF!+#REF!+#REF!</f>
        <v/>
      </c>
      <c r="AD63" s="175">
        <f>Assumption!H203</f>
        <v/>
      </c>
      <c r="AE63" s="175">
        <f>Assumption!I203</f>
        <v/>
      </c>
      <c r="AF63" s="175">
        <f>Assumption!J203</f>
        <v/>
      </c>
      <c r="AG63" s="175">
        <f>Assumption!K203</f>
        <v/>
      </c>
      <c r="AH63" s="175">
        <f>Assumption!L203</f>
        <v/>
      </c>
      <c r="AI63" s="175">
        <f>Assumption!M203</f>
        <v/>
      </c>
      <c r="AJ63" s="175">
        <f>Assumption!N203</f>
        <v/>
      </c>
      <c r="AK63" s="175">
        <f>Assumption!O203</f>
        <v/>
      </c>
      <c r="AL63" s="175">
        <f>Assumption!P203</f>
        <v/>
      </c>
      <c r="AM63" s="175">
        <f>Assumption!Q203</f>
        <v/>
      </c>
      <c r="AN63" s="175">
        <f>Assumption!R203</f>
        <v/>
      </c>
      <c r="AO63" s="175">
        <f>Assumption!S203</f>
        <v/>
      </c>
      <c r="AP63" s="108" t="n"/>
      <c r="AQ63">
        <f>AD63-AC63</f>
        <v/>
      </c>
    </row>
    <row r="64">
      <c r="A64" s="74">
        <f>#REF!</f>
        <v/>
      </c>
      <c r="B64" s="145">
        <f>#REF!</f>
        <v/>
      </c>
      <c r="C64" s="145">
        <f>#REF!</f>
        <v/>
      </c>
      <c r="D64" s="145">
        <f>#REF!</f>
        <v/>
      </c>
      <c r="E64" s="145">
        <f>#REF!</f>
        <v/>
      </c>
      <c r="F64" s="141">
        <f>#REF!</f>
        <v/>
      </c>
      <c r="G64" s="141">
        <f>#REF!</f>
        <v/>
      </c>
      <c r="H64" s="141">
        <f>#REF!</f>
        <v/>
      </c>
      <c r="I64" s="141">
        <f>#REF!</f>
        <v/>
      </c>
      <c r="J64" s="141">
        <f>#REF!</f>
        <v/>
      </c>
      <c r="K64" s="141">
        <f>#REF!</f>
        <v/>
      </c>
      <c r="L64" s="141">
        <f>#REF!</f>
        <v/>
      </c>
      <c r="M64" s="175">
        <f>#REF!</f>
        <v/>
      </c>
      <c r="N64" s="175">
        <f>#REF!</f>
        <v/>
      </c>
      <c r="O64" s="175">
        <f>#REF!</f>
        <v/>
      </c>
      <c r="P64" s="175">
        <f>#REF!</f>
        <v/>
      </c>
      <c r="Q64" s="175">
        <f>#REF!</f>
        <v/>
      </c>
      <c r="R64" s="175">
        <f>#REF!</f>
        <v/>
      </c>
      <c r="S64" s="175">
        <f>#REF!</f>
        <v/>
      </c>
      <c r="T64" s="175">
        <f>#REF!</f>
        <v/>
      </c>
      <c r="U64" s="175">
        <f>#REF!</f>
        <v/>
      </c>
      <c r="V64" s="175">
        <f>#REF!</f>
        <v/>
      </c>
      <c r="W64" s="175">
        <f>#REF!</f>
        <v/>
      </c>
      <c r="X64" s="175">
        <f>#REF!</f>
        <v/>
      </c>
      <c r="Y64" s="175">
        <f>#REF!</f>
        <v/>
      </c>
      <c r="Z64" s="175">
        <f>#REF!</f>
        <v/>
      </c>
      <c r="AA64" s="175">
        <f>#REF!</f>
        <v/>
      </c>
      <c r="AB64" s="175">
        <f>#REF!</f>
        <v/>
      </c>
      <c r="AC64" s="175">
        <f>#REF!</f>
        <v/>
      </c>
      <c r="AD64" s="175">
        <f>Assumption!#REF!</f>
        <v/>
      </c>
      <c r="AE64" s="175">
        <f>Assumption!#REF!</f>
        <v/>
      </c>
      <c r="AF64" s="175">
        <f>Assumption!#REF!</f>
        <v/>
      </c>
      <c r="AG64" s="175">
        <f>Assumption!#REF!</f>
        <v/>
      </c>
      <c r="AH64" s="175">
        <f>Assumption!#REF!</f>
        <v/>
      </c>
      <c r="AI64" s="175">
        <f>Assumption!#REF!</f>
        <v/>
      </c>
      <c r="AJ64" s="175">
        <f>Assumption!#REF!</f>
        <v/>
      </c>
      <c r="AK64" s="175">
        <f>Assumption!#REF!</f>
        <v/>
      </c>
      <c r="AL64" s="175">
        <f>Assumption!#REF!</f>
        <v/>
      </c>
      <c r="AM64" s="175">
        <f>Assumption!#REF!</f>
        <v/>
      </c>
      <c r="AN64" s="175">
        <f>Assumption!#REF!</f>
        <v/>
      </c>
      <c r="AO64" s="175">
        <f>Assumption!#REF!</f>
        <v/>
      </c>
      <c r="AP64" s="108" t="n"/>
      <c r="AQ64">
        <f>AD64-AC64</f>
        <v/>
      </c>
    </row>
    <row r="65">
      <c r="A65" s="74" t="inlineStr">
        <is>
          <t>Taxes payable</t>
        </is>
      </c>
      <c r="B65" s="145" t="n"/>
      <c r="C65" s="145" t="n"/>
      <c r="D65" s="145" t="n"/>
      <c r="E65" s="145" t="n"/>
      <c r="F65" s="141" t="n"/>
      <c r="G65" s="141" t="n"/>
      <c r="H65" s="141" t="n"/>
      <c r="I65" s="141" t="n"/>
      <c r="J65" s="141" t="n"/>
      <c r="K65" s="141" t="n"/>
      <c r="L65" s="141" t="n"/>
      <c r="M65" s="175">
        <f>#REF!</f>
        <v/>
      </c>
      <c r="N65" s="175">
        <f>#REF!</f>
        <v/>
      </c>
      <c r="O65" s="175">
        <f>#REF!</f>
        <v/>
      </c>
      <c r="P65" s="175">
        <f>#REF!</f>
        <v/>
      </c>
      <c r="Q65" s="175">
        <f>#REF!</f>
        <v/>
      </c>
      <c r="R65" s="175">
        <f>#REF!</f>
        <v/>
      </c>
      <c r="S65" s="175">
        <f>#REF!</f>
        <v/>
      </c>
      <c r="T65" s="175">
        <f>#REF!</f>
        <v/>
      </c>
      <c r="U65" s="175">
        <f>#REF!</f>
        <v/>
      </c>
      <c r="V65" s="175">
        <f>#REF!</f>
        <v/>
      </c>
      <c r="W65" s="175">
        <f>#REF!</f>
        <v/>
      </c>
      <c r="X65" s="175">
        <f>#REF!</f>
        <v/>
      </c>
      <c r="Y65" s="175">
        <f>#REF!</f>
        <v/>
      </c>
      <c r="Z65" s="175">
        <f>#REF!</f>
        <v/>
      </c>
      <c r="AA65" s="175">
        <f>#REF!</f>
        <v/>
      </c>
      <c r="AB65" s="175">
        <f>#REF!</f>
        <v/>
      </c>
      <c r="AC65" s="175">
        <f>#REF!</f>
        <v/>
      </c>
      <c r="AD65" s="175">
        <f>Assumption!#REF!</f>
        <v/>
      </c>
      <c r="AE65" s="175">
        <f>Assumption!#REF!</f>
        <v/>
      </c>
      <c r="AF65" s="175">
        <f>Assumption!#REF!</f>
        <v/>
      </c>
      <c r="AG65" s="175">
        <f>Assumption!#REF!</f>
        <v/>
      </c>
      <c r="AH65" s="175">
        <f>Assumption!#REF!</f>
        <v/>
      </c>
      <c r="AI65" s="175">
        <f>Assumption!#REF!</f>
        <v/>
      </c>
      <c r="AJ65" s="175">
        <f>Assumption!#REF!</f>
        <v/>
      </c>
      <c r="AK65" s="175">
        <f>Assumption!#REF!</f>
        <v/>
      </c>
      <c r="AL65" s="175">
        <f>Assumption!#REF!</f>
        <v/>
      </c>
      <c r="AM65" s="175">
        <f>Assumption!#REF!</f>
        <v/>
      </c>
      <c r="AN65" s="175">
        <f>Assumption!#REF!</f>
        <v/>
      </c>
      <c r="AO65" s="175">
        <f>Assumption!#REF!</f>
        <v/>
      </c>
      <c r="AP65" s="108" t="n"/>
      <c r="AQ65">
        <f>AD65-AC65</f>
        <v/>
      </c>
    </row>
    <row r="66">
      <c r="A66" s="74" t="inlineStr">
        <is>
          <t>Others</t>
        </is>
      </c>
      <c r="M66" s="86">
        <f>M67-SUM(M61:M65)</f>
        <v/>
      </c>
      <c r="N66" s="86">
        <f>N67-SUM(N61:N65)</f>
        <v/>
      </c>
      <c r="O66" s="86">
        <f>O67-SUM(O61:O65)</f>
        <v/>
      </c>
      <c r="P66" s="86">
        <f>P67-SUM(P61:P65)</f>
        <v/>
      </c>
      <c r="Q66" s="86">
        <f>Q67-SUM(Q61:Q65)</f>
        <v/>
      </c>
      <c r="R66" s="86">
        <f>R67-SUM(R61:R65)</f>
        <v/>
      </c>
      <c r="S66" s="86">
        <f>S67-SUM(S61:S65)</f>
        <v/>
      </c>
      <c r="T66" s="86">
        <f>T67-SUM(T61:T65)</f>
        <v/>
      </c>
      <c r="U66" s="86">
        <f>U67-SUM(U61:U65)</f>
        <v/>
      </c>
      <c r="V66" s="86">
        <f>V67-SUM(V61:V65)</f>
        <v/>
      </c>
      <c r="W66" s="86">
        <f>W67-SUM(W61:W65)</f>
        <v/>
      </c>
      <c r="X66" s="86">
        <f>X67-SUM(X61:X65)</f>
        <v/>
      </c>
      <c r="Y66" s="86">
        <f>Y67-SUM(Y61:Y65)</f>
        <v/>
      </c>
      <c r="Z66" s="86">
        <f>Z67-SUM(Z61:Z65)</f>
        <v/>
      </c>
      <c r="AA66" s="86">
        <f>AA67-SUM(AA61:AA65)</f>
        <v/>
      </c>
      <c r="AB66" s="86">
        <f>AB67-SUM(AB61:AB65)</f>
        <v/>
      </c>
      <c r="AC66" s="86">
        <f>AC67-SUM(AC61:AC65)</f>
        <v/>
      </c>
      <c r="AD66" s="80">
        <f>Assumption!#REF!</f>
        <v/>
      </c>
      <c r="AE66" s="80">
        <f>Assumption!#REF!</f>
        <v/>
      </c>
      <c r="AF66" s="80">
        <f>Assumption!#REF!</f>
        <v/>
      </c>
      <c r="AG66" s="80">
        <f>Assumption!#REF!</f>
        <v/>
      </c>
      <c r="AH66" s="80">
        <f>Assumption!#REF!</f>
        <v/>
      </c>
      <c r="AI66" s="80">
        <f>Assumption!#REF!</f>
        <v/>
      </c>
      <c r="AJ66" s="80">
        <f>Assumption!#REF!</f>
        <v/>
      </c>
      <c r="AK66" s="80">
        <f>Assumption!#REF!</f>
        <v/>
      </c>
      <c r="AL66" s="80">
        <f>Assumption!#REF!</f>
        <v/>
      </c>
      <c r="AM66" s="80">
        <f>Assumption!#REF!</f>
        <v/>
      </c>
      <c r="AN66" s="80">
        <f>Assumption!#REF!</f>
        <v/>
      </c>
      <c r="AO66" s="80">
        <f>Assumption!#REF!</f>
        <v/>
      </c>
      <c r="AP66" s="108" t="n"/>
      <c r="AQ66">
        <f>AD66-AC66</f>
        <v/>
      </c>
    </row>
    <row r="67">
      <c r="A67" s="40" t="inlineStr">
        <is>
          <t>Total current liabilities</t>
        </is>
      </c>
      <c r="B67" s="128" t="n"/>
      <c r="C67" s="128" t="n"/>
      <c r="D67" s="128" t="n"/>
      <c r="E67" s="128" t="n"/>
      <c r="F67" s="128" t="n"/>
      <c r="G67" s="128" t="n"/>
      <c r="H67" s="128" t="n"/>
      <c r="I67" s="128" t="n"/>
      <c r="J67" s="128" t="n"/>
      <c r="K67" s="128" t="n"/>
      <c r="L67" s="128" t="n"/>
      <c r="M67" s="149">
        <f>#REF!</f>
        <v/>
      </c>
      <c r="N67" s="149">
        <f>#REF!</f>
        <v/>
      </c>
      <c r="O67" s="149">
        <f>#REF!</f>
        <v/>
      </c>
      <c r="P67" s="149">
        <f>#REF!</f>
        <v/>
      </c>
      <c r="Q67" s="149">
        <f>#REF!</f>
        <v/>
      </c>
      <c r="R67" s="149">
        <f>#REF!</f>
        <v/>
      </c>
      <c r="S67" s="149">
        <f>#REF!</f>
        <v/>
      </c>
      <c r="T67" s="149">
        <f>#REF!</f>
        <v/>
      </c>
      <c r="U67" s="149">
        <f>#REF!</f>
        <v/>
      </c>
      <c r="V67" s="149">
        <f>#REF!</f>
        <v/>
      </c>
      <c r="W67" s="149">
        <f>#REF!</f>
        <v/>
      </c>
      <c r="X67" s="149">
        <f>#REF!</f>
        <v/>
      </c>
      <c r="Y67" s="149">
        <f>#REF!</f>
        <v/>
      </c>
      <c r="Z67" s="149">
        <f>#REF!</f>
        <v/>
      </c>
      <c r="AA67" s="149">
        <f>#REF!</f>
        <v/>
      </c>
      <c r="AB67" s="149">
        <f>#REF!</f>
        <v/>
      </c>
      <c r="AC67" s="149">
        <f>#REF!</f>
        <v/>
      </c>
      <c r="AD67" s="123">
        <f>SUM(AD61:AD66)</f>
        <v/>
      </c>
      <c r="AE67" s="123">
        <f>SUM(AE61:AE66)</f>
        <v/>
      </c>
      <c r="AF67" s="123">
        <f>SUM(AF61:AF66)</f>
        <v/>
      </c>
      <c r="AG67" s="123">
        <f>SUM(AG61:AG66)</f>
        <v/>
      </c>
      <c r="AH67" s="123">
        <f>SUM(AH61:AH66)</f>
        <v/>
      </c>
      <c r="AI67" s="123">
        <f>SUM(AI61:AI66)</f>
        <v/>
      </c>
      <c r="AJ67" s="123">
        <f>SUM(AJ61:AJ66)</f>
        <v/>
      </c>
      <c r="AK67" s="123">
        <f>SUM(AK61:AK66)</f>
        <v/>
      </c>
      <c r="AL67" s="123">
        <f>SUM(AL61:AL66)</f>
        <v/>
      </c>
      <c r="AM67" s="123">
        <f>SUM(AM61:AM66)</f>
        <v/>
      </c>
      <c r="AN67" s="123">
        <f>SUM(AN61:AN66)</f>
        <v/>
      </c>
      <c r="AO67" s="123">
        <f>SUM(AO61:AO66)</f>
        <v/>
      </c>
      <c r="AP67" s="108" t="n"/>
      <c r="AQ67">
        <f>AD67-AC67</f>
        <v/>
      </c>
    </row>
    <row r="68">
      <c r="M68" s="31" t="n"/>
      <c r="N68" s="31" t="n"/>
      <c r="O68" s="31" t="n"/>
      <c r="P68" s="31" t="n"/>
      <c r="Q68" s="31" t="n"/>
      <c r="R68" s="31" t="n"/>
      <c r="S68" s="31" t="n"/>
      <c r="T68" s="31" t="n"/>
      <c r="U68" s="31" t="n"/>
      <c r="V68" s="31" t="n"/>
      <c r="W68" s="31" t="n"/>
      <c r="X68" s="31" t="n"/>
      <c r="Y68" s="31" t="n"/>
      <c r="Z68" s="31" t="n"/>
      <c r="AA68" s="31" t="n"/>
      <c r="AB68" s="31" t="n"/>
      <c r="AC68" s="31" t="n"/>
      <c r="AD68" s="31" t="n"/>
      <c r="AE68" s="31" t="n"/>
      <c r="AF68" s="31" t="n"/>
      <c r="AG68" s="31" t="n"/>
      <c r="AH68" s="31" t="n"/>
      <c r="AI68" s="31" t="n"/>
      <c r="AJ68" s="31" t="n"/>
      <c r="AK68" s="31" t="n"/>
      <c r="AL68" s="31" t="n"/>
      <c r="AM68" s="31" t="n"/>
      <c r="AN68" s="31" t="n"/>
      <c r="AO68" s="31" t="n"/>
      <c r="AP68" s="108" t="n"/>
    </row>
    <row r="69">
      <c r="A69" s="22" t="inlineStr">
        <is>
          <t>Net current assets</t>
        </is>
      </c>
      <c r="B69" s="108" t="n"/>
      <c r="C69" s="108" t="n"/>
      <c r="D69" s="108" t="n"/>
      <c r="E69" s="108" t="n"/>
      <c r="F69" s="108" t="n"/>
      <c r="G69" s="108" t="n"/>
      <c r="H69" s="108" t="n"/>
      <c r="I69" s="108" t="n"/>
      <c r="J69" s="108" t="n"/>
      <c r="K69" s="108" t="n"/>
      <c r="L69" s="108" t="n"/>
      <c r="M69" s="86">
        <f>M45-M67</f>
        <v/>
      </c>
      <c r="N69" s="86">
        <f>N45-N67</f>
        <v/>
      </c>
      <c r="O69" s="86">
        <f>O45-O67</f>
        <v/>
      </c>
      <c r="P69" s="86">
        <f>P45-P67</f>
        <v/>
      </c>
      <c r="Q69" s="86">
        <f>Q45-Q67</f>
        <v/>
      </c>
      <c r="R69" s="86">
        <f>R45-R67</f>
        <v/>
      </c>
      <c r="S69" s="86">
        <f>S45-S67</f>
        <v/>
      </c>
      <c r="T69" s="86">
        <f>T45-T67</f>
        <v/>
      </c>
      <c r="U69" s="86">
        <f>U45-U67</f>
        <v/>
      </c>
      <c r="V69" s="86">
        <f>V45-V67</f>
        <v/>
      </c>
      <c r="W69" s="86">
        <f>W45-W67</f>
        <v/>
      </c>
      <c r="X69" s="86">
        <f>X45-X67</f>
        <v/>
      </c>
      <c r="Y69" s="86">
        <f>Y45-Y67</f>
        <v/>
      </c>
      <c r="Z69" s="86">
        <f>Z45-Z67</f>
        <v/>
      </c>
      <c r="AA69" s="86">
        <f>AA45-AA67</f>
        <v/>
      </c>
      <c r="AB69" s="86">
        <f>AB45-AB67</f>
        <v/>
      </c>
      <c r="AC69" s="86">
        <f>AC45-AC67</f>
        <v/>
      </c>
      <c r="AD69" s="86">
        <f>AD45-AD67</f>
        <v/>
      </c>
      <c r="AE69" s="86">
        <f>AE45-AE67</f>
        <v/>
      </c>
      <c r="AF69" s="86">
        <f>AF45-AF67</f>
        <v/>
      </c>
      <c r="AG69" s="86">
        <f>AG45-AG67</f>
        <v/>
      </c>
      <c r="AH69" s="86">
        <f>AH45-AH67</f>
        <v/>
      </c>
      <c r="AI69" s="86">
        <f>AI45-AI67</f>
        <v/>
      </c>
      <c r="AJ69" s="86">
        <f>AJ45-AJ67</f>
        <v/>
      </c>
      <c r="AK69" s="86">
        <f>AK45-AK67</f>
        <v/>
      </c>
      <c r="AL69" s="86">
        <f>AL45-AL67</f>
        <v/>
      </c>
      <c r="AM69" s="86">
        <f>AM45-AM67</f>
        <v/>
      </c>
      <c r="AN69" s="86">
        <f>AN45-AN67</f>
        <v/>
      </c>
      <c r="AO69" s="86">
        <f>AO45-AO67</f>
        <v/>
      </c>
      <c r="AP69" s="108" t="n"/>
      <c r="AQ69">
        <f>AD69-AC69</f>
        <v/>
      </c>
    </row>
    <row r="70">
      <c r="A70" s="22" t="inlineStr">
        <is>
          <t>Total assets less current liabilities</t>
        </is>
      </c>
      <c r="B70" s="108" t="n"/>
      <c r="C70" s="108" t="n"/>
      <c r="D70" s="108" t="n"/>
      <c r="E70" s="108" t="n"/>
      <c r="F70" s="108" t="n"/>
      <c r="G70" s="108" t="n"/>
      <c r="H70" s="108" t="n"/>
      <c r="I70" s="108" t="n"/>
      <c r="J70" s="108" t="n"/>
      <c r="K70" s="108" t="n"/>
      <c r="L70" s="108" t="n"/>
      <c r="M70" s="86">
        <f>M58-M67</f>
        <v/>
      </c>
      <c r="N70" s="86">
        <f>N58-N67</f>
        <v/>
      </c>
      <c r="O70" s="86">
        <f>O58-O67</f>
        <v/>
      </c>
      <c r="P70" s="86">
        <f>P58-P67</f>
        <v/>
      </c>
      <c r="Q70" s="86">
        <f>Q58-Q67</f>
        <v/>
      </c>
      <c r="R70" s="86">
        <f>R58-R67</f>
        <v/>
      </c>
      <c r="S70" s="86">
        <f>S58-S67</f>
        <v/>
      </c>
      <c r="T70" s="86">
        <f>T58-T67</f>
        <v/>
      </c>
      <c r="U70" s="86">
        <f>U58-U67</f>
        <v/>
      </c>
      <c r="V70" s="86">
        <f>V58-V67</f>
        <v/>
      </c>
      <c r="W70" s="86">
        <f>W58-W67</f>
        <v/>
      </c>
      <c r="X70" s="86">
        <f>X58-X67</f>
        <v/>
      </c>
      <c r="Y70" s="86">
        <f>Y58-Y67</f>
        <v/>
      </c>
      <c r="Z70" s="86">
        <f>Z58-Z67</f>
        <v/>
      </c>
      <c r="AA70" s="86">
        <f>AA58-AA67</f>
        <v/>
      </c>
      <c r="AB70" s="86">
        <f>AB58-AB67</f>
        <v/>
      </c>
      <c r="AC70" s="86">
        <f>AC58-AC67</f>
        <v/>
      </c>
      <c r="AD70" s="86">
        <f>AD58-AD67</f>
        <v/>
      </c>
      <c r="AE70" s="86">
        <f>AE58-AE67</f>
        <v/>
      </c>
      <c r="AF70" s="86">
        <f>AF58-AF67</f>
        <v/>
      </c>
      <c r="AG70" s="86">
        <f>AG58-AG67</f>
        <v/>
      </c>
      <c r="AH70" s="86">
        <f>AH58-AH67</f>
        <v/>
      </c>
      <c r="AI70" s="86">
        <f>AI58-AI67</f>
        <v/>
      </c>
      <c r="AJ70" s="86">
        <f>AJ58-AJ67</f>
        <v/>
      </c>
      <c r="AK70" s="86">
        <f>AK58-AK67</f>
        <v/>
      </c>
      <c r="AL70" s="86">
        <f>AL58-AL67</f>
        <v/>
      </c>
      <c r="AM70" s="86">
        <f>AM58-AM67</f>
        <v/>
      </c>
      <c r="AN70" s="86">
        <f>AN58-AN67</f>
        <v/>
      </c>
      <c r="AO70" s="86">
        <f>AO58-AO67</f>
        <v/>
      </c>
      <c r="AP70" s="108" t="n"/>
      <c r="AQ70">
        <f>AD70-AC70</f>
        <v/>
      </c>
    </row>
    <row r="71">
      <c r="F71" s="108" t="n"/>
      <c r="G71" s="108" t="n"/>
      <c r="H71" s="108" t="n"/>
      <c r="I71" s="108" t="n"/>
      <c r="J71" s="108" t="n"/>
      <c r="K71" s="108" t="n"/>
      <c r="L71" s="108" t="n"/>
      <c r="M71" s="76" t="n"/>
      <c r="N71" s="76" t="n"/>
      <c r="O71" s="76" t="n"/>
      <c r="P71" s="76" t="n"/>
      <c r="Q71" s="76" t="n"/>
      <c r="R71" s="76" t="n"/>
      <c r="S71" s="76" t="n"/>
      <c r="T71" s="76" t="n"/>
      <c r="U71" s="76" t="n"/>
      <c r="V71" s="76" t="n"/>
      <c r="W71" s="76" t="n"/>
      <c r="X71" s="76" t="n"/>
      <c r="Y71" s="76" t="n"/>
      <c r="Z71" s="76" t="n"/>
      <c r="AA71" s="76" t="n"/>
      <c r="AB71" s="76" t="n"/>
      <c r="AC71" s="76" t="n"/>
      <c r="AD71" s="76" t="n"/>
      <c r="AE71" s="76" t="n"/>
      <c r="AF71" s="76" t="n"/>
      <c r="AG71" s="76" t="n"/>
      <c r="AH71" s="76" t="n"/>
      <c r="AI71" s="76" t="n"/>
      <c r="AJ71" s="76" t="n"/>
      <c r="AK71" s="76" t="n"/>
      <c r="AL71" s="76" t="n"/>
      <c r="AM71" s="76" t="n"/>
      <c r="AN71" s="76" t="n"/>
      <c r="AO71" s="76" t="n"/>
      <c r="AP71" s="108" t="n"/>
    </row>
    <row r="72">
      <c r="A72" s="22" t="inlineStr">
        <is>
          <t>Non-current liabilities</t>
        </is>
      </c>
      <c r="M72" s="31" t="n"/>
      <c r="N72" s="31" t="n"/>
      <c r="O72" s="31" t="n"/>
      <c r="P72" s="31" t="n"/>
      <c r="Q72" s="31" t="n"/>
      <c r="R72" s="31" t="n"/>
      <c r="S72" s="31" t="n"/>
      <c r="T72" s="31" t="n"/>
      <c r="U72" s="31" t="n"/>
      <c r="V72" s="31" t="n"/>
      <c r="W72" s="31" t="n"/>
      <c r="X72" s="31" t="n"/>
      <c r="Y72" s="31" t="n"/>
      <c r="Z72" s="31" t="n"/>
      <c r="AA72" s="31" t="n"/>
      <c r="AB72" s="31" t="n"/>
      <c r="AC72" s="31" t="n"/>
      <c r="AD72" s="31" t="n"/>
      <c r="AE72" s="31" t="n"/>
      <c r="AF72" s="31" t="n"/>
      <c r="AG72" s="31" t="n"/>
      <c r="AH72" s="31" t="n"/>
      <c r="AI72" s="31" t="n"/>
      <c r="AJ72" s="31" t="n"/>
      <c r="AK72" s="31" t="n"/>
      <c r="AL72" s="31" t="n"/>
      <c r="AM72" s="31" t="n"/>
      <c r="AN72" s="31" t="n"/>
      <c r="AO72" s="31" t="n"/>
      <c r="AP72" s="108" t="n"/>
    </row>
    <row r="73">
      <c r="A73" s="74" t="inlineStr">
        <is>
          <t>Borrowings</t>
        </is>
      </c>
      <c r="B73" s="145" t="n"/>
      <c r="C73" s="145" t="n"/>
      <c r="D73" s="145" t="n"/>
      <c r="E73" s="145" t="n"/>
      <c r="F73" s="141" t="n"/>
      <c r="G73" s="141" t="n"/>
      <c r="H73" s="141" t="n"/>
      <c r="I73" s="141" t="n"/>
      <c r="J73" s="141" t="n"/>
      <c r="K73" s="141" t="n"/>
      <c r="L73" s="141" t="n"/>
      <c r="M73" s="175">
        <f>#REF!+#REF!</f>
        <v/>
      </c>
      <c r="N73" s="175">
        <f>#REF!+#REF!</f>
        <v/>
      </c>
      <c r="O73" s="175">
        <f>#REF!+#REF!</f>
        <v/>
      </c>
      <c r="P73" s="175">
        <f>#REF!+#REF!</f>
        <v/>
      </c>
      <c r="Q73" s="175">
        <f>#REF!+#REF!</f>
        <v/>
      </c>
      <c r="R73" s="175">
        <f>#REF!+#REF!</f>
        <v/>
      </c>
      <c r="S73" s="175">
        <f>#REF!+#REF!</f>
        <v/>
      </c>
      <c r="T73" s="175">
        <f>#REF!+#REF!</f>
        <v/>
      </c>
      <c r="U73" s="175">
        <f>#REF!+#REF!</f>
        <v/>
      </c>
      <c r="V73" s="175">
        <f>#REF!+#REF!</f>
        <v/>
      </c>
      <c r="W73" s="175">
        <f>#REF!+#REF!</f>
        <v/>
      </c>
      <c r="X73" s="175">
        <f>#REF!+#REF!</f>
        <v/>
      </c>
      <c r="Y73" s="175">
        <f>#REF!+#REF!</f>
        <v/>
      </c>
      <c r="Z73" s="175">
        <f>#REF!+#REF!</f>
        <v/>
      </c>
      <c r="AA73" s="175">
        <f>#REF!+#REF!</f>
        <v/>
      </c>
      <c r="AB73" s="175">
        <f>#REF!+#REF!</f>
        <v/>
      </c>
      <c r="AC73" s="175">
        <f>#REF!+#REF!</f>
        <v/>
      </c>
      <c r="AD73" s="175">
        <f>Assumption!H204</f>
        <v/>
      </c>
      <c r="AE73" s="175">
        <f>Assumption!I204</f>
        <v/>
      </c>
      <c r="AF73" s="175">
        <f>Assumption!J204</f>
        <v/>
      </c>
      <c r="AG73" s="175">
        <f>Assumption!K204</f>
        <v/>
      </c>
      <c r="AH73" s="175">
        <f>Assumption!L204</f>
        <v/>
      </c>
      <c r="AI73" s="175">
        <f>Assumption!M204</f>
        <v/>
      </c>
      <c r="AJ73" s="175">
        <f>Assumption!N204</f>
        <v/>
      </c>
      <c r="AK73" s="175">
        <f>Assumption!O204</f>
        <v/>
      </c>
      <c r="AL73" s="175">
        <f>Assumption!P204</f>
        <v/>
      </c>
      <c r="AM73" s="175">
        <f>Assumption!Q204</f>
        <v/>
      </c>
      <c r="AN73" s="175">
        <f>Assumption!R204</f>
        <v/>
      </c>
      <c r="AO73" s="175">
        <f>Assumption!S204</f>
        <v/>
      </c>
      <c r="AP73" s="108" t="n"/>
      <c r="AQ73">
        <f>AD73-AC73</f>
        <v/>
      </c>
    </row>
    <row r="74">
      <c r="A74" s="74" t="inlineStr">
        <is>
          <t>Convertible bond</t>
        </is>
      </c>
      <c r="B74" s="145" t="n"/>
      <c r="C74" s="145" t="n"/>
      <c r="D74" s="145" t="n"/>
      <c r="E74" s="145" t="n"/>
      <c r="F74" s="141" t="n"/>
      <c r="G74" s="141" t="n"/>
      <c r="H74" s="141" t="n"/>
      <c r="I74" s="141" t="n"/>
      <c r="J74" s="141" t="n"/>
      <c r="K74" s="141" t="n"/>
      <c r="L74" s="141" t="n"/>
      <c r="M74" s="175" t="n"/>
      <c r="N74" s="175" t="n"/>
      <c r="O74" s="175" t="n"/>
      <c r="P74" s="175" t="n"/>
      <c r="Q74" s="175" t="n"/>
      <c r="R74" s="175" t="n"/>
      <c r="S74" s="175" t="n"/>
      <c r="T74" s="175" t="n"/>
      <c r="U74" s="175" t="n"/>
      <c r="V74" s="175" t="n"/>
      <c r="W74" s="175" t="n"/>
      <c r="X74" s="175" t="n"/>
      <c r="Y74" s="175" t="n"/>
      <c r="Z74" s="175" t="n"/>
      <c r="AA74" s="175" t="n"/>
      <c r="AB74" s="175">
        <f>Assumption!#REF!</f>
        <v/>
      </c>
      <c r="AC74" s="175" t="n"/>
      <c r="AD74" s="175">
        <f>Assumption!#REF!</f>
        <v/>
      </c>
      <c r="AE74" s="175">
        <f>Assumption!#REF!</f>
        <v/>
      </c>
      <c r="AF74" s="175">
        <f>Assumption!#REF!</f>
        <v/>
      </c>
      <c r="AG74" s="175">
        <f>Assumption!#REF!</f>
        <v/>
      </c>
      <c r="AH74" s="175">
        <f>Assumption!#REF!</f>
        <v/>
      </c>
      <c r="AI74" s="175">
        <f>Assumption!#REF!</f>
        <v/>
      </c>
      <c r="AJ74" s="175">
        <f>Assumption!#REF!</f>
        <v/>
      </c>
      <c r="AK74" s="175">
        <f>Assumption!#REF!</f>
        <v/>
      </c>
      <c r="AL74" s="175">
        <f>Assumption!#REF!</f>
        <v/>
      </c>
      <c r="AM74" s="175">
        <f>Assumption!#REF!</f>
        <v/>
      </c>
      <c r="AN74" s="175">
        <f>Assumption!#REF!</f>
        <v/>
      </c>
      <c r="AO74" s="175">
        <f>Assumption!#REF!</f>
        <v/>
      </c>
      <c r="AP74" s="108" t="n"/>
      <c r="AQ74">
        <f>AD74-AC74</f>
        <v/>
      </c>
    </row>
    <row r="75">
      <c r="A75" s="74" t="inlineStr">
        <is>
          <t>Government grants</t>
        </is>
      </c>
      <c r="B75" s="145" t="n"/>
      <c r="C75" s="145" t="n"/>
      <c r="D75" s="145" t="n"/>
      <c r="E75" s="145" t="n"/>
      <c r="F75" s="141" t="n"/>
      <c r="G75" s="141" t="n"/>
      <c r="H75" s="141" t="n"/>
      <c r="I75" s="141" t="n"/>
      <c r="J75" s="141" t="n"/>
      <c r="K75" s="141" t="n"/>
      <c r="L75" s="141" t="n"/>
      <c r="M75" s="175">
        <f>#REF!</f>
        <v/>
      </c>
      <c r="N75" s="175">
        <f>#REF!</f>
        <v/>
      </c>
      <c r="O75" s="175">
        <f>#REF!</f>
        <v/>
      </c>
      <c r="P75" s="175">
        <f>#REF!</f>
        <v/>
      </c>
      <c r="Q75" s="175">
        <f>#REF!</f>
        <v/>
      </c>
      <c r="R75" s="175">
        <f>#REF!</f>
        <v/>
      </c>
      <c r="S75" s="175">
        <f>#REF!</f>
        <v/>
      </c>
      <c r="T75" s="175">
        <f>#REF!</f>
        <v/>
      </c>
      <c r="U75" s="175">
        <f>#REF!</f>
        <v/>
      </c>
      <c r="V75" s="175">
        <f>#REF!</f>
        <v/>
      </c>
      <c r="W75" s="175">
        <f>#REF!</f>
        <v/>
      </c>
      <c r="X75" s="175">
        <f>#REF!</f>
        <v/>
      </c>
      <c r="Y75" s="175">
        <f>#REF!</f>
        <v/>
      </c>
      <c r="Z75" s="175">
        <f>#REF!</f>
        <v/>
      </c>
      <c r="AA75" s="175">
        <f>#REF!</f>
        <v/>
      </c>
      <c r="AB75" s="175">
        <f>#REF!</f>
        <v/>
      </c>
      <c r="AC75" s="175">
        <f>#REF!</f>
        <v/>
      </c>
      <c r="AD75" s="175">
        <f>Assumption!H200</f>
        <v/>
      </c>
      <c r="AE75" s="175">
        <f>Assumption!I200</f>
        <v/>
      </c>
      <c r="AF75" s="175">
        <f>Assumption!J200</f>
        <v/>
      </c>
      <c r="AG75" s="175">
        <f>Assumption!K200</f>
        <v/>
      </c>
      <c r="AH75" s="175">
        <f>Assumption!L200</f>
        <v/>
      </c>
      <c r="AI75" s="175">
        <f>Assumption!M200</f>
        <v/>
      </c>
      <c r="AJ75" s="175">
        <f>Assumption!N200</f>
        <v/>
      </c>
      <c r="AK75" s="175">
        <f>Assumption!O200</f>
        <v/>
      </c>
      <c r="AL75" s="175">
        <f>Assumption!P200</f>
        <v/>
      </c>
      <c r="AM75" s="175">
        <f>Assumption!Q200</f>
        <v/>
      </c>
      <c r="AN75" s="175">
        <f>Assumption!R200</f>
        <v/>
      </c>
      <c r="AO75" s="175">
        <f>Assumption!S200</f>
        <v/>
      </c>
      <c r="AP75" s="108" t="n"/>
      <c r="AQ75">
        <f>AD75-AC75</f>
        <v/>
      </c>
    </row>
    <row r="76">
      <c r="A76" s="74" t="inlineStr">
        <is>
          <t>Provisions</t>
        </is>
      </c>
      <c r="B76" s="145" t="n"/>
      <c r="C76" s="145" t="n"/>
      <c r="D76" s="145" t="n"/>
      <c r="E76" s="145" t="n"/>
      <c r="F76" s="141" t="n"/>
      <c r="G76" s="141" t="n"/>
      <c r="H76" s="141" t="n"/>
      <c r="I76" s="141" t="n"/>
      <c r="J76" s="141" t="n"/>
      <c r="K76" s="141" t="n"/>
      <c r="L76" s="141" t="n"/>
      <c r="M76" s="175">
        <f>#REF!</f>
        <v/>
      </c>
      <c r="N76" s="175">
        <f>#REF!</f>
        <v/>
      </c>
      <c r="O76" s="175">
        <f>#REF!</f>
        <v/>
      </c>
      <c r="P76" s="175">
        <f>#REF!</f>
        <v/>
      </c>
      <c r="Q76" s="175">
        <f>#REF!</f>
        <v/>
      </c>
      <c r="R76" s="175">
        <f>#REF!</f>
        <v/>
      </c>
      <c r="S76" s="175">
        <f>#REF!</f>
        <v/>
      </c>
      <c r="T76" s="175">
        <f>#REF!</f>
        <v/>
      </c>
      <c r="U76" s="175">
        <f>#REF!</f>
        <v/>
      </c>
      <c r="V76" s="175">
        <f>#REF!</f>
        <v/>
      </c>
      <c r="W76" s="175">
        <f>#REF!</f>
        <v/>
      </c>
      <c r="X76" s="175">
        <f>#REF!</f>
        <v/>
      </c>
      <c r="Y76" s="175">
        <f>#REF!</f>
        <v/>
      </c>
      <c r="Z76" s="175">
        <f>#REF!</f>
        <v/>
      </c>
      <c r="AA76" s="175">
        <f>#REF!</f>
        <v/>
      </c>
      <c r="AB76" s="175">
        <f>#REF!</f>
        <v/>
      </c>
      <c r="AC76" s="175">
        <f>#REF!</f>
        <v/>
      </c>
      <c r="AD76" s="175">
        <f>Assumption!#REF!</f>
        <v/>
      </c>
      <c r="AE76" s="175">
        <f>Assumption!#REF!</f>
        <v/>
      </c>
      <c r="AF76" s="175">
        <f>Assumption!#REF!</f>
        <v/>
      </c>
      <c r="AG76" s="175">
        <f>Assumption!#REF!</f>
        <v/>
      </c>
      <c r="AH76" s="175">
        <f>Assumption!#REF!</f>
        <v/>
      </c>
      <c r="AI76" s="175">
        <f>Assumption!#REF!</f>
        <v/>
      </c>
      <c r="AJ76" s="175">
        <f>Assumption!#REF!</f>
        <v/>
      </c>
      <c r="AK76" s="175">
        <f>Assumption!#REF!</f>
        <v/>
      </c>
      <c r="AL76" s="175">
        <f>Assumption!#REF!</f>
        <v/>
      </c>
      <c r="AM76" s="175">
        <f>Assumption!#REF!</f>
        <v/>
      </c>
      <c r="AN76" s="175">
        <f>Assumption!#REF!</f>
        <v/>
      </c>
      <c r="AO76" s="175">
        <f>Assumption!#REF!</f>
        <v/>
      </c>
      <c r="AP76" s="108" t="n"/>
      <c r="AQ76">
        <f>AD76-AC76</f>
        <v/>
      </c>
    </row>
    <row r="77">
      <c r="A77" s="74">
        <f>#REF!</f>
        <v/>
      </c>
      <c r="B77" s="145" t="n"/>
      <c r="C77" s="145" t="n"/>
      <c r="D77" s="145" t="n"/>
      <c r="E77" s="145" t="n"/>
      <c r="F77" s="141" t="n"/>
      <c r="G77" s="141" t="n"/>
      <c r="H77" s="141" t="n"/>
      <c r="I77" s="141" t="n"/>
      <c r="J77" s="141" t="n"/>
      <c r="K77" s="141" t="n"/>
      <c r="L77" s="141" t="n"/>
      <c r="M77" s="175">
        <f>#REF!</f>
        <v/>
      </c>
      <c r="N77" s="175">
        <f>#REF!</f>
        <v/>
      </c>
      <c r="O77" s="175">
        <f>#REF!</f>
        <v/>
      </c>
      <c r="P77" s="175">
        <f>#REF!</f>
        <v/>
      </c>
      <c r="Q77" s="175">
        <f>#REF!</f>
        <v/>
      </c>
      <c r="R77" s="175">
        <f>#REF!</f>
        <v/>
      </c>
      <c r="S77" s="175">
        <f>#REF!</f>
        <v/>
      </c>
      <c r="T77" s="175">
        <f>#REF!</f>
        <v/>
      </c>
      <c r="U77" s="175">
        <f>#REF!</f>
        <v/>
      </c>
      <c r="V77" s="175">
        <f>#REF!</f>
        <v/>
      </c>
      <c r="W77" s="175">
        <f>#REF!</f>
        <v/>
      </c>
      <c r="X77" s="175">
        <f>#REF!</f>
        <v/>
      </c>
      <c r="Y77" s="175">
        <f>#REF!</f>
        <v/>
      </c>
      <c r="Z77" s="175">
        <f>#REF!</f>
        <v/>
      </c>
      <c r="AA77" s="175">
        <f>#REF!</f>
        <v/>
      </c>
      <c r="AB77" s="175">
        <f>#REF!</f>
        <v/>
      </c>
      <c r="AC77" s="175">
        <f>#REF!</f>
        <v/>
      </c>
      <c r="AD77" s="175">
        <f>Assumption!#REF!</f>
        <v/>
      </c>
      <c r="AE77" s="175">
        <f>Assumption!#REF!</f>
        <v/>
      </c>
      <c r="AF77" s="175">
        <f>Assumption!#REF!</f>
        <v/>
      </c>
      <c r="AG77" s="175">
        <f>Assumption!#REF!</f>
        <v/>
      </c>
      <c r="AH77" s="175">
        <f>Assumption!#REF!</f>
        <v/>
      </c>
      <c r="AI77" s="175">
        <f>Assumption!#REF!</f>
        <v/>
      </c>
      <c r="AJ77" s="175">
        <f>Assumption!#REF!</f>
        <v/>
      </c>
      <c r="AK77" s="175">
        <f>Assumption!#REF!</f>
        <v/>
      </c>
      <c r="AL77" s="175">
        <f>Assumption!#REF!</f>
        <v/>
      </c>
      <c r="AM77" s="175">
        <f>Assumption!#REF!</f>
        <v/>
      </c>
      <c r="AN77" s="175">
        <f>Assumption!#REF!</f>
        <v/>
      </c>
      <c r="AO77" s="175">
        <f>Assumption!#REF!</f>
        <v/>
      </c>
      <c r="AP77" s="108" t="n"/>
      <c r="AQ77">
        <f>AD77-AC77</f>
        <v/>
      </c>
    </row>
    <row r="78">
      <c r="A78" s="74" t="inlineStr">
        <is>
          <t>Others</t>
        </is>
      </c>
      <c r="B78" s="145" t="n"/>
      <c r="C78" s="145" t="n"/>
      <c r="D78" s="145" t="n"/>
      <c r="E78" s="145" t="n"/>
      <c r="F78" s="141" t="n"/>
      <c r="G78" s="141" t="n"/>
      <c r="H78" s="141" t="n"/>
      <c r="I78" s="141" t="n"/>
      <c r="J78" s="141" t="n"/>
      <c r="K78" s="141" t="n"/>
      <c r="L78" s="141" t="n"/>
      <c r="M78" s="86">
        <f>M79-SUM(M73:M77)</f>
        <v/>
      </c>
      <c r="N78" s="86">
        <f>N79-SUM(N73:N77)</f>
        <v/>
      </c>
      <c r="O78" s="86">
        <f>O79-SUM(O73:O77)</f>
        <v/>
      </c>
      <c r="P78" s="86">
        <f>P79-SUM(P73:P77)</f>
        <v/>
      </c>
      <c r="Q78" s="86">
        <f>Q79-SUM(Q73:Q77)</f>
        <v/>
      </c>
      <c r="R78" s="86">
        <f>R79-SUM(R73:R77)</f>
        <v/>
      </c>
      <c r="S78" s="86">
        <f>S79-SUM(S73:S77)</f>
        <v/>
      </c>
      <c r="T78" s="86">
        <f>T79-SUM(T73:T77)</f>
        <v/>
      </c>
      <c r="U78" s="86">
        <f>U79-SUM(U73:U77)</f>
        <v/>
      </c>
      <c r="V78" s="86">
        <f>V79-SUM(V73:V77)</f>
        <v/>
      </c>
      <c r="W78" s="86">
        <f>W79-SUM(W73:W77)</f>
        <v/>
      </c>
      <c r="X78" s="86">
        <f>X79-SUM(X73:X77)</f>
        <v/>
      </c>
      <c r="Y78" s="86">
        <f>Y79-SUM(Y73:Y77)</f>
        <v/>
      </c>
      <c r="Z78" s="86">
        <f>Z79-SUM(Z73:Z77)</f>
        <v/>
      </c>
      <c r="AA78" s="86">
        <f>AA79-SUM(AA73:AA77)</f>
        <v/>
      </c>
      <c r="AB78" s="86">
        <f>AB79-SUM(AB73:AB77)</f>
        <v/>
      </c>
      <c r="AC78" s="86">
        <f>AC79-SUM(AC73:AC77)</f>
        <v/>
      </c>
      <c r="AD78" s="80">
        <f>Assumption!#REF!</f>
        <v/>
      </c>
      <c r="AE78" s="80">
        <f>Assumption!#REF!</f>
        <v/>
      </c>
      <c r="AF78" s="80">
        <f>Assumption!#REF!</f>
        <v/>
      </c>
      <c r="AG78" s="80">
        <f>Assumption!#REF!</f>
        <v/>
      </c>
      <c r="AH78" s="80">
        <f>Assumption!#REF!</f>
        <v/>
      </c>
      <c r="AI78" s="80">
        <f>Assumption!#REF!</f>
        <v/>
      </c>
      <c r="AJ78" s="80">
        <f>Assumption!#REF!</f>
        <v/>
      </c>
      <c r="AK78" s="80">
        <f>Assumption!#REF!</f>
        <v/>
      </c>
      <c r="AL78" s="80">
        <f>Assumption!#REF!</f>
        <v/>
      </c>
      <c r="AM78" s="80">
        <f>Assumption!#REF!</f>
        <v/>
      </c>
      <c r="AN78" s="80">
        <f>Assumption!#REF!</f>
        <v/>
      </c>
      <c r="AO78" s="80">
        <f>Assumption!#REF!</f>
        <v/>
      </c>
      <c r="AP78" s="108" t="n"/>
      <c r="AQ78">
        <f>AD78-AC78</f>
        <v/>
      </c>
    </row>
    <row r="79" customFormat="1" s="22">
      <c r="A79" s="40" t="inlineStr">
        <is>
          <t>Total non-current liabilities</t>
        </is>
      </c>
      <c r="B79" s="128" t="n"/>
      <c r="C79" s="128" t="n"/>
      <c r="D79" s="128" t="n"/>
      <c r="E79" s="128" t="n"/>
      <c r="F79" s="128" t="n"/>
      <c r="G79" s="128" t="n"/>
      <c r="H79" s="128" t="n"/>
      <c r="I79" s="128" t="n"/>
      <c r="J79" s="128" t="n"/>
      <c r="K79" s="128" t="n"/>
      <c r="L79" s="128" t="n"/>
      <c r="M79" s="149">
        <f>#REF!</f>
        <v/>
      </c>
      <c r="N79" s="149">
        <f>#REF!</f>
        <v/>
      </c>
      <c r="O79" s="149">
        <f>#REF!</f>
        <v/>
      </c>
      <c r="P79" s="149">
        <f>#REF!</f>
        <v/>
      </c>
      <c r="Q79" s="149">
        <f>#REF!</f>
        <v/>
      </c>
      <c r="R79" s="149">
        <f>#REF!</f>
        <v/>
      </c>
      <c r="S79" s="149">
        <f>#REF!</f>
        <v/>
      </c>
      <c r="T79" s="149">
        <f>#REF!</f>
        <v/>
      </c>
      <c r="U79" s="149">
        <f>#REF!</f>
        <v/>
      </c>
      <c r="V79" s="149">
        <f>#REF!</f>
        <v/>
      </c>
      <c r="W79" s="149">
        <f>#REF!</f>
        <v/>
      </c>
      <c r="X79" s="149">
        <f>#REF!</f>
        <v/>
      </c>
      <c r="Y79" s="149">
        <f>#REF!</f>
        <v/>
      </c>
      <c r="Z79" s="149">
        <f>#REF!</f>
        <v/>
      </c>
      <c r="AA79" s="149">
        <f>#REF!</f>
        <v/>
      </c>
      <c r="AB79" s="149">
        <f>#REF!</f>
        <v/>
      </c>
      <c r="AC79" s="149">
        <f>#REF!</f>
        <v/>
      </c>
      <c r="AD79" s="123">
        <f>SUM(AD73:AD78)</f>
        <v/>
      </c>
      <c r="AE79" s="123">
        <f>SUM(AE73:AE78)</f>
        <v/>
      </c>
      <c r="AF79" s="123">
        <f>SUM(AF73:AF78)</f>
        <v/>
      </c>
      <c r="AG79" s="123">
        <f>SUM(AG73:AG78)</f>
        <v/>
      </c>
      <c r="AH79" s="123">
        <f>SUM(AH73:AH78)</f>
        <v/>
      </c>
      <c r="AI79" s="123">
        <f>SUM(AI73:AI78)</f>
        <v/>
      </c>
      <c r="AJ79" s="123">
        <f>SUM(AJ73:AJ78)</f>
        <v/>
      </c>
      <c r="AK79" s="123">
        <f>SUM(AK73:AK78)</f>
        <v/>
      </c>
      <c r="AL79" s="123">
        <f>SUM(AL73:AL78)</f>
        <v/>
      </c>
      <c r="AM79" s="123">
        <f>SUM(AM73:AM78)</f>
        <v/>
      </c>
      <c r="AN79" s="123">
        <f>SUM(AN73:AN78)</f>
        <v/>
      </c>
      <c r="AO79" s="123">
        <f>SUM(AO73:AO78)</f>
        <v/>
      </c>
      <c r="AP79" s="108" t="n"/>
      <c r="AQ79" s="22">
        <f>AD79-AC79</f>
        <v/>
      </c>
    </row>
    <row r="80">
      <c r="M80" s="31" t="n"/>
      <c r="N80" s="31" t="n"/>
      <c r="O80" s="31" t="n"/>
      <c r="P80" s="31" t="n"/>
      <c r="Q80" s="31" t="n"/>
      <c r="R80" s="31" t="n"/>
      <c r="S80" s="31" t="n"/>
      <c r="T80" s="31" t="n"/>
      <c r="U80" s="31" t="n"/>
      <c r="V80" s="31" t="n"/>
      <c r="W80" s="31" t="n"/>
      <c r="X80" s="31" t="n"/>
      <c r="Y80" s="31" t="n"/>
      <c r="Z80" s="31" t="n"/>
      <c r="AA80" s="31" t="n"/>
      <c r="AB80" s="31" t="n"/>
      <c r="AC80" s="31" t="n"/>
      <c r="AD80" s="31" t="n"/>
      <c r="AE80" s="31" t="n"/>
      <c r="AF80" s="31" t="n"/>
      <c r="AG80" s="31" t="n"/>
      <c r="AH80" s="31" t="n"/>
      <c r="AI80" s="31" t="n"/>
      <c r="AJ80" s="31" t="n"/>
      <c r="AK80" s="31" t="n"/>
      <c r="AL80" s="31" t="n"/>
      <c r="AM80" s="31" t="n"/>
      <c r="AN80" s="31" t="n"/>
      <c r="AO80" s="31" t="n"/>
      <c r="AP80" s="108" t="n"/>
    </row>
    <row r="81">
      <c r="A81" s="22" t="inlineStr">
        <is>
          <t>Total liabilities</t>
        </is>
      </c>
      <c r="B81" s="128" t="n"/>
      <c r="C81" s="128" t="n"/>
      <c r="D81" s="128" t="n"/>
      <c r="E81" s="128" t="n"/>
      <c r="F81" s="128" t="n"/>
      <c r="G81" s="128" t="n"/>
      <c r="H81" s="128" t="n"/>
      <c r="I81" s="128" t="n"/>
      <c r="J81" s="128" t="n"/>
      <c r="K81" s="128" t="n"/>
      <c r="L81" s="128" t="n"/>
      <c r="M81" s="121">
        <f>SUM(M67,M79)</f>
        <v/>
      </c>
      <c r="N81" s="121">
        <f>SUM(N67,N79)</f>
        <v/>
      </c>
      <c r="O81" s="121">
        <f>SUM(O67,O79)</f>
        <v/>
      </c>
      <c r="P81" s="121">
        <f>SUM(P67,P79)</f>
        <v/>
      </c>
      <c r="Q81" s="121">
        <f>SUM(Q67,Q79)</f>
        <v/>
      </c>
      <c r="R81" s="121">
        <f>SUM(R67,R79)</f>
        <v/>
      </c>
      <c r="S81" s="121">
        <f>SUM(S67,S79)</f>
        <v/>
      </c>
      <c r="T81" s="121">
        <f>SUM(T67,T79)</f>
        <v/>
      </c>
      <c r="U81" s="121">
        <f>SUM(U67,U79)</f>
        <v/>
      </c>
      <c r="V81" s="121">
        <f>SUM(V67,V79)</f>
        <v/>
      </c>
      <c r="W81" s="121">
        <f>SUM(W67,W79)</f>
        <v/>
      </c>
      <c r="X81" s="121">
        <f>SUM(X67,X79)</f>
        <v/>
      </c>
      <c r="Y81" s="121">
        <f>SUM(Y67,Y79)</f>
        <v/>
      </c>
      <c r="Z81" s="121">
        <f>SUM(Z67,Z79)</f>
        <v/>
      </c>
      <c r="AA81" s="121">
        <f>SUM(AA67,AA79)</f>
        <v/>
      </c>
      <c r="AB81" s="121">
        <f>SUM(AB67,AB79)</f>
        <v/>
      </c>
      <c r="AC81" s="121">
        <f>SUM(AC67,AC79)</f>
        <v/>
      </c>
      <c r="AD81" s="121">
        <f>SUM(AD67,AD79)</f>
        <v/>
      </c>
      <c r="AE81" s="121">
        <f>SUM(AE67,AE79)</f>
        <v/>
      </c>
      <c r="AF81" s="121">
        <f>SUM(AF67,AF79)</f>
        <v/>
      </c>
      <c r="AG81" s="121">
        <f>SUM(AG67,AG79)</f>
        <v/>
      </c>
      <c r="AH81" s="121">
        <f>SUM(AH67,AH79)</f>
        <v/>
      </c>
      <c r="AI81" s="121">
        <f>SUM(AI67,AI79)</f>
        <v/>
      </c>
      <c r="AJ81" s="121">
        <f>SUM(AJ67,AJ79)</f>
        <v/>
      </c>
      <c r="AK81" s="121">
        <f>SUM(AK67,AK79)</f>
        <v/>
      </c>
      <c r="AL81" s="121">
        <f>SUM(AL67,AL79)</f>
        <v/>
      </c>
      <c r="AM81" s="121">
        <f>SUM(AM67,AM79)</f>
        <v/>
      </c>
      <c r="AN81" s="121">
        <f>SUM(AN67,AN79)</f>
        <v/>
      </c>
      <c r="AO81" s="121">
        <f>SUM(AO67,AO79)</f>
        <v/>
      </c>
      <c r="AP81" s="108" t="n"/>
      <c r="AQ81">
        <f>AD81-AC81</f>
        <v/>
      </c>
    </row>
    <row r="82">
      <c r="M82" s="31" t="n"/>
      <c r="N82" s="31" t="n"/>
      <c r="O82" s="31" t="n"/>
      <c r="P82" s="31" t="n"/>
      <c r="Q82" s="31" t="n"/>
      <c r="R82" s="31" t="n"/>
      <c r="S82" s="31" t="n"/>
      <c r="T82" s="31" t="n"/>
      <c r="U82" s="31" t="n"/>
      <c r="V82" s="31" t="n"/>
      <c r="W82" s="31" t="n"/>
      <c r="X82" s="31" t="n"/>
      <c r="Y82" s="31" t="n"/>
      <c r="Z82" s="31" t="n"/>
      <c r="AA82" s="31" t="n"/>
      <c r="AB82" s="31" t="n"/>
      <c r="AC82" s="31" t="n"/>
      <c r="AD82" s="31" t="n"/>
      <c r="AE82" s="31" t="n"/>
      <c r="AF82" s="31" t="n"/>
      <c r="AG82" s="31" t="n"/>
      <c r="AH82" s="31" t="n"/>
      <c r="AI82" s="31" t="n"/>
      <c r="AJ82" s="31" t="n"/>
      <c r="AK82" s="31" t="n"/>
      <c r="AL82" s="31" t="n"/>
      <c r="AM82" s="31" t="n"/>
      <c r="AN82" s="31" t="n"/>
      <c r="AO82" s="31" t="n"/>
      <c r="AP82" s="108" t="n"/>
    </row>
    <row r="83">
      <c r="A83" s="22" t="inlineStr">
        <is>
          <t>NET ASSETS</t>
        </is>
      </c>
      <c r="B83" s="128" t="n"/>
      <c r="C83" s="128" t="n"/>
      <c r="D83" s="128" t="n"/>
      <c r="E83" s="128" t="n"/>
      <c r="F83" s="128" t="n"/>
      <c r="G83" s="128" t="n"/>
      <c r="H83" s="128" t="n"/>
      <c r="I83" s="128" t="n"/>
      <c r="J83" s="128" t="n"/>
      <c r="K83" s="128" t="n"/>
      <c r="L83" s="128" t="n"/>
      <c r="M83" s="121">
        <f>M58-M81</f>
        <v/>
      </c>
      <c r="N83" s="121">
        <f>N58-N81</f>
        <v/>
      </c>
      <c r="O83" s="121">
        <f>O58-O81</f>
        <v/>
      </c>
      <c r="P83" s="121">
        <f>P58-P81</f>
        <v/>
      </c>
      <c r="Q83" s="121">
        <f>Q58-Q81</f>
        <v/>
      </c>
      <c r="R83" s="121">
        <f>R58-R81</f>
        <v/>
      </c>
      <c r="S83" s="121">
        <f>S58-S81</f>
        <v/>
      </c>
      <c r="T83" s="121">
        <f>T58-T81</f>
        <v/>
      </c>
      <c r="U83" s="121">
        <f>U58-U81</f>
        <v/>
      </c>
      <c r="V83" s="121">
        <f>V58-V81</f>
        <v/>
      </c>
      <c r="W83" s="121">
        <f>W58-W81</f>
        <v/>
      </c>
      <c r="X83" s="121">
        <f>X58-X81</f>
        <v/>
      </c>
      <c r="Y83" s="121">
        <f>Y58-Y81</f>
        <v/>
      </c>
      <c r="Z83" s="121">
        <f>Z58-Z81</f>
        <v/>
      </c>
      <c r="AA83" s="121">
        <f>AA58-AA81</f>
        <v/>
      </c>
      <c r="AB83" s="121">
        <f>AB58-AB81</f>
        <v/>
      </c>
      <c r="AC83" s="121">
        <f>AC58-AC81</f>
        <v/>
      </c>
      <c r="AD83" s="121">
        <f>AD58-AD81</f>
        <v/>
      </c>
      <c r="AE83" s="121">
        <f>AE58-AE81</f>
        <v/>
      </c>
      <c r="AF83" s="121">
        <f>AF58-AF81</f>
        <v/>
      </c>
      <c r="AG83" s="121">
        <f>AG58-AG81</f>
        <v/>
      </c>
      <c r="AH83" s="121">
        <f>AH58-AH81</f>
        <v/>
      </c>
      <c r="AI83" s="121">
        <f>AI58-AI81</f>
        <v/>
      </c>
      <c r="AJ83" s="121">
        <f>AJ58-AJ81</f>
        <v/>
      </c>
      <c r="AK83" s="121">
        <f>AK58-AK81</f>
        <v/>
      </c>
      <c r="AL83" s="121">
        <f>AL58-AL81</f>
        <v/>
      </c>
      <c r="AM83" s="121">
        <f>AM58-AM81</f>
        <v/>
      </c>
      <c r="AN83" s="121">
        <f>AN58-AN81</f>
        <v/>
      </c>
      <c r="AO83" s="121">
        <f>AO58-AO81</f>
        <v/>
      </c>
      <c r="AP83" s="108" t="n"/>
      <c r="AQ83">
        <f>AD83-AC83</f>
        <v/>
      </c>
    </row>
    <row r="84">
      <c r="M84" s="31" t="n"/>
      <c r="N84" s="31" t="n"/>
      <c r="O84" s="31" t="n"/>
      <c r="P84" s="31" t="n"/>
      <c r="Q84" s="31" t="n"/>
      <c r="R84" s="31" t="n"/>
      <c r="S84" s="31" t="n"/>
      <c r="T84" s="31" t="n"/>
      <c r="U84" s="31" t="n"/>
      <c r="V84" s="31" t="n"/>
      <c r="W84" s="31" t="n"/>
      <c r="X84" s="31" t="n"/>
      <c r="Y84" s="31" t="n"/>
      <c r="Z84" s="31" t="n"/>
      <c r="AA84" s="31" t="n"/>
      <c r="AB84" s="31" t="n"/>
      <c r="AC84" s="31" t="n"/>
      <c r="AD84" s="31" t="n"/>
      <c r="AE84" s="31" t="n"/>
      <c r="AF84" s="31" t="n"/>
      <c r="AG84" s="31" t="n"/>
      <c r="AH84" s="31" t="n"/>
      <c r="AI84" s="31" t="n"/>
      <c r="AJ84" s="31" t="n"/>
      <c r="AK84" s="31" t="n"/>
      <c r="AL84" s="31" t="n"/>
      <c r="AM84" s="31" t="n"/>
      <c r="AN84" s="31" t="n"/>
      <c r="AO84" s="31" t="n"/>
      <c r="AP84" s="108" t="n"/>
    </row>
    <row r="85">
      <c r="A85" s="22" t="inlineStr">
        <is>
          <t>Equity</t>
        </is>
      </c>
      <c r="M85" s="31" t="n"/>
      <c r="N85" s="31" t="n"/>
      <c r="O85" s="31" t="n"/>
      <c r="P85" s="31" t="n"/>
      <c r="Q85" s="31" t="n"/>
      <c r="R85" s="31" t="n"/>
      <c r="S85" s="31" t="n"/>
      <c r="T85" s="31" t="n"/>
      <c r="U85" s="31" t="n"/>
      <c r="V85" s="31" t="n"/>
      <c r="W85" s="31" t="n"/>
      <c r="X85" s="31" t="n"/>
      <c r="Y85" s="31" t="n"/>
      <c r="Z85" s="31" t="n"/>
      <c r="AA85" s="31" t="n"/>
      <c r="AB85" s="31" t="n"/>
      <c r="AC85" s="31" t="n"/>
      <c r="AD85" s="31" t="n"/>
      <c r="AE85" s="31" t="n"/>
      <c r="AF85" s="31" t="n"/>
      <c r="AG85" s="31" t="n"/>
      <c r="AH85" s="31" t="n"/>
      <c r="AI85" s="31" t="n"/>
      <c r="AJ85" s="31" t="n"/>
      <c r="AK85" s="31" t="n"/>
      <c r="AL85" s="31" t="n"/>
      <c r="AM85" s="31" t="n"/>
      <c r="AN85" s="31" t="n"/>
      <c r="AO85" s="31" t="n"/>
      <c r="AP85" s="108" t="n"/>
    </row>
    <row r="86">
      <c r="A86" s="74" t="inlineStr">
        <is>
          <t>Equity attributable to owners of the parent</t>
        </is>
      </c>
      <c r="F86" s="145" t="n"/>
      <c r="G86" s="145" t="n"/>
      <c r="H86" s="145" t="n"/>
      <c r="I86" s="145" t="n"/>
      <c r="J86" s="145" t="n"/>
      <c r="K86" s="145" t="n"/>
      <c r="L86" s="145" t="n"/>
      <c r="M86" s="143" t="n"/>
      <c r="N86" s="143" t="n"/>
      <c r="O86" s="143" t="n"/>
      <c r="P86" s="143" t="n"/>
      <c r="Q86" s="143" t="n"/>
      <c r="R86" s="143" t="n"/>
      <c r="S86" s="143" t="n"/>
      <c r="T86" s="143" t="n"/>
      <c r="U86" s="143" t="n"/>
      <c r="V86" s="143" t="n"/>
      <c r="W86" s="143" t="n"/>
      <c r="X86" s="143" t="n"/>
      <c r="Y86" s="143" t="n"/>
      <c r="Z86" s="143" t="n"/>
      <c r="AA86" s="143" t="n"/>
      <c r="AB86" s="143" t="n"/>
      <c r="AC86" s="143" t="n"/>
      <c r="AD86" s="143" t="n"/>
      <c r="AE86" s="143" t="n"/>
      <c r="AF86" s="143" t="n"/>
      <c r="AG86" s="143" t="n"/>
      <c r="AH86" s="143" t="n"/>
      <c r="AI86" s="143" t="n"/>
      <c r="AJ86" s="143" t="n"/>
      <c r="AK86" s="143" t="n"/>
      <c r="AL86" s="143" t="n"/>
      <c r="AM86" s="143" t="n"/>
      <c r="AN86" s="143" t="n"/>
      <c r="AO86" s="143" t="n"/>
      <c r="AP86" s="108" t="n"/>
    </row>
    <row r="87">
      <c r="A87" s="33" t="inlineStr">
        <is>
          <t>Share capital</t>
        </is>
      </c>
      <c r="B87" s="145" t="n"/>
      <c r="C87" s="145" t="n"/>
      <c r="D87" s="145" t="n"/>
      <c r="E87" s="145" t="n"/>
      <c r="F87" s="141" t="n"/>
      <c r="G87" s="141" t="n"/>
      <c r="H87" s="141" t="n"/>
      <c r="I87" s="141" t="n"/>
      <c r="J87" s="141" t="n"/>
      <c r="K87" s="141" t="n"/>
      <c r="L87" s="141" t="n"/>
      <c r="M87" s="175">
        <f>#REF!</f>
        <v/>
      </c>
      <c r="N87" s="175">
        <f>#REF!</f>
        <v/>
      </c>
      <c r="O87" s="175">
        <f>#REF!</f>
        <v/>
      </c>
      <c r="P87" s="175">
        <f>#REF!</f>
        <v/>
      </c>
      <c r="Q87" s="175">
        <f>#REF!</f>
        <v/>
      </c>
      <c r="R87" s="175">
        <f>#REF!</f>
        <v/>
      </c>
      <c r="S87" s="175">
        <f>#REF!</f>
        <v/>
      </c>
      <c r="T87" s="175">
        <f>#REF!</f>
        <v/>
      </c>
      <c r="U87" s="175">
        <f>#REF!</f>
        <v/>
      </c>
      <c r="V87" s="175">
        <f>#REF!</f>
        <v/>
      </c>
      <c r="W87" s="175">
        <f>#REF!</f>
        <v/>
      </c>
      <c r="X87" s="175">
        <f>#REF!</f>
        <v/>
      </c>
      <c r="Y87" s="175">
        <f>#REF!</f>
        <v/>
      </c>
      <c r="Z87" s="175">
        <f>#REF!</f>
        <v/>
      </c>
      <c r="AA87" s="175">
        <f>#REF!</f>
        <v/>
      </c>
      <c r="AB87" s="175">
        <f>#REF!</f>
        <v/>
      </c>
      <c r="AC87" s="175">
        <f>#REF!</f>
        <v/>
      </c>
      <c r="AD87" s="175">
        <f>Assumption!H224</f>
        <v/>
      </c>
      <c r="AE87" s="175">
        <f>Assumption!I224</f>
        <v/>
      </c>
      <c r="AF87" s="175">
        <f>Assumption!J224</f>
        <v/>
      </c>
      <c r="AG87" s="175">
        <f>Assumption!K224</f>
        <v/>
      </c>
      <c r="AH87" s="175">
        <f>Assumption!L224</f>
        <v/>
      </c>
      <c r="AI87" s="175">
        <f>Assumption!M224</f>
        <v/>
      </c>
      <c r="AJ87" s="175">
        <f>Assumption!N224</f>
        <v/>
      </c>
      <c r="AK87" s="175">
        <f>Assumption!O224</f>
        <v/>
      </c>
      <c r="AL87" s="175">
        <f>Assumption!P224</f>
        <v/>
      </c>
      <c r="AM87" s="175">
        <f>Assumption!Q224</f>
        <v/>
      </c>
      <c r="AN87" s="175">
        <f>Assumption!R224</f>
        <v/>
      </c>
      <c r="AO87" s="175">
        <f>Assumption!S224</f>
        <v/>
      </c>
      <c r="AP87" s="108" t="n"/>
      <c r="AQ87">
        <f>AD87-AC87</f>
        <v/>
      </c>
    </row>
    <row r="88">
      <c r="A88" s="33" t="inlineStr">
        <is>
          <t>Reserves</t>
        </is>
      </c>
      <c r="B88" s="145" t="n"/>
      <c r="C88" s="145" t="n"/>
      <c r="D88" s="145" t="n"/>
      <c r="E88" s="145" t="n"/>
      <c r="F88" s="141" t="n"/>
      <c r="G88" s="141" t="n"/>
      <c r="H88" s="141" t="n"/>
      <c r="I88" s="141" t="n"/>
      <c r="J88" s="141" t="n"/>
      <c r="K88" s="141" t="n"/>
      <c r="L88" s="141" t="n"/>
      <c r="M88" s="86">
        <f>+M89-M87</f>
        <v/>
      </c>
      <c r="N88" s="86">
        <f>+N89-N87</f>
        <v/>
      </c>
      <c r="O88" s="86">
        <f>+O89-O87</f>
        <v/>
      </c>
      <c r="P88" s="86">
        <f>+P89-P87</f>
        <v/>
      </c>
      <c r="Q88" s="86">
        <f>+Q89-Q87</f>
        <v/>
      </c>
      <c r="R88" s="86">
        <f>+R89-R87</f>
        <v/>
      </c>
      <c r="S88" s="86">
        <f>+S89-S87</f>
        <v/>
      </c>
      <c r="T88" s="86">
        <f>+T89-T87</f>
        <v/>
      </c>
      <c r="U88" s="86">
        <f>+U89-U87</f>
        <v/>
      </c>
      <c r="V88" s="86">
        <f>+V89-V87</f>
        <v/>
      </c>
      <c r="W88" s="86">
        <f>+W89-W87</f>
        <v/>
      </c>
      <c r="X88" s="86">
        <f>+X89-X87</f>
        <v/>
      </c>
      <c r="Y88" s="86">
        <f>+Y89-Y87</f>
        <v/>
      </c>
      <c r="Z88" s="86">
        <f>+Z89-Z87</f>
        <v/>
      </c>
      <c r="AA88" s="86">
        <f>+AA89-AA87</f>
        <v/>
      </c>
      <c r="AB88" s="86">
        <f>+AB89-AB87</f>
        <v/>
      </c>
      <c r="AC88" s="86">
        <f>+AC89-AC87</f>
        <v/>
      </c>
      <c r="AD88" s="80">
        <f>Assumption!#REF!</f>
        <v/>
      </c>
      <c r="AE88" s="80">
        <f>Assumption!#REF!</f>
        <v/>
      </c>
      <c r="AF88" s="80">
        <f>Assumption!#REF!</f>
        <v/>
      </c>
      <c r="AG88" s="80">
        <f>Assumption!#REF!</f>
        <v/>
      </c>
      <c r="AH88" s="80">
        <f>Assumption!#REF!</f>
        <v/>
      </c>
      <c r="AI88" s="80">
        <f>Assumption!#REF!</f>
        <v/>
      </c>
      <c r="AJ88" s="80">
        <f>Assumption!#REF!</f>
        <v/>
      </c>
      <c r="AK88" s="80">
        <f>Assumption!#REF!</f>
        <v/>
      </c>
      <c r="AL88" s="80">
        <f>Assumption!#REF!</f>
        <v/>
      </c>
      <c r="AM88" s="80">
        <f>Assumption!#REF!</f>
        <v/>
      </c>
      <c r="AN88" s="80">
        <f>Assumption!#REF!</f>
        <v/>
      </c>
      <c r="AO88" s="80">
        <f>Assumption!#REF!</f>
        <v/>
      </c>
      <c r="AP88" s="108" t="n"/>
      <c r="AQ88">
        <f>AD88-AC88</f>
        <v/>
      </c>
    </row>
    <row r="89" customFormat="1" s="22">
      <c r="A89" s="22" t="inlineStr">
        <is>
          <t>Subtotal</t>
        </is>
      </c>
      <c r="B89" s="128" t="n"/>
      <c r="C89" s="128" t="n"/>
      <c r="D89" s="128" t="n"/>
      <c r="E89" s="128" t="n"/>
      <c r="F89" s="128" t="n"/>
      <c r="G89" s="128" t="n"/>
      <c r="H89" s="128" t="n"/>
      <c r="I89" s="128" t="n"/>
      <c r="J89" s="128" t="n"/>
      <c r="K89" s="128" t="n"/>
      <c r="L89" s="128" t="n"/>
      <c r="M89" s="149">
        <f>#REF!</f>
        <v/>
      </c>
      <c r="N89" s="149">
        <f>#REF!</f>
        <v/>
      </c>
      <c r="O89" s="149">
        <f>#REF!</f>
        <v/>
      </c>
      <c r="P89" s="149">
        <f>#REF!</f>
        <v/>
      </c>
      <c r="Q89" s="149">
        <f>#REF!</f>
        <v/>
      </c>
      <c r="R89" s="149">
        <f>#REF!</f>
        <v/>
      </c>
      <c r="S89" s="149">
        <f>#REF!</f>
        <v/>
      </c>
      <c r="T89" s="149">
        <f>#REF!</f>
        <v/>
      </c>
      <c r="U89" s="149">
        <f>#REF!</f>
        <v/>
      </c>
      <c r="V89" s="149">
        <f>#REF!</f>
        <v/>
      </c>
      <c r="W89" s="149">
        <f>#REF!</f>
        <v/>
      </c>
      <c r="X89" s="149">
        <f>#REF!</f>
        <v/>
      </c>
      <c r="Y89" s="149">
        <f>#REF!</f>
        <v/>
      </c>
      <c r="Z89" s="149">
        <f>#REF!</f>
        <v/>
      </c>
      <c r="AA89" s="149">
        <f>#REF!</f>
        <v/>
      </c>
      <c r="AB89" s="149">
        <f>#REF!</f>
        <v/>
      </c>
      <c r="AC89" s="149">
        <f>#REF!</f>
        <v/>
      </c>
      <c r="AD89" s="123">
        <f>SUM(AD87:AD88)</f>
        <v/>
      </c>
      <c r="AE89" s="123">
        <f>SUM(AE87:AE88)</f>
        <v/>
      </c>
      <c r="AF89" s="123">
        <f>SUM(AF87:AF88)</f>
        <v/>
      </c>
      <c r="AG89" s="123">
        <f>SUM(AG87:AG88)</f>
        <v/>
      </c>
      <c r="AH89" s="123">
        <f>SUM(AH87:AH88)</f>
        <v/>
      </c>
      <c r="AI89" s="123">
        <f>SUM(AI87:AI88)</f>
        <v/>
      </c>
      <c r="AJ89" s="123">
        <f>SUM(AJ87:AJ88)</f>
        <v/>
      </c>
      <c r="AK89" s="123">
        <f>SUM(AK87:AK88)</f>
        <v/>
      </c>
      <c r="AL89" s="123">
        <f>SUM(AL87:AL88)</f>
        <v/>
      </c>
      <c r="AM89" s="123">
        <f>SUM(AM87:AM88)</f>
        <v/>
      </c>
      <c r="AN89" s="123">
        <f>SUM(AN87:AN88)</f>
        <v/>
      </c>
      <c r="AO89" s="123">
        <f>SUM(AO87:AO88)</f>
        <v/>
      </c>
      <c r="AP89" s="108" t="n"/>
      <c r="AQ89" s="22">
        <f>AD89-AC89</f>
        <v/>
      </c>
    </row>
    <row r="90">
      <c r="A90" s="22" t="n"/>
      <c r="F90" s="108" t="n"/>
      <c r="G90" s="108" t="n"/>
      <c r="H90" s="108" t="n"/>
      <c r="I90" s="108" t="n"/>
      <c r="J90" s="108" t="n"/>
      <c r="K90" s="108" t="n"/>
      <c r="L90" s="108"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c r="AG90" s="76" t="n"/>
      <c r="AH90" s="76" t="n"/>
      <c r="AI90" s="76" t="n"/>
      <c r="AJ90" s="76" t="n"/>
      <c r="AK90" s="76" t="n"/>
      <c r="AL90" s="76" t="n"/>
      <c r="AM90" s="76" t="n"/>
      <c r="AN90" s="76" t="n"/>
      <c r="AO90" s="76" t="n"/>
      <c r="AP90" s="108" t="n"/>
      <c r="AQ90">
        <f>AD90-AC90</f>
        <v/>
      </c>
    </row>
    <row r="91">
      <c r="A91" s="44">
        <f>#REF!</f>
        <v/>
      </c>
      <c r="B91" s="145" t="n"/>
      <c r="C91" s="145" t="n"/>
      <c r="D91" s="145" t="n"/>
      <c r="E91" s="145" t="n"/>
      <c r="F91" s="141" t="n"/>
      <c r="G91" s="141" t="n"/>
      <c r="H91" s="141" t="n"/>
      <c r="I91" s="141" t="n"/>
      <c r="J91" s="141" t="n"/>
      <c r="K91" s="141" t="n"/>
      <c r="L91" s="141" t="n"/>
      <c r="M91" s="175">
        <f>#REF!</f>
        <v/>
      </c>
      <c r="N91" s="175">
        <f>#REF!</f>
        <v/>
      </c>
      <c r="O91" s="175">
        <f>#REF!</f>
        <v/>
      </c>
      <c r="P91" s="175">
        <f>#REF!</f>
        <v/>
      </c>
      <c r="Q91" s="175">
        <f>#REF!</f>
        <v/>
      </c>
      <c r="R91" s="175">
        <f>#REF!</f>
        <v/>
      </c>
      <c r="S91" s="175">
        <f>#REF!</f>
        <v/>
      </c>
      <c r="T91" s="175">
        <f>#REF!</f>
        <v/>
      </c>
      <c r="U91" s="175">
        <f>#REF!</f>
        <v/>
      </c>
      <c r="V91" s="175">
        <f>#REF!</f>
        <v/>
      </c>
      <c r="W91" s="175">
        <f>#REF!</f>
        <v/>
      </c>
      <c r="X91" s="175">
        <f>#REF!</f>
        <v/>
      </c>
      <c r="Y91" s="175">
        <f>#REF!</f>
        <v/>
      </c>
      <c r="Z91" s="175">
        <f>#REF!</f>
        <v/>
      </c>
      <c r="AA91" s="175">
        <f>#REF!</f>
        <v/>
      </c>
      <c r="AB91" s="175">
        <f>#REF!</f>
        <v/>
      </c>
      <c r="AC91" s="175">
        <f>#REF!</f>
        <v/>
      </c>
      <c r="AD91" s="88">
        <f>+AC91+AD27</f>
        <v/>
      </c>
      <c r="AE91" s="88">
        <f>+AD91+AE27</f>
        <v/>
      </c>
      <c r="AF91" s="88">
        <f>+AE91+AF27</f>
        <v/>
      </c>
      <c r="AG91" s="88">
        <f>+AF91+AG27</f>
        <v/>
      </c>
      <c r="AH91" s="88">
        <f>+AG91+AH27</f>
        <v/>
      </c>
      <c r="AI91" s="88">
        <f>+AH91+AI27</f>
        <v/>
      </c>
      <c r="AJ91" s="88">
        <f>+AI91+AJ27</f>
        <v/>
      </c>
      <c r="AK91" s="88">
        <f>+AJ91+AK27</f>
        <v/>
      </c>
      <c r="AL91" s="88">
        <f>+AK91+AL27</f>
        <v/>
      </c>
      <c r="AM91" s="88">
        <f>+AL91+AM27</f>
        <v/>
      </c>
      <c r="AN91" s="88">
        <f>+AM91+AN27</f>
        <v/>
      </c>
      <c r="AO91" s="88">
        <f>+AN91+AO27</f>
        <v/>
      </c>
      <c r="AP91" s="108" t="n"/>
      <c r="AQ91">
        <f>AD91-AC91</f>
        <v/>
      </c>
    </row>
    <row r="92">
      <c r="A92" s="22" t="inlineStr">
        <is>
          <t>Total Equity</t>
        </is>
      </c>
      <c r="B92" s="128" t="n"/>
      <c r="C92" s="128" t="n"/>
      <c r="D92" s="128" t="n"/>
      <c r="E92" s="128" t="n"/>
      <c r="F92" s="128" t="n"/>
      <c r="G92" s="128" t="n"/>
      <c r="H92" s="128" t="n"/>
      <c r="I92" s="128" t="n"/>
      <c r="J92" s="128" t="n"/>
      <c r="K92" s="128" t="n"/>
      <c r="L92" s="128" t="n"/>
      <c r="M92" s="121">
        <f>M89+M91</f>
        <v/>
      </c>
      <c r="N92" s="121">
        <f>N89+N91</f>
        <v/>
      </c>
      <c r="O92" s="121">
        <f>O89+O91</f>
        <v/>
      </c>
      <c r="P92" s="121">
        <f>P89+P91</f>
        <v/>
      </c>
      <c r="Q92" s="121">
        <f>Q89+Q91</f>
        <v/>
      </c>
      <c r="R92" s="121">
        <f>R89+R91</f>
        <v/>
      </c>
      <c r="S92" s="121">
        <f>S89+S91</f>
        <v/>
      </c>
      <c r="T92" s="121">
        <f>T89+T91</f>
        <v/>
      </c>
      <c r="U92" s="121">
        <f>U89+U91</f>
        <v/>
      </c>
      <c r="V92" s="121">
        <f>V89+V91</f>
        <v/>
      </c>
      <c r="W92" s="121">
        <f>W89+W91</f>
        <v/>
      </c>
      <c r="X92" s="121">
        <f>X89+X91</f>
        <v/>
      </c>
      <c r="Y92" s="121">
        <f>Y89+Y91</f>
        <v/>
      </c>
      <c r="Z92" s="121">
        <f>Z89+Z91</f>
        <v/>
      </c>
      <c r="AA92" s="121">
        <f>AA89+AA91</f>
        <v/>
      </c>
      <c r="AB92" s="121">
        <f>AB89+AB91</f>
        <v/>
      </c>
      <c r="AC92" s="121">
        <f>AC89+AC91</f>
        <v/>
      </c>
      <c r="AD92" s="121">
        <f>AD89+AD91</f>
        <v/>
      </c>
      <c r="AE92" s="121">
        <f>AE89+AE91</f>
        <v/>
      </c>
      <c r="AF92" s="121">
        <f>AF89+AF91</f>
        <v/>
      </c>
      <c r="AG92" s="121">
        <f>AG89+AG91</f>
        <v/>
      </c>
      <c r="AH92" s="121">
        <f>AH89+AH91</f>
        <v/>
      </c>
      <c r="AI92" s="121">
        <f>AI89+AI91</f>
        <v/>
      </c>
      <c r="AJ92" s="121">
        <f>AJ89+AJ91</f>
        <v/>
      </c>
      <c r="AK92" s="121">
        <f>AK89+AK91</f>
        <v/>
      </c>
      <c r="AL92" s="121">
        <f>AL89+AL91</f>
        <v/>
      </c>
      <c r="AM92" s="121">
        <f>AM89+AM91</f>
        <v/>
      </c>
      <c r="AN92" s="121">
        <f>AN89+AN91</f>
        <v/>
      </c>
      <c r="AO92" s="121">
        <f>AO89+AO91</f>
        <v/>
      </c>
      <c r="AP92" s="108" t="n"/>
      <c r="AQ92">
        <f>AD92-AC92</f>
        <v/>
      </c>
    </row>
    <row r="93" customFormat="1" s="281">
      <c r="A93" s="279" t="inlineStr">
        <is>
          <t>Error Check</t>
        </is>
      </c>
      <c r="B93" s="280" t="n"/>
      <c r="C93" s="280" t="n"/>
      <c r="D93" s="280" t="n"/>
      <c r="E93" s="280" t="n"/>
      <c r="F93" s="280" t="n"/>
      <c r="G93" s="280" t="n"/>
      <c r="H93" s="280" t="n"/>
      <c r="I93" s="280" t="n"/>
      <c r="J93" s="280" t="n"/>
      <c r="K93" s="280" t="n"/>
      <c r="L93" s="280" t="n"/>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c r="V93" s="280">
        <f>ROUND(V58-V81-V92,0)</f>
        <v/>
      </c>
      <c r="W93" s="280">
        <f>ROUND(W58-W81-W92,0)</f>
        <v/>
      </c>
      <c r="X93" s="280">
        <f>ROUND(X58-X81-X92,0)</f>
        <v/>
      </c>
      <c r="Y93" s="280">
        <f>ROUND(Y58-Y81-Y92,0)</f>
        <v/>
      </c>
      <c r="Z93" s="280">
        <f>ROUND(Z58-Z81-Z92,0)</f>
        <v/>
      </c>
      <c r="AA93" s="280">
        <f>ROUND(AA58-AA81-AA92,0)</f>
        <v/>
      </c>
      <c r="AB93" s="280">
        <f>ROUND(AB58-AB81-AB92,0)</f>
        <v/>
      </c>
      <c r="AC93" s="280">
        <f>ROUND(AC58-AC81-AC92,0)</f>
        <v/>
      </c>
      <c r="AD93" s="280">
        <f>ROUND(AD58-AD81-AD92,0)</f>
        <v/>
      </c>
      <c r="AE93" s="280">
        <f>ROUND(AE58-AE81-AE92,0)</f>
        <v/>
      </c>
      <c r="AF93" s="280">
        <f>ROUND(AF58-AF81-AF92,0)</f>
        <v/>
      </c>
      <c r="AG93" s="280">
        <f>ROUND(AG58-AG81-AG92,0)</f>
        <v/>
      </c>
      <c r="AH93" s="280">
        <f>ROUND(AH58-AH81-AH92,0)</f>
        <v/>
      </c>
      <c r="AI93" s="280">
        <f>ROUND(AI58-AI81-AI92,0)</f>
        <v/>
      </c>
      <c r="AJ93" s="280">
        <f>ROUND(AJ58-AJ81-AJ92,0)</f>
        <v/>
      </c>
      <c r="AK93" s="280">
        <f>ROUND(AK58-AK81-AK92,0)</f>
        <v/>
      </c>
      <c r="AL93" s="280">
        <f>ROUND(AL58-AL81-AL92,0)</f>
        <v/>
      </c>
      <c r="AM93" s="280">
        <f>ROUND(AM58-AM81-AM92,0)</f>
        <v/>
      </c>
      <c r="AN93" s="280">
        <f>ROUND(AN58-AN81-AN92,0)</f>
        <v/>
      </c>
      <c r="AO93" s="280">
        <f>ROUND(AO58-AO81-AO92,0)</f>
        <v/>
      </c>
      <c r="AP93" s="108" t="n"/>
    </row>
    <row r="94">
      <c r="A94" s="136" t="n"/>
      <c r="B94" s="137" t="n"/>
      <c r="C94" s="137" t="n"/>
      <c r="D94" s="137" t="n"/>
      <c r="E94" s="137" t="n"/>
      <c r="F94" s="137" t="n"/>
      <c r="G94" s="137" t="n"/>
      <c r="H94" s="137" t="n"/>
      <c r="I94" s="137" t="n"/>
      <c r="J94" s="137" t="n"/>
      <c r="K94" s="137" t="n"/>
      <c r="L94" s="137" t="n"/>
      <c r="M94" s="151" t="n"/>
      <c r="N94" s="151" t="n"/>
      <c r="O94" s="151" t="n"/>
      <c r="P94" s="151" t="n"/>
      <c r="Q94" s="151" t="n"/>
      <c r="R94" s="151" t="n"/>
      <c r="S94" s="151" t="n"/>
      <c r="T94" s="151" t="n"/>
      <c r="U94" s="151" t="n"/>
      <c r="V94" s="151" t="n"/>
      <c r="W94" s="151" t="n"/>
      <c r="X94" s="151" t="n"/>
      <c r="Y94" s="151" t="n"/>
      <c r="Z94" s="151" t="n"/>
      <c r="AA94" s="151" t="n"/>
      <c r="AB94" s="151" t="n"/>
      <c r="AC94" s="151" t="n"/>
      <c r="AD94" s="151" t="n"/>
      <c r="AE94" s="151" t="n"/>
      <c r="AF94" s="151" t="n"/>
      <c r="AG94" s="151" t="n"/>
      <c r="AH94" s="151" t="n"/>
      <c r="AI94" s="151" t="n"/>
      <c r="AJ94" s="151" t="n"/>
      <c r="AK94" s="151" t="n"/>
      <c r="AL94" s="151" t="n"/>
      <c r="AM94" s="151" t="n"/>
      <c r="AN94" s="151" t="n"/>
      <c r="AO94" s="151" t="n"/>
      <c r="AP94" s="108" t="n"/>
    </row>
    <row r="95">
      <c r="A95" s="136" t="n"/>
      <c r="B95" s="137" t="n"/>
      <c r="C95" s="137" t="n"/>
      <c r="D95" s="137" t="n"/>
      <c r="E95" s="137" t="n"/>
      <c r="F95" s="137" t="n"/>
      <c r="G95" s="137" t="n"/>
      <c r="H95" s="137" t="n"/>
      <c r="I95" s="137" t="n"/>
      <c r="J95" s="137" t="n"/>
      <c r="K95" s="137" t="n"/>
      <c r="L95" s="137" t="n"/>
      <c r="M95" s="151" t="n"/>
      <c r="N95" s="151" t="n"/>
      <c r="O95" s="151" t="n"/>
      <c r="P95" s="151" t="n"/>
      <c r="Q95" s="151" t="n"/>
      <c r="R95" s="151" t="n"/>
      <c r="S95" s="151" t="n"/>
      <c r="T95" s="151" t="n"/>
      <c r="U95" s="151" t="n"/>
      <c r="V95" s="151" t="n"/>
      <c r="W95" s="151" t="n"/>
      <c r="X95" s="151" t="n"/>
      <c r="Y95" s="151" t="n"/>
      <c r="Z95" s="151" t="n"/>
      <c r="AA95" s="151" t="n"/>
      <c r="AB95" s="151" t="n"/>
      <c r="AC95" s="151" t="n"/>
      <c r="AD95" s="151" t="n"/>
      <c r="AE95" s="151" t="n"/>
      <c r="AF95" s="151" t="n"/>
      <c r="AG95" s="151" t="n"/>
      <c r="AH95" s="151" t="n"/>
      <c r="AI95" s="151" t="n"/>
      <c r="AJ95" s="151" t="n"/>
      <c r="AK95" s="151" t="n"/>
      <c r="AL95" s="151" t="n"/>
      <c r="AM95" s="151" t="n"/>
      <c r="AN95" s="151" t="n"/>
      <c r="AO95" s="151" t="n"/>
      <c r="AP95" s="108" t="n"/>
    </row>
    <row r="96">
      <c r="A96" s="22" t="inlineStr">
        <is>
          <t>BVPS  (Basic)</t>
        </is>
      </c>
      <c r="B96" s="137" t="n"/>
      <c r="C96" s="137" t="n"/>
      <c r="D96" s="137" t="n"/>
      <c r="E96" s="137" t="n"/>
      <c r="F96" s="137" t="n"/>
      <c r="G96" s="137" t="n"/>
      <c r="H96" s="137" t="n"/>
      <c r="I96" s="137" t="n"/>
      <c r="J96" s="137" t="n"/>
      <c r="K96" s="137" t="n"/>
      <c r="L96" s="137" t="n"/>
      <c r="M96" s="380">
        <f>+M$89/Assumption!#REF!/M$226</f>
        <v/>
      </c>
      <c r="N96" s="380">
        <f>+N89/Assumption!#REF!/N226</f>
        <v/>
      </c>
      <c r="O96" s="380">
        <f>+O89/Assumption!#REF!/O226</f>
        <v/>
      </c>
      <c r="P96" s="380">
        <f>+P89/Assumption!#REF!/P226</f>
        <v/>
      </c>
      <c r="Q96" s="380">
        <f>+Q89/Assumption!#REF!/Q226</f>
        <v/>
      </c>
      <c r="R96" s="380">
        <f>+R89/Assumption!#REF!/R226</f>
        <v/>
      </c>
      <c r="S96" s="380">
        <f>+S89/Assumption!#REF!/S226</f>
        <v/>
      </c>
      <c r="T96" s="380">
        <f>+T89/Assumption!#REF!/T226</f>
        <v/>
      </c>
      <c r="U96" s="380">
        <f>+U89/Assumption!#REF!/U226</f>
        <v/>
      </c>
      <c r="V96" s="380">
        <f>+V89/Assumption!#REF!/V226</f>
        <v/>
      </c>
      <c r="W96" s="380">
        <f>+W89/Assumption!#REF!/W226</f>
        <v/>
      </c>
      <c r="X96" s="380">
        <f>+X89/Assumption!#REF!/X226</f>
        <v/>
      </c>
      <c r="Y96" s="380">
        <f>+Y89/Assumption!#REF!/Y226</f>
        <v/>
      </c>
      <c r="Z96" s="380">
        <f>+Z89/Assumption!#REF!/Z226</f>
        <v/>
      </c>
      <c r="AA96" s="380">
        <f>+AA89/Assumption!#REF!/AA226</f>
        <v/>
      </c>
      <c r="AB96" s="380">
        <f>+AB89/Assumption!#REF!/AB226</f>
        <v/>
      </c>
      <c r="AC96" s="380">
        <f>+AC89/Assumption!#REF!/AC226</f>
        <v/>
      </c>
      <c r="AD96" s="380">
        <f>+AD89/Assumption!#REF!/AD226</f>
        <v/>
      </c>
      <c r="AE96" s="380">
        <f>+AE89/Assumption!#REF!/AE226</f>
        <v/>
      </c>
      <c r="AF96" s="380">
        <f>+AF89/Assumption!#REF!/AF226</f>
        <v/>
      </c>
      <c r="AG96" s="380">
        <f>+AG89/Assumption!#REF!/AG226</f>
        <v/>
      </c>
      <c r="AH96" s="380">
        <f>+AH89/Assumption!#REF!/AH226</f>
        <v/>
      </c>
      <c r="AI96" s="380">
        <f>+AI89/Assumption!#REF!/AI226</f>
        <v/>
      </c>
      <c r="AJ96" s="380">
        <f>+AJ89/Assumption!#REF!/AJ226</f>
        <v/>
      </c>
      <c r="AK96" s="380">
        <f>+AK89/Assumption!#REF!/AK226</f>
        <v/>
      </c>
      <c r="AL96" s="380">
        <f>+AL89/Assumption!#REF!/AL226</f>
        <v/>
      </c>
      <c r="AM96" s="380">
        <f>+AM89/Assumption!#REF!/AM226</f>
        <v/>
      </c>
      <c r="AN96" s="380">
        <f>+AN89/Assumption!#REF!/AN226</f>
        <v/>
      </c>
      <c r="AO96" s="380">
        <f>+AO89/Assumption!#REF!/AO226</f>
        <v/>
      </c>
      <c r="AP96" s="108" t="n"/>
    </row>
    <row r="97">
      <c r="A97" s="22" t="inlineStr">
        <is>
          <t>BVPS  (Diluted)</t>
        </is>
      </c>
      <c r="B97" s="137" t="n"/>
      <c r="C97" s="137" t="n"/>
      <c r="D97" s="137" t="n"/>
      <c r="E97" s="137" t="n"/>
      <c r="F97" s="137" t="n"/>
      <c r="G97" s="137" t="n"/>
      <c r="H97" s="137" t="n"/>
      <c r="I97" s="137" t="n"/>
      <c r="J97" s="137" t="n"/>
      <c r="K97" s="137" t="n"/>
      <c r="L97" s="137" t="n"/>
      <c r="M97" s="380">
        <f>+M$89/Assumption!#REF!/M$226</f>
        <v/>
      </c>
      <c r="N97" s="380">
        <f>+N$89/Assumption!#REF!/N$226</f>
        <v/>
      </c>
      <c r="O97" s="380">
        <f>+O$89/Assumption!#REF!/O$226</f>
        <v/>
      </c>
      <c r="P97" s="380">
        <f>+P$89/Assumption!#REF!/P$226</f>
        <v/>
      </c>
      <c r="Q97" s="380">
        <f>+Q$89/Assumption!#REF!/Q$226</f>
        <v/>
      </c>
      <c r="R97" s="380">
        <f>+R$89/Assumption!#REF!/R$226</f>
        <v/>
      </c>
      <c r="S97" s="380">
        <f>+S$89/Assumption!#REF!/S$226</f>
        <v/>
      </c>
      <c r="T97" s="380">
        <f>+T$89/Assumption!#REF!/T$226</f>
        <v/>
      </c>
      <c r="U97" s="380">
        <f>+U$89/Assumption!#REF!/U$226</f>
        <v/>
      </c>
      <c r="V97" s="380">
        <f>+V$89/Assumption!#REF!/V$226</f>
        <v/>
      </c>
      <c r="W97" s="380">
        <f>+W$89/Assumption!#REF!/W$226</f>
        <v/>
      </c>
      <c r="X97" s="380">
        <f>+X$89/Assumption!#REF!/X$226</f>
        <v/>
      </c>
      <c r="Y97" s="380">
        <f>+Y$89/Assumption!#REF!/Y$226</f>
        <v/>
      </c>
      <c r="Z97" s="380">
        <f>+Z$89/Assumption!#REF!/Z$226</f>
        <v/>
      </c>
      <c r="AA97" s="380">
        <f>+AA$89/Assumption!#REF!/AA$226</f>
        <v/>
      </c>
      <c r="AB97" s="380">
        <f>+AB$89/Assumption!#REF!/AB$226</f>
        <v/>
      </c>
      <c r="AC97" s="380">
        <f>+AC$89/Assumption!#REF!/AC$226</f>
        <v/>
      </c>
      <c r="AD97" s="380">
        <f>+AD$89/Assumption!#REF!/AD$226</f>
        <v/>
      </c>
      <c r="AE97" s="380">
        <f>+AE$89/Assumption!#REF!/AE$226</f>
        <v/>
      </c>
      <c r="AF97" s="380">
        <f>+AF$89/Assumption!#REF!/AF$226</f>
        <v/>
      </c>
      <c r="AG97" s="380">
        <f>+AG$89/Assumption!#REF!/AG$226</f>
        <v/>
      </c>
      <c r="AH97" s="380">
        <f>+AH$89/Assumption!#REF!/AH$226</f>
        <v/>
      </c>
      <c r="AI97" s="380">
        <f>+AI$89/Assumption!#REF!/AI$226</f>
        <v/>
      </c>
      <c r="AJ97" s="380">
        <f>+AJ$89/Assumption!#REF!/AJ$226</f>
        <v/>
      </c>
      <c r="AK97" s="380">
        <f>+AK$89/Assumption!#REF!/AK$226</f>
        <v/>
      </c>
      <c r="AL97" s="380">
        <f>+AL$89/Assumption!#REF!/AL$226</f>
        <v/>
      </c>
      <c r="AM97" s="380">
        <f>+AM$89/Assumption!#REF!/AM$226</f>
        <v/>
      </c>
      <c r="AN97" s="380">
        <f>+AN$89/Assumption!#REF!/AN$226</f>
        <v/>
      </c>
      <c r="AO97" s="380">
        <f>+AO$89/Assumption!#REF!/AO$226</f>
        <v/>
      </c>
      <c r="AP97" s="108" t="n"/>
    </row>
    <row r="98">
      <c r="A98" s="22" t="n"/>
      <c r="B98" s="128" t="n"/>
      <c r="C98" s="128" t="n"/>
      <c r="D98" s="128" t="n"/>
      <c r="E98" s="128" t="n"/>
      <c r="F98" s="128" t="n"/>
      <c r="G98" s="128" t="n"/>
      <c r="H98" s="128" t="n"/>
      <c r="I98" s="128" t="n"/>
      <c r="J98" s="128" t="n"/>
      <c r="K98" s="128" t="n"/>
      <c r="L98" s="128" t="n"/>
      <c r="M98" s="122" t="n"/>
      <c r="N98" s="122" t="n"/>
      <c r="O98" s="122" t="n"/>
      <c r="P98" s="122" t="n"/>
      <c r="Q98" s="122" t="n"/>
      <c r="R98" s="122" t="n"/>
      <c r="S98" s="122" t="n"/>
      <c r="T98" s="122" t="n"/>
      <c r="U98" s="122" t="n"/>
      <c r="V98" s="122" t="n"/>
      <c r="W98" s="122" t="n"/>
      <c r="X98" s="122" t="n"/>
      <c r="Y98" s="122" t="n"/>
      <c r="Z98" s="122" t="n"/>
      <c r="AA98" s="122" t="n"/>
      <c r="AB98" s="122" t="n"/>
      <c r="AC98" s="122" t="n"/>
      <c r="AD98" s="122" t="n"/>
      <c r="AE98" s="122" t="n"/>
      <c r="AF98" s="122" t="n"/>
      <c r="AG98" s="122" t="n"/>
      <c r="AH98" s="122" t="n"/>
      <c r="AI98" s="122" t="n"/>
      <c r="AJ98" s="122" t="n"/>
      <c r="AK98" s="122" t="n"/>
      <c r="AL98" s="122" t="n"/>
      <c r="AM98" s="122" t="n"/>
      <c r="AN98" s="122" t="n"/>
      <c r="AO98" s="122" t="n"/>
      <c r="AP98" s="108" t="n"/>
    </row>
    <row r="99">
      <c r="A99" s="81" t="inlineStr">
        <is>
          <t>CONSOLIDATED CASH FLOW STATEMENT (RMB Million)</t>
        </is>
      </c>
      <c r="M99" s="31" t="n"/>
      <c r="N99" s="31" t="n"/>
      <c r="O99" s="31" t="n"/>
      <c r="P99" s="31" t="n"/>
      <c r="Q99" s="31" t="n"/>
      <c r="R99" s="31" t="n"/>
      <c r="S99" s="31" t="n"/>
      <c r="T99" s="31" t="n"/>
      <c r="U99" s="31" t="n"/>
      <c r="V99" s="31" t="n"/>
      <c r="W99" s="31" t="n"/>
      <c r="X99" s="31" t="n"/>
      <c r="Y99" s="31" t="n"/>
      <c r="Z99" s="31" t="n"/>
      <c r="AA99" s="31" t="n"/>
      <c r="AB99" s="31" t="n"/>
      <c r="AC99" s="31" t="n"/>
      <c r="AD99" s="31" t="n"/>
      <c r="AE99" s="31" t="n"/>
      <c r="AF99" s="31" t="n"/>
      <c r="AG99" s="31" t="n"/>
      <c r="AH99" s="31" t="n"/>
      <c r="AI99" s="31" t="n"/>
      <c r="AJ99" s="31" t="n"/>
      <c r="AK99" s="31" t="n"/>
      <c r="AL99" s="31" t="n"/>
      <c r="AM99" s="31" t="n"/>
      <c r="AN99" s="31" t="n"/>
      <c r="AO99" s="31" t="n"/>
      <c r="AP99" s="108" t="n"/>
    </row>
    <row r="100">
      <c r="M100" s="31" t="n"/>
      <c r="N100" s="31" t="n"/>
      <c r="O100" s="31" t="n"/>
      <c r="P100" s="31" t="n"/>
      <c r="Q100" s="31" t="n"/>
      <c r="R100" s="31" t="n"/>
      <c r="S100" s="31" t="n"/>
      <c r="T100" s="31" t="n"/>
      <c r="U100" s="31" t="n"/>
      <c r="V100" s="31" t="n"/>
      <c r="W100" s="31" t="n"/>
      <c r="X100" s="31" t="n"/>
      <c r="Y100" s="31" t="n"/>
      <c r="Z100" s="31" t="n"/>
      <c r="AA100" s="31" t="n"/>
      <c r="AB100" s="31" t="n"/>
      <c r="AC100" s="140" t="n"/>
      <c r="AD100" s="140" t="n"/>
      <c r="AE100" s="140" t="n"/>
      <c r="AF100" s="140" t="n"/>
      <c r="AG100" s="140" t="n"/>
      <c r="AH100" s="140" t="n"/>
      <c r="AI100" s="140" t="n"/>
      <c r="AJ100" s="140" t="n"/>
      <c r="AK100" s="140" t="n"/>
      <c r="AL100" s="140" t="n"/>
      <c r="AM100" s="140" t="n"/>
      <c r="AN100" s="140" t="n"/>
      <c r="AO100" s="140" t="n"/>
      <c r="AP100" s="108" t="n"/>
    </row>
    <row r="101">
      <c r="A101" s="22" t="inlineStr">
        <is>
          <t>Operating activities</t>
        </is>
      </c>
      <c r="F101" s="108" t="n"/>
      <c r="M101" s="31" t="n"/>
      <c r="N101" s="31" t="n"/>
      <c r="O101" s="31" t="n"/>
      <c r="P101" s="31" t="n"/>
      <c r="Q101" s="31" t="n"/>
      <c r="R101" s="31" t="n"/>
      <c r="S101" s="31" t="n"/>
      <c r="T101" s="31" t="n"/>
      <c r="U101" s="31" t="n"/>
      <c r="V101" s="31" t="n"/>
      <c r="W101" s="31" t="n"/>
      <c r="X101" s="31" t="n"/>
      <c r="Y101" s="31" t="n"/>
      <c r="Z101" s="31" t="n"/>
      <c r="AA101" s="31" t="n"/>
      <c r="AB101" s="31" t="n"/>
      <c r="AC101" s="31" t="n"/>
      <c r="AD101" s="31" t="n"/>
      <c r="AE101" s="31" t="n"/>
      <c r="AF101" s="31" t="n"/>
      <c r="AG101" s="31" t="n"/>
      <c r="AH101" s="31" t="n"/>
      <c r="AI101" s="31" t="n"/>
      <c r="AJ101" s="31" t="n"/>
      <c r="AK101" s="31" t="n"/>
      <c r="AL101" s="31" t="n"/>
      <c r="AM101" s="31" t="n"/>
      <c r="AN101" s="31" t="n"/>
      <c r="AO101" s="31" t="n"/>
      <c r="AP101" s="108" t="n"/>
    </row>
    <row r="102">
      <c r="A102" s="105" t="inlineStr">
        <is>
          <t>Profit before taxation</t>
        </is>
      </c>
      <c r="F102" s="145" t="n"/>
      <c r="M102" s="86">
        <f>M22</f>
        <v/>
      </c>
      <c r="N102" s="86">
        <f>N22</f>
        <v/>
      </c>
      <c r="O102" s="86">
        <f>O22</f>
        <v/>
      </c>
      <c r="P102" s="86">
        <f>P22</f>
        <v/>
      </c>
      <c r="Q102" s="86">
        <f>Q22</f>
        <v/>
      </c>
      <c r="R102" s="86">
        <f>R22</f>
        <v/>
      </c>
      <c r="S102" s="86">
        <f>S22</f>
        <v/>
      </c>
      <c r="T102" s="86">
        <f>T22</f>
        <v/>
      </c>
      <c r="U102" s="86">
        <f>U22</f>
        <v/>
      </c>
      <c r="V102" s="86">
        <f>V22</f>
        <v/>
      </c>
      <c r="W102" s="86">
        <f>W22</f>
        <v/>
      </c>
      <c r="X102" s="86">
        <f>X22</f>
        <v/>
      </c>
      <c r="Y102" s="86">
        <f>Y22</f>
        <v/>
      </c>
      <c r="Z102" s="86">
        <f>Z22</f>
        <v/>
      </c>
      <c r="AA102" s="86">
        <f>AA22</f>
        <v/>
      </c>
      <c r="AB102" s="86">
        <f>AB22</f>
        <v/>
      </c>
      <c r="AC102" s="86">
        <f>AC22</f>
        <v/>
      </c>
      <c r="AD102" s="86">
        <f>AD22</f>
        <v/>
      </c>
      <c r="AE102" s="86">
        <f>AE22</f>
        <v/>
      </c>
      <c r="AF102" s="86">
        <f>AF22</f>
        <v/>
      </c>
      <c r="AG102" s="86">
        <f>AG22</f>
        <v/>
      </c>
      <c r="AH102" s="86">
        <f>AH22</f>
        <v/>
      </c>
      <c r="AI102" s="86">
        <f>AI22</f>
        <v/>
      </c>
      <c r="AJ102" s="86">
        <f>AJ22</f>
        <v/>
      </c>
      <c r="AK102" s="86">
        <f>AK22</f>
        <v/>
      </c>
      <c r="AL102" s="86">
        <f>AL22</f>
        <v/>
      </c>
      <c r="AM102" s="86">
        <f>AM22</f>
        <v/>
      </c>
      <c r="AN102" s="86">
        <f>AN22</f>
        <v/>
      </c>
      <c r="AO102" s="86">
        <f>AO22</f>
        <v/>
      </c>
      <c r="AP102" s="108" t="n"/>
    </row>
    <row r="103">
      <c r="A103" t="inlineStr">
        <is>
          <t>Adjustments for:</t>
        </is>
      </c>
      <c r="F103" s="141" t="n"/>
      <c r="M103" s="31" t="n"/>
      <c r="N103" s="31" t="n"/>
      <c r="O103" s="31" t="n"/>
      <c r="P103" s="31" t="n"/>
      <c r="Q103" s="31" t="n"/>
      <c r="R103" s="31" t="n"/>
      <c r="S103" s="31" t="n"/>
      <c r="T103" s="31" t="n"/>
      <c r="U103" s="31" t="n"/>
      <c r="V103" s="31" t="n"/>
      <c r="W103" s="31" t="n"/>
      <c r="X103" s="31" t="n"/>
      <c r="Y103" s="31" t="n"/>
      <c r="Z103" s="31" t="n"/>
      <c r="AA103" s="31" t="n"/>
      <c r="AB103" s="31" t="n"/>
      <c r="AC103" s="31">
        <f>SUM(AC104:AC105)</f>
        <v/>
      </c>
      <c r="AD103" s="31">
        <f>SUM(AD104:AD105)</f>
        <v/>
      </c>
      <c r="AE103" s="31">
        <f>SUM(AE104:AE105)</f>
        <v/>
      </c>
      <c r="AF103" s="31" t="n"/>
      <c r="AG103" s="31" t="n"/>
      <c r="AH103" s="31" t="n"/>
      <c r="AI103" s="31" t="n"/>
      <c r="AJ103" s="31" t="n"/>
      <c r="AK103" s="31" t="n"/>
      <c r="AL103" s="31" t="n"/>
      <c r="AM103" s="31" t="n"/>
      <c r="AN103" s="31" t="n"/>
      <c r="AO103" s="31" t="n"/>
      <c r="AP103" s="108" t="n"/>
    </row>
    <row r="104">
      <c r="A104" s="74" t="inlineStr">
        <is>
          <t>Depreciation for property, plant and equipment</t>
        </is>
      </c>
      <c r="F104" s="145" t="n"/>
      <c r="M104" s="79">
        <f>-Assumption!#REF!</f>
        <v/>
      </c>
      <c r="N104" s="79">
        <f>-Assumption!#REF!</f>
        <v/>
      </c>
      <c r="O104" s="79">
        <f>-Assumption!#REF!</f>
        <v/>
      </c>
      <c r="P104" s="79">
        <f>-Assumption!#REF!</f>
        <v/>
      </c>
      <c r="Q104" s="79">
        <f>-Assumption!#REF!</f>
        <v/>
      </c>
      <c r="R104" s="79">
        <f>-Assumption!#REF!</f>
        <v/>
      </c>
      <c r="S104" s="79">
        <f>-Assumption!#REF!</f>
        <v/>
      </c>
      <c r="T104" s="79">
        <f>-Assumption!#REF!</f>
        <v/>
      </c>
      <c r="U104" s="79">
        <f>-Assumption!#REF!</f>
        <v/>
      </c>
      <c r="V104" s="79">
        <f>-Assumption!#REF!</f>
        <v/>
      </c>
      <c r="W104" s="79">
        <f>-Assumption!#REF!</f>
        <v/>
      </c>
      <c r="X104" s="79">
        <f>-Assumption!B178</f>
        <v/>
      </c>
      <c r="Y104" s="79">
        <f>-Assumption!C178</f>
        <v/>
      </c>
      <c r="Z104" s="79">
        <f>-Assumption!D178</f>
        <v/>
      </c>
      <c r="AA104" s="79">
        <f>-Assumption!E178</f>
        <v/>
      </c>
      <c r="AB104" s="79">
        <f>-Assumption!F178</f>
        <v/>
      </c>
      <c r="AC104" s="79">
        <f>-Assumption!G178</f>
        <v/>
      </c>
      <c r="AD104" s="79">
        <f>-Assumption!H178</f>
        <v/>
      </c>
      <c r="AE104" s="79">
        <f>-Assumption!I178</f>
        <v/>
      </c>
      <c r="AF104" s="79">
        <f>-Assumption!J178</f>
        <v/>
      </c>
      <c r="AG104" s="79">
        <f>-Assumption!K178</f>
        <v/>
      </c>
      <c r="AH104" s="79">
        <f>-Assumption!L178</f>
        <v/>
      </c>
      <c r="AI104" s="79">
        <f>-Assumption!M178</f>
        <v/>
      </c>
      <c r="AJ104" s="79">
        <f>-Assumption!N178</f>
        <v/>
      </c>
      <c r="AK104" s="79">
        <f>-Assumption!O178</f>
        <v/>
      </c>
      <c r="AL104" s="79">
        <f>-Assumption!P178</f>
        <v/>
      </c>
      <c r="AM104" s="79">
        <f>-Assumption!Q178</f>
        <v/>
      </c>
      <c r="AN104" s="79">
        <f>-Assumption!R178</f>
        <v/>
      </c>
      <c r="AO104" s="79">
        <f>-Assumption!S178</f>
        <v/>
      </c>
      <c r="AP104" s="108" t="n"/>
    </row>
    <row r="105">
      <c r="A105" s="74" t="inlineStr">
        <is>
          <t>Amortization</t>
        </is>
      </c>
      <c r="F105" s="145" t="n"/>
      <c r="M105" s="79">
        <f>-Assumption!#REF!</f>
        <v/>
      </c>
      <c r="N105" s="79">
        <f>-Assumption!#REF!</f>
        <v/>
      </c>
      <c r="O105" s="79">
        <f>-Assumption!#REF!</f>
        <v/>
      </c>
      <c r="P105" s="79">
        <f>-Assumption!#REF!</f>
        <v/>
      </c>
      <c r="Q105" s="79">
        <f>-Assumption!#REF!</f>
        <v/>
      </c>
      <c r="R105" s="79">
        <f>-Assumption!#REF!</f>
        <v/>
      </c>
      <c r="S105" s="79">
        <f>-Assumption!#REF!</f>
        <v/>
      </c>
      <c r="T105" s="79">
        <f>-Assumption!#REF!</f>
        <v/>
      </c>
      <c r="U105" s="79">
        <f>-Assumption!#REF!</f>
        <v/>
      </c>
      <c r="V105" s="79">
        <f>-Assumption!#REF!</f>
        <v/>
      </c>
      <c r="W105" s="79">
        <f>-Assumption!#REF!</f>
        <v/>
      </c>
      <c r="X105" s="79">
        <f>-Assumption!#REF!</f>
        <v/>
      </c>
      <c r="Y105" s="79">
        <f>-Assumption!#REF!</f>
        <v/>
      </c>
      <c r="Z105" s="79">
        <f>-Assumption!#REF!</f>
        <v/>
      </c>
      <c r="AA105" s="79">
        <f>-Assumption!#REF!</f>
        <v/>
      </c>
      <c r="AB105" s="79">
        <f>-Assumption!#REF!</f>
        <v/>
      </c>
      <c r="AC105" s="79">
        <f>-Assumption!#REF!</f>
        <v/>
      </c>
      <c r="AD105" s="79">
        <f>-Assumption!#REF!</f>
        <v/>
      </c>
      <c r="AE105" s="79">
        <f>-Assumption!#REF!</f>
        <v/>
      </c>
      <c r="AF105" s="79">
        <f>-Assumption!#REF!</f>
        <v/>
      </c>
      <c r="AG105" s="79">
        <f>-Assumption!#REF!</f>
        <v/>
      </c>
      <c r="AH105" s="79">
        <f>-Assumption!#REF!</f>
        <v/>
      </c>
      <c r="AI105" s="79">
        <f>-Assumption!#REF!</f>
        <v/>
      </c>
      <c r="AJ105" s="79">
        <f>-Assumption!#REF!</f>
        <v/>
      </c>
      <c r="AK105" s="79">
        <f>-Assumption!#REF!</f>
        <v/>
      </c>
      <c r="AL105" s="79">
        <f>-Assumption!#REF!</f>
        <v/>
      </c>
      <c r="AM105" s="79">
        <f>-Assumption!#REF!</f>
        <v/>
      </c>
      <c r="AN105" s="79">
        <f>-Assumption!#REF!</f>
        <v/>
      </c>
      <c r="AO105" s="79">
        <f>-Assumption!#REF!</f>
        <v/>
      </c>
      <c r="AP105" s="108" t="n"/>
    </row>
    <row r="106">
      <c r="A106" s="74" t="inlineStr">
        <is>
          <t>Interest Expense</t>
        </is>
      </c>
      <c r="F106" s="141" t="n"/>
      <c r="M106" s="152">
        <f>-M20-M19</f>
        <v/>
      </c>
      <c r="N106" s="152">
        <f>-N20-N19</f>
        <v/>
      </c>
      <c r="O106" s="152">
        <f>-O20-O19</f>
        <v/>
      </c>
      <c r="P106" s="152">
        <f>-P20-P19</f>
        <v/>
      </c>
      <c r="Q106" s="152">
        <f>-Q20-Q19</f>
        <v/>
      </c>
      <c r="R106" s="152">
        <f>-R20-R19</f>
        <v/>
      </c>
      <c r="S106" s="152">
        <f>-S20-S19</f>
        <v/>
      </c>
      <c r="T106" s="152">
        <f>-T20-T19</f>
        <v/>
      </c>
      <c r="U106" s="152">
        <f>-U20-U19</f>
        <v/>
      </c>
      <c r="V106" s="152">
        <f>-V20-V19</f>
        <v/>
      </c>
      <c r="W106" s="152">
        <f>-W20-W19</f>
        <v/>
      </c>
      <c r="X106" s="152">
        <f>-X20-X19</f>
        <v/>
      </c>
      <c r="Y106" s="152">
        <f>-Y20-Y19</f>
        <v/>
      </c>
      <c r="Z106" s="152">
        <f>-Z20-Z19</f>
        <v/>
      </c>
      <c r="AA106" s="152">
        <f>-AA20-AA19</f>
        <v/>
      </c>
      <c r="AB106" s="152">
        <f>-AB20-AB19</f>
        <v/>
      </c>
      <c r="AC106" s="152">
        <f>-AC20-AC19</f>
        <v/>
      </c>
      <c r="AD106" s="152">
        <f>-AD20-AD19</f>
        <v/>
      </c>
      <c r="AE106" s="152">
        <f>-AE20-AE19</f>
        <v/>
      </c>
      <c r="AF106" s="152">
        <f>-AF20-AF19</f>
        <v/>
      </c>
      <c r="AG106" s="152">
        <f>-AG20-AG19</f>
        <v/>
      </c>
      <c r="AH106" s="152">
        <f>-AH20-AH19</f>
        <v/>
      </c>
      <c r="AI106" s="152">
        <f>-AI20-AI19</f>
        <v/>
      </c>
      <c r="AJ106" s="152">
        <f>-AJ20-AJ19</f>
        <v/>
      </c>
      <c r="AK106" s="152">
        <f>-AK20-AK19</f>
        <v/>
      </c>
      <c r="AL106" s="152">
        <f>-AL20-AL19</f>
        <v/>
      </c>
      <c r="AM106" s="152">
        <f>-AM20-AM19</f>
        <v/>
      </c>
      <c r="AN106" s="152">
        <f>-AN20-AN19</f>
        <v/>
      </c>
      <c r="AO106" s="152">
        <f>-AO20-AO19</f>
        <v/>
      </c>
      <c r="AP106" s="108" t="n"/>
    </row>
    <row r="107">
      <c r="A107" s="74" t="inlineStr">
        <is>
          <t>Other Income</t>
        </is>
      </c>
      <c r="F107" s="141" t="n"/>
      <c r="M107" s="86">
        <f>-M16</f>
        <v/>
      </c>
      <c r="N107" s="86">
        <f>-N16</f>
        <v/>
      </c>
      <c r="O107" s="86">
        <f>-O16</f>
        <v/>
      </c>
      <c r="P107" s="86">
        <f>-P16</f>
        <v/>
      </c>
      <c r="Q107" s="86">
        <f>-Q16</f>
        <v/>
      </c>
      <c r="R107" s="86">
        <f>-R16</f>
        <v/>
      </c>
      <c r="S107" s="86">
        <f>-S16</f>
        <v/>
      </c>
      <c r="T107" s="86">
        <f>-T16</f>
        <v/>
      </c>
      <c r="U107" s="86">
        <f>-U16</f>
        <v/>
      </c>
      <c r="V107" s="86">
        <f>-V16</f>
        <v/>
      </c>
      <c r="W107" s="86">
        <f>-W16</f>
        <v/>
      </c>
      <c r="X107" s="86">
        <f>-X16</f>
        <v/>
      </c>
      <c r="Y107" s="86">
        <f>-Y16</f>
        <v/>
      </c>
      <c r="Z107" s="86">
        <f>-Z16</f>
        <v/>
      </c>
      <c r="AA107" s="86">
        <f>-AA16</f>
        <v/>
      </c>
      <c r="AB107" s="86">
        <f>-AB16</f>
        <v/>
      </c>
      <c r="AC107" s="86">
        <f>-AC16</f>
        <v/>
      </c>
      <c r="AD107" s="86">
        <f>-AD16</f>
        <v/>
      </c>
      <c r="AE107" s="86">
        <f>-AE16</f>
        <v/>
      </c>
      <c r="AF107" s="86">
        <f>-AF16</f>
        <v/>
      </c>
      <c r="AG107" s="86">
        <f>-AG16</f>
        <v/>
      </c>
      <c r="AH107" s="86">
        <f>-AH16</f>
        <v/>
      </c>
      <c r="AI107" s="86">
        <f>-AI16</f>
        <v/>
      </c>
      <c r="AJ107" s="86">
        <f>-AJ16</f>
        <v/>
      </c>
      <c r="AK107" s="86">
        <f>-AK16</f>
        <v/>
      </c>
      <c r="AL107" s="86">
        <f>-AL16</f>
        <v/>
      </c>
      <c r="AM107" s="86">
        <f>-AM16</f>
        <v/>
      </c>
      <c r="AN107" s="86">
        <f>-AN16</f>
        <v/>
      </c>
      <c r="AO107" s="86">
        <f>-AO16</f>
        <v/>
      </c>
      <c r="AP107" s="108" t="n"/>
    </row>
    <row r="108">
      <c r="A108" s="74">
        <f>+A21</f>
        <v/>
      </c>
      <c r="F108" s="141" t="n"/>
      <c r="M108" s="86">
        <f>-M21</f>
        <v/>
      </c>
      <c r="N108" s="86">
        <f>-N21</f>
        <v/>
      </c>
      <c r="O108" s="86">
        <f>-O21</f>
        <v/>
      </c>
      <c r="P108" s="86">
        <f>-P21</f>
        <v/>
      </c>
      <c r="Q108" s="86">
        <f>-Q21</f>
        <v/>
      </c>
      <c r="R108" s="86">
        <f>-R21</f>
        <v/>
      </c>
      <c r="S108" s="86">
        <f>-S21</f>
        <v/>
      </c>
      <c r="T108" s="86">
        <f>-T21</f>
        <v/>
      </c>
      <c r="U108" s="86">
        <f>-U21</f>
        <v/>
      </c>
      <c r="V108" s="86">
        <f>-V21</f>
        <v/>
      </c>
      <c r="W108" s="86">
        <f>-W21</f>
        <v/>
      </c>
      <c r="X108" s="86">
        <f>-X21</f>
        <v/>
      </c>
      <c r="Y108" s="86">
        <f>-Y21</f>
        <v/>
      </c>
      <c r="Z108" s="86">
        <f>-Z21</f>
        <v/>
      </c>
      <c r="AA108" s="86">
        <f>-AA21</f>
        <v/>
      </c>
      <c r="AB108" s="86">
        <f>-AB21</f>
        <v/>
      </c>
      <c r="AC108" s="86">
        <f>-AC21</f>
        <v/>
      </c>
      <c r="AD108" s="86">
        <f>-AD21</f>
        <v/>
      </c>
      <c r="AE108" s="86">
        <f>-AE21</f>
        <v/>
      </c>
      <c r="AF108" s="86">
        <f>-AF21</f>
        <v/>
      </c>
      <c r="AG108" s="86">
        <f>-AG21</f>
        <v/>
      </c>
      <c r="AH108" s="86">
        <f>-AH21</f>
        <v/>
      </c>
      <c r="AI108" s="86">
        <f>-AI21</f>
        <v/>
      </c>
      <c r="AJ108" s="86">
        <f>-AJ21</f>
        <v/>
      </c>
      <c r="AK108" s="86">
        <f>-AK21</f>
        <v/>
      </c>
      <c r="AL108" s="86">
        <f>-AL21</f>
        <v/>
      </c>
      <c r="AM108" s="86">
        <f>-AM21</f>
        <v/>
      </c>
      <c r="AN108" s="86">
        <f>-AN21</f>
        <v/>
      </c>
      <c r="AO108" s="86">
        <f>-AO21</f>
        <v/>
      </c>
      <c r="AP108" s="108" t="n"/>
    </row>
    <row r="109">
      <c r="A109" s="74" t="inlineStr">
        <is>
          <t>Decrease in loans receivable</t>
        </is>
      </c>
      <c r="F109" s="141" t="n"/>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c r="V109" s="86">
        <f>-(V40+V53-U40-U53)</f>
        <v/>
      </c>
      <c r="W109" s="86">
        <f>-(W40+W53-V40-V53)</f>
        <v/>
      </c>
      <c r="X109" s="86">
        <f>-(X40+X53-W40-W53)</f>
        <v/>
      </c>
      <c r="Y109" s="86">
        <f>-(Y40+Y53-X40-X53)</f>
        <v/>
      </c>
      <c r="Z109" s="86">
        <f>-(Z40+Z53-Y40-Y53)</f>
        <v/>
      </c>
      <c r="AA109" s="86">
        <f>-(AA40+AA53-Z40-Z53)</f>
        <v/>
      </c>
      <c r="AB109" s="86">
        <f>-(AB40+AB53-AA40-AA53)</f>
        <v/>
      </c>
      <c r="AC109" s="86">
        <f>-(AC40+AC53-AB40-AB53)</f>
        <v/>
      </c>
      <c r="AD109" s="86">
        <f>-(AD40+AD53-AC40-AC53)</f>
        <v/>
      </c>
      <c r="AE109" s="86">
        <f>-(AE40+AE53-AD40-AD53)</f>
        <v/>
      </c>
      <c r="AF109" s="86">
        <f>-(AF40+AF53-AE40-AE53)</f>
        <v/>
      </c>
      <c r="AG109" s="86">
        <f>-(AG40+AG53-AF40-AF53)</f>
        <v/>
      </c>
      <c r="AH109" s="86">
        <f>-(AH40+AH53-AG40-AG53)</f>
        <v/>
      </c>
      <c r="AI109" s="86">
        <f>-(AI40+AI53-AH40-AH53)</f>
        <v/>
      </c>
      <c r="AJ109" s="86">
        <f>-(AJ40+AJ53-AI40-AI53)</f>
        <v/>
      </c>
      <c r="AK109" s="86">
        <f>-(AK40+AK53-AJ40-AJ53)</f>
        <v/>
      </c>
      <c r="AL109" s="86">
        <f>-(AL40+AL53-AK40-AK53)</f>
        <v/>
      </c>
      <c r="AM109" s="86">
        <f>-(AM40+AM53-AL40-AL53)</f>
        <v/>
      </c>
      <c r="AN109" s="86">
        <f>-(AN40+AN53-AM40-AM53)</f>
        <v/>
      </c>
      <c r="AO109" s="86">
        <f>-(AO40+AO53-AN40-AN53)</f>
        <v/>
      </c>
      <c r="AP109" s="108" t="n"/>
    </row>
    <row r="110">
      <c r="A110" s="105" t="inlineStr">
        <is>
          <t>Operating cash flows before movements in working capital</t>
        </is>
      </c>
      <c r="F110" s="141" t="n"/>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c r="V110" s="86">
        <f>SUM(V102,V104:V109)</f>
        <v/>
      </c>
      <c r="W110" s="86">
        <f>SUM(W102,W104:W109)</f>
        <v/>
      </c>
      <c r="X110" s="86">
        <f>SUM(X102,X104:X109)</f>
        <v/>
      </c>
      <c r="Y110" s="86">
        <f>SUM(Y102,Y104:Y109)</f>
        <v/>
      </c>
      <c r="Z110" s="86">
        <f>SUM(Z102,Z104:Z109)</f>
        <v/>
      </c>
      <c r="AA110" s="86">
        <f>SUM(AA102,AA104:AA109)</f>
        <v/>
      </c>
      <c r="AB110" s="86">
        <f>SUM(AB102,AB104:AB109)</f>
        <v/>
      </c>
      <c r="AC110" s="86">
        <f>SUM(AC102,AC104:AC109)</f>
        <v/>
      </c>
      <c r="AD110" s="86">
        <f>SUM(AD102,AD104:AD109)</f>
        <v/>
      </c>
      <c r="AE110" s="86">
        <f>SUM(AE102,AE104:AE109)</f>
        <v/>
      </c>
      <c r="AF110" s="86">
        <f>SUM(AF102,AF104:AF109)</f>
        <v/>
      </c>
      <c r="AG110" s="86">
        <f>SUM(AG102,AG104:AG109)</f>
        <v/>
      </c>
      <c r="AH110" s="86">
        <f>SUM(AH102,AH104:AH109)</f>
        <v/>
      </c>
      <c r="AI110" s="86">
        <f>SUM(AI102,AI104:AI109)</f>
        <v/>
      </c>
      <c r="AJ110" s="86">
        <f>SUM(AJ102,AJ104:AJ109)</f>
        <v/>
      </c>
      <c r="AK110" s="86">
        <f>SUM(AK102,AK104:AK109)</f>
        <v/>
      </c>
      <c r="AL110" s="86">
        <f>SUM(AL102,AL104:AL109)</f>
        <v/>
      </c>
      <c r="AM110" s="86">
        <f>SUM(AM102,AM104:AM109)</f>
        <v/>
      </c>
      <c r="AN110" s="86">
        <f>SUM(AN102,AN104:AN109)</f>
        <v/>
      </c>
      <c r="AO110" s="86">
        <f>SUM(AO102,AO104:AO109)</f>
        <v/>
      </c>
      <c r="AP110" s="108" t="n"/>
    </row>
    <row r="111">
      <c r="A111" s="74" t="inlineStr">
        <is>
          <t>Decrease in inventories</t>
        </is>
      </c>
      <c r="F111" s="141" t="n"/>
      <c r="M111" s="86">
        <f>-(M42-L42)</f>
        <v/>
      </c>
      <c r="N111" s="86">
        <f>-(N42-M42)</f>
        <v/>
      </c>
      <c r="O111" s="86">
        <f>-(O42-N42)</f>
        <v/>
      </c>
      <c r="P111" s="86">
        <f>-(P42-O42)</f>
        <v/>
      </c>
      <c r="Q111" s="86">
        <f>-(Q42-P42)</f>
        <v/>
      </c>
      <c r="R111" s="86">
        <f>-(R42-Q42)</f>
        <v/>
      </c>
      <c r="S111" s="86">
        <f>-(S42-R42)</f>
        <v/>
      </c>
      <c r="T111" s="86">
        <f>-(T42-S42)</f>
        <v/>
      </c>
      <c r="U111" s="86">
        <f>-(U42-T42)</f>
        <v/>
      </c>
      <c r="V111" s="86">
        <f>-(V42-U42)</f>
        <v/>
      </c>
      <c r="W111" s="86">
        <f>-(W42-V42)</f>
        <v/>
      </c>
      <c r="X111" s="86">
        <f>-(X42-W42)</f>
        <v/>
      </c>
      <c r="Y111" s="86">
        <f>-(Y42-X42)</f>
        <v/>
      </c>
      <c r="Z111" s="86">
        <f>-(Z42-Y42)</f>
        <v/>
      </c>
      <c r="AA111" s="86">
        <f>-(AA42-Z42)</f>
        <v/>
      </c>
      <c r="AB111" s="86">
        <f>-(AB42-AA42)</f>
        <v/>
      </c>
      <c r="AC111" s="86">
        <f>-(AC42-AB42)</f>
        <v/>
      </c>
      <c r="AD111" s="86">
        <f>-(AD42-AC42)</f>
        <v/>
      </c>
      <c r="AE111" s="86">
        <f>-(AE42-AD42)</f>
        <v/>
      </c>
      <c r="AF111" s="86">
        <f>-(AF42-AE42)</f>
        <v/>
      </c>
      <c r="AG111" s="86">
        <f>-(AG42-AF42)</f>
        <v/>
      </c>
      <c r="AH111" s="86">
        <f>-(AH42-AG42)</f>
        <v/>
      </c>
      <c r="AI111" s="86">
        <f>-(AI42-AH42)</f>
        <v/>
      </c>
      <c r="AJ111" s="86">
        <f>-(AJ42-AI42)</f>
        <v/>
      </c>
      <c r="AK111" s="86">
        <f>-(AK42-AJ42)</f>
        <v/>
      </c>
      <c r="AL111" s="86">
        <f>-(AL42-AK42)</f>
        <v/>
      </c>
      <c r="AM111" s="86">
        <f>-(AM42-AL42)</f>
        <v/>
      </c>
      <c r="AN111" s="86">
        <f>-(AN42-AM42)</f>
        <v/>
      </c>
      <c r="AO111" s="86">
        <f>-(AO42-AN42)</f>
        <v/>
      </c>
      <c r="AP111" s="108" t="n"/>
    </row>
    <row r="112">
      <c r="A112" s="74" t="inlineStr">
        <is>
          <t>Decrease in receivables</t>
        </is>
      </c>
      <c r="F112" s="141" t="n"/>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c r="V112" s="86">
        <f>-(SUM(V39,V41)-SUM(U39,U41))</f>
        <v/>
      </c>
      <c r="W112" s="86">
        <f>-(SUM(W39,W41)-SUM(V39,V41))</f>
        <v/>
      </c>
      <c r="X112" s="86">
        <f>-(SUM(X39,X41)-SUM(W39,W41))</f>
        <v/>
      </c>
      <c r="Y112" s="86">
        <f>-(SUM(Y39,Y41)-SUM(X39,X41))</f>
        <v/>
      </c>
      <c r="Z112" s="86">
        <f>-(SUM(Z39,Z41)-SUM(Y39,Y41))</f>
        <v/>
      </c>
      <c r="AA112" s="86">
        <f>-(SUM(AA39,AA41)-SUM(Z39,Z41))</f>
        <v/>
      </c>
      <c r="AB112" s="86">
        <f>-(SUM(AB39,AB41)-SUM(AA39,AA41))</f>
        <v/>
      </c>
      <c r="AC112" s="86">
        <f>-(SUM(AC39,AC41)-SUM(AB39,AB41))</f>
        <v/>
      </c>
      <c r="AD112" s="86">
        <f>-(SUM(AD39,AD41)-SUM(AC39,AC41))</f>
        <v/>
      </c>
      <c r="AE112" s="86">
        <f>-(SUM(AE39,AE41)-SUM(AD39,AD41))</f>
        <v/>
      </c>
      <c r="AF112" s="86">
        <f>-(SUM(AF39,AF41)-SUM(AE39,AE41))</f>
        <v/>
      </c>
      <c r="AG112" s="86">
        <f>-(SUM(AG39,AG41)-SUM(AF39,AF41))</f>
        <v/>
      </c>
      <c r="AH112" s="86">
        <f>-(SUM(AH39,AH41)-SUM(AG39,AG41))</f>
        <v/>
      </c>
      <c r="AI112" s="86">
        <f>-(SUM(AI39,AI41)-SUM(AH39,AH41))</f>
        <v/>
      </c>
      <c r="AJ112" s="86">
        <f>-(SUM(AJ39,AJ41)-SUM(AI39,AI41))</f>
        <v/>
      </c>
      <c r="AK112" s="86">
        <f>-(SUM(AK39,AK41)-SUM(AJ39,AJ41))</f>
        <v/>
      </c>
      <c r="AL112" s="86">
        <f>-(SUM(AL39,AL41)-SUM(AK39,AK41))</f>
        <v/>
      </c>
      <c r="AM112" s="86">
        <f>-(SUM(AM39,AM41)-SUM(AL39,AL41))</f>
        <v/>
      </c>
      <c r="AN112" s="86">
        <f>-(SUM(AN39,AN41)-SUM(AM39,AM41))</f>
        <v/>
      </c>
      <c r="AO112" s="86">
        <f>-(SUM(AO39,AO41)-SUM(AN39,AN41))</f>
        <v/>
      </c>
      <c r="AP112" s="108" t="n"/>
    </row>
    <row r="113">
      <c r="A113" s="74" t="inlineStr">
        <is>
          <t>Decrease in construction contracts</t>
        </is>
      </c>
      <c r="F113" s="141" t="n"/>
      <c r="M113" s="86">
        <f>-(M43-L43)</f>
        <v/>
      </c>
      <c r="N113" s="86">
        <f>-(N43-M43)</f>
        <v/>
      </c>
      <c r="O113" s="86">
        <f>-(O43-N43)</f>
        <v/>
      </c>
      <c r="P113" s="86">
        <f>-(P43-O43)</f>
        <v/>
      </c>
      <c r="Q113" s="86">
        <f>-(Q43-P43)</f>
        <v/>
      </c>
      <c r="R113" s="86">
        <f>-(R43-Q43)</f>
        <v/>
      </c>
      <c r="S113" s="86">
        <f>-(S43-R43)</f>
        <v/>
      </c>
      <c r="T113" s="86">
        <f>-(T43-S43)</f>
        <v/>
      </c>
      <c r="U113" s="86">
        <f>-(U43-T43)</f>
        <v/>
      </c>
      <c r="V113" s="86">
        <f>-(V43-U43)</f>
        <v/>
      </c>
      <c r="W113" s="86">
        <f>-(W43-V43)</f>
        <v/>
      </c>
      <c r="X113" s="86">
        <f>-(X43-W43)</f>
        <v/>
      </c>
      <c r="Y113" s="86">
        <f>-(Y43-X43)</f>
        <v/>
      </c>
      <c r="Z113" s="86">
        <f>-(Z43-Y43)</f>
        <v/>
      </c>
      <c r="AA113" s="86">
        <f>-(AA43-Z43)</f>
        <v/>
      </c>
      <c r="AB113" s="86">
        <f>-(AB43-AA43)</f>
        <v/>
      </c>
      <c r="AC113" s="86">
        <f>-(AC43-AB43)</f>
        <v/>
      </c>
      <c r="AD113" s="86">
        <f>-(AD43-AC43)</f>
        <v/>
      </c>
      <c r="AE113" s="86">
        <f>-(AE43-AD43)</f>
        <v/>
      </c>
      <c r="AF113" s="86">
        <f>-(AF43-AE43)</f>
        <v/>
      </c>
      <c r="AG113" s="86">
        <f>-(AG43-AF43)</f>
        <v/>
      </c>
      <c r="AH113" s="86">
        <f>-(AH43-AG43)</f>
        <v/>
      </c>
      <c r="AI113" s="86">
        <f>-(AI43-AH43)</f>
        <v/>
      </c>
      <c r="AJ113" s="86">
        <f>-(AJ43-AI43)</f>
        <v/>
      </c>
      <c r="AK113" s="86">
        <f>-(AK43-AJ43)</f>
        <v/>
      </c>
      <c r="AL113" s="86">
        <f>-(AL43-AK43)</f>
        <v/>
      </c>
      <c r="AM113" s="86">
        <f>-(AM43-AL43)</f>
        <v/>
      </c>
      <c r="AN113" s="86">
        <f>-(AN43-AM43)</f>
        <v/>
      </c>
      <c r="AO113" s="86">
        <f>-(AO43-AN43)</f>
        <v/>
      </c>
      <c r="AP113" s="108" t="n"/>
    </row>
    <row r="114">
      <c r="A114" s="74" t="inlineStr">
        <is>
          <t>Increase in payables</t>
        </is>
      </c>
      <c r="F114" s="141" t="n"/>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c r="V114" s="86">
        <f>(V61-U61)+(V62-U62)</f>
        <v/>
      </c>
      <c r="W114" s="86">
        <f>(W61-V61)+(W62-V62)</f>
        <v/>
      </c>
      <c r="X114" s="86">
        <f>(X61-W61)+(X62-W62)</f>
        <v/>
      </c>
      <c r="Y114" s="86">
        <f>(Y61-X61)+(Y62-X62)</f>
        <v/>
      </c>
      <c r="Z114" s="86">
        <f>(Z61-Y61)+(Z62-Y62)</f>
        <v/>
      </c>
      <c r="AA114" s="86">
        <f>(AA61-Z61)+(AA62-Z62)</f>
        <v/>
      </c>
      <c r="AB114" s="86">
        <f>(AB61-AA61)+(AB62-AA62)</f>
        <v/>
      </c>
      <c r="AC114" s="86">
        <f>(AC61-AB61)+(AC62-AB62)</f>
        <v/>
      </c>
      <c r="AD114" s="86">
        <f>(AD61-AC61)+(AD62-AC62)</f>
        <v/>
      </c>
      <c r="AE114" s="86">
        <f>(AE61-AD61)+(AE62-AD62)</f>
        <v/>
      </c>
      <c r="AF114" s="86">
        <f>(AF61-AE61)+(AF62-AE62)</f>
        <v/>
      </c>
      <c r="AG114" s="86">
        <f>(AG61-AF61)+(AG62-AF62)</f>
        <v/>
      </c>
      <c r="AH114" s="86">
        <f>(AH61-AG61)+(AH62-AG62)</f>
        <v/>
      </c>
      <c r="AI114" s="86">
        <f>(AI61-AH61)+(AI62-AH62)</f>
        <v/>
      </c>
      <c r="AJ114" s="86">
        <f>(AJ61-AI61)+(AJ62-AI62)</f>
        <v/>
      </c>
      <c r="AK114" s="86">
        <f>(AK61-AJ61)+(AK62-AJ62)</f>
        <v/>
      </c>
      <c r="AL114" s="86">
        <f>(AL61-AK61)+(AL62-AK62)</f>
        <v/>
      </c>
      <c r="AM114" s="86">
        <f>(AM61-AL61)+(AM62-AL62)</f>
        <v/>
      </c>
      <c r="AN114" s="86">
        <f>(AN61-AM61)+(AN62-AM62)</f>
        <v/>
      </c>
      <c r="AO114" s="86">
        <f>(AO61-AN61)+(AO62-AN62)</f>
        <v/>
      </c>
      <c r="AP114" s="108" t="n"/>
    </row>
    <row r="115">
      <c r="A115" s="74" t="inlineStr">
        <is>
          <t>Increase in Provision</t>
        </is>
      </c>
      <c r="F115" s="141" t="n"/>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c r="V115" s="86">
        <f>(V76-U76)+(V64-U64)</f>
        <v/>
      </c>
      <c r="W115" s="86">
        <f>(W76-V76)+(W64-V64)</f>
        <v/>
      </c>
      <c r="X115" s="86">
        <f>(X76-W76)+(X64-W64)</f>
        <v/>
      </c>
      <c r="Y115" s="86">
        <f>(Y76-X76)+(Y64-X64)</f>
        <v/>
      </c>
      <c r="Z115" s="86">
        <f>(Z76-Y76)+(Z64-Y64)</f>
        <v/>
      </c>
      <c r="AA115" s="86">
        <f>(AA76-Z76)+(AA64-Z64)</f>
        <v/>
      </c>
      <c r="AB115" s="86">
        <f>(AB76-AA76)+(AB64-AA64)</f>
        <v/>
      </c>
      <c r="AC115" s="86">
        <f>(AC76-AB76)+(AC64-AB64)</f>
        <v/>
      </c>
      <c r="AD115" s="86">
        <f>(AD76-AC76)+(AD64-AC64)</f>
        <v/>
      </c>
      <c r="AE115" s="86">
        <f>(AE76-AD76)+(AE64-AD64)</f>
        <v/>
      </c>
      <c r="AF115" s="86">
        <f>(AF76-AE76)+(AF64-AE64)</f>
        <v/>
      </c>
      <c r="AG115" s="86">
        <f>(AG76-AF76)+(AG64-AF64)</f>
        <v/>
      </c>
      <c r="AH115" s="86">
        <f>(AH76-AG76)+(AH64-AG64)</f>
        <v/>
      </c>
      <c r="AI115" s="86">
        <f>(AI76-AH76)+(AI64-AH64)</f>
        <v/>
      </c>
      <c r="AJ115" s="86">
        <f>(AJ76-AI76)+(AJ64-AI64)</f>
        <v/>
      </c>
      <c r="AK115" s="86">
        <f>(AK76-AJ76)+(AK64-AJ64)</f>
        <v/>
      </c>
      <c r="AL115" s="86">
        <f>(AL76-AK76)+(AL64-AK64)</f>
        <v/>
      </c>
      <c r="AM115" s="86">
        <f>(AM76-AL76)+(AM64-AL64)</f>
        <v/>
      </c>
      <c r="AN115" s="86">
        <f>(AN76-AM76)+(AN64-AM64)</f>
        <v/>
      </c>
      <c r="AO115" s="86">
        <f>(AO76-AN76)+(AO64-AN64)</f>
        <v/>
      </c>
      <c r="AP115" s="108" t="n"/>
    </row>
    <row r="116">
      <c r="A116" t="inlineStr">
        <is>
          <t>Cash generated from operations</t>
        </is>
      </c>
      <c r="F116" s="141" t="n"/>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c r="V116" s="86">
        <f>SUM(V110,V111:V115)</f>
        <v/>
      </c>
      <c r="W116" s="86">
        <f>SUM(W110,W111:W115)</f>
        <v/>
      </c>
      <c r="X116" s="86">
        <f>SUM(X110,X111:X115)</f>
        <v/>
      </c>
      <c r="Y116" s="86">
        <f>SUM(Y110,Y111:Y115)</f>
        <v/>
      </c>
      <c r="Z116" s="86">
        <f>SUM(Z110,Z111:Z115)</f>
        <v/>
      </c>
      <c r="AA116" s="86">
        <f>SUM(AA110,AA111:AA115)</f>
        <v/>
      </c>
      <c r="AB116" s="86">
        <f>SUM(AB110,AB111:AB115)</f>
        <v/>
      </c>
      <c r="AC116" s="86">
        <f>SUM(AC110,AC111:AC115)</f>
        <v/>
      </c>
      <c r="AD116" s="86">
        <f>SUM(AD110,AD111:AD115)</f>
        <v/>
      </c>
      <c r="AE116" s="86">
        <f>SUM(AE110,AE111:AE115)</f>
        <v/>
      </c>
      <c r="AF116" s="86">
        <f>SUM(AF110,AF111:AF115)</f>
        <v/>
      </c>
      <c r="AG116" s="86">
        <f>SUM(AG110,AG111:AG115)</f>
        <v/>
      </c>
      <c r="AH116" s="86">
        <f>SUM(AH110,AH111:AH115)</f>
        <v/>
      </c>
      <c r="AI116" s="86">
        <f>SUM(AI110,AI111:AI115)</f>
        <v/>
      </c>
      <c r="AJ116" s="86">
        <f>SUM(AJ110,AJ111:AJ115)</f>
        <v/>
      </c>
      <c r="AK116" s="86">
        <f>SUM(AK110,AK111:AK115)</f>
        <v/>
      </c>
      <c r="AL116" s="86">
        <f>SUM(AL110,AL111:AL115)</f>
        <v/>
      </c>
      <c r="AM116" s="86">
        <f>SUM(AM110,AM111:AM115)</f>
        <v/>
      </c>
      <c r="AN116" s="86">
        <f>SUM(AN110,AN111:AN115)</f>
        <v/>
      </c>
      <c r="AO116" s="86">
        <f>SUM(AO110,AO111:AO115)</f>
        <v/>
      </c>
      <c r="AP116" s="108" t="n"/>
    </row>
    <row r="117">
      <c r="A117" s="74" t="inlineStr">
        <is>
          <t>Income tax paid</t>
        </is>
      </c>
      <c r="F117" s="145" t="n"/>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c r="V117" s="86">
        <f>(V77-U77)+(V65-U65)-(V54-U54)+V23</f>
        <v/>
      </c>
      <c r="W117" s="86">
        <f>(W77-V77)+(W65-V65)-(W54-V54)+W23</f>
        <v/>
      </c>
      <c r="X117" s="86">
        <f>(X77-W77)+(X65-W65)-(X54-W54)+X23</f>
        <v/>
      </c>
      <c r="Y117" s="86">
        <f>(Y77-X77)+(Y65-X65)-(Y54-X54)+Y23</f>
        <v/>
      </c>
      <c r="Z117" s="86">
        <f>(Z77-Y77)+(Z65-Y65)-(Z54-Y54)+Z23</f>
        <v/>
      </c>
      <c r="AA117" s="86">
        <f>(AA77-Z77)+(AA65-Z65)-(AA54-Z54)+AA23</f>
        <v/>
      </c>
      <c r="AB117" s="86">
        <f>(AB77-AA77)+(AB65-AA65)-(AB54-AA54)+AB23</f>
        <v/>
      </c>
      <c r="AC117" s="86">
        <f>(AC77-AB77)+(AC65-AB65)-(AC54-AB54)+AC23</f>
        <v/>
      </c>
      <c r="AD117" s="86">
        <f>(AD77-AC77)+(AD65-AC65)-(AD54-AC54)+AD23</f>
        <v/>
      </c>
      <c r="AE117" s="86">
        <f>(AE77-AD77)+(AE65-AD65)-(AE54-AD54)+AE23</f>
        <v/>
      </c>
      <c r="AF117" s="86">
        <f>(AF77-AE77)+(AF65-AE65)-(AF54-AE54)+AF23</f>
        <v/>
      </c>
      <c r="AG117" s="86">
        <f>(AG77-AF77)+(AG65-AF65)-(AG54-AF54)+AG23</f>
        <v/>
      </c>
      <c r="AH117" s="86">
        <f>(AH77-AG77)+(AH65-AG65)-(AH54-AG54)+AH23</f>
        <v/>
      </c>
      <c r="AI117" s="86">
        <f>(AI77-AH77)+(AI65-AH65)-(AI54-AH54)+AI23</f>
        <v/>
      </c>
      <c r="AJ117" s="86">
        <f>(AJ77-AI77)+(AJ65-AI65)-(AJ54-AI54)+AJ23</f>
        <v/>
      </c>
      <c r="AK117" s="86">
        <f>(AK77-AJ77)+(AK65-AJ65)-(AK54-AJ54)+AK23</f>
        <v/>
      </c>
      <c r="AL117" s="86">
        <f>(AL77-AK77)+(AL65-AK65)-(AL54-AK54)+AL23</f>
        <v/>
      </c>
      <c r="AM117" s="86">
        <f>(AM77-AL77)+(AM65-AL65)-(AM54-AL54)+AM23</f>
        <v/>
      </c>
      <c r="AN117" s="86">
        <f>(AN77-AM77)+(AN65-AM65)-(AN54-AM54)+AN23</f>
        <v/>
      </c>
      <c r="AO117" s="86">
        <f>(AO77-AN77)+(AO65-AN65)-(AO54-AN54)+AO23</f>
        <v/>
      </c>
      <c r="AP117" s="108" t="n"/>
    </row>
    <row r="118">
      <c r="A118" t="inlineStr">
        <is>
          <t>Adjustments for historical</t>
        </is>
      </c>
      <c r="F118" s="141" t="n"/>
      <c r="M118" s="76" t="n"/>
      <c r="N118" s="80">
        <f>IF(N$2=1,#REF!,#REF!-#REF!)-(N116+N117)</f>
        <v/>
      </c>
      <c r="O118" s="80">
        <f>IF(O$2=1,#REF!,#REF!-#REF!)-(O116+O117)</f>
        <v/>
      </c>
      <c r="P118" s="80">
        <f>IF(P$2=1,#REF!,#REF!-#REF!)-(P116+P117)</f>
        <v/>
      </c>
      <c r="Q118" s="80">
        <f>IF(Q$2=1,#REF!,#REF!-#REF!)-(Q116+Q117)</f>
        <v/>
      </c>
      <c r="R118" s="80">
        <f>IF(R$2=1,#REF!,#REF!-#REF!)-(R116+R117)</f>
        <v/>
      </c>
      <c r="S118" s="80">
        <f>IF(S$2=1,#REF!,#REF!-#REF!)-(S116+S117)</f>
        <v/>
      </c>
      <c r="T118" s="80">
        <f>IF(T$2=1,#REF!,#REF!-#REF!)-(T116+T117)</f>
        <v/>
      </c>
      <c r="U118" s="80">
        <f>IF(U$2=1,#REF!,#REF!-#REF!)-(U116+U117)</f>
        <v/>
      </c>
      <c r="V118" s="80">
        <f>IF(V$2=1,#REF!,#REF!-#REF!)-(V116+V117)</f>
        <v/>
      </c>
      <c r="W118" s="80">
        <f>IF(W$2=1,#REF!,#REF!-#REF!)-(W116+W117)</f>
        <v/>
      </c>
      <c r="X118" s="80">
        <f>IF(X$2=1,#REF!,#REF!-#REF!)-(X116+X117)</f>
        <v/>
      </c>
      <c r="Y118" s="80">
        <f>IF(Y$2=1,#REF!,#REF!-#REF!)-(Y116+Y117)</f>
        <v/>
      </c>
      <c r="Z118" s="80">
        <f>IF(Z$2=1,#REF!,#REF!-#REF!)-(Z116+Z117)</f>
        <v/>
      </c>
      <c r="AA118" s="80">
        <f>IF(AA$2=1,#REF!,#REF!-#REF!)-(AA116+AA117)</f>
        <v/>
      </c>
      <c r="AB118" s="80">
        <f>IF(AB$2=1,#REF!,#REF!-#REF!)-(AB116+AB117)</f>
        <v/>
      </c>
      <c r="AC118" s="80">
        <f>IF(AC$2=1,#REF!,#REF!-#REF!)-(AC116+AC117)</f>
        <v/>
      </c>
      <c r="AD118" s="143" t="n"/>
      <c r="AE118" s="143" t="n"/>
      <c r="AF118" s="143" t="n"/>
      <c r="AG118" s="143" t="n"/>
      <c r="AH118" s="143" t="n"/>
      <c r="AI118" s="143" t="n"/>
      <c r="AJ118" s="143" t="n"/>
      <c r="AK118" s="143" t="n"/>
      <c r="AL118" s="143" t="n"/>
      <c r="AM118" s="143" t="n"/>
      <c r="AN118" s="143" t="n"/>
      <c r="AO118" s="143" t="n"/>
      <c r="AP118" s="108" t="n"/>
    </row>
    <row r="119" customFormat="1" s="22">
      <c r="A119" s="22" t="inlineStr">
        <is>
          <t>Net Cash flows from operating activities</t>
        </is>
      </c>
      <c r="F119" s="148" t="n"/>
      <c r="M119" s="121">
        <f>SUM(M116:M118)</f>
        <v/>
      </c>
      <c r="N119" s="121">
        <f>SUM(N116:N118)</f>
        <v/>
      </c>
      <c r="O119" s="121">
        <f>SUM(O116:O118)</f>
        <v/>
      </c>
      <c r="P119" s="121">
        <f>SUM(P116:P118)</f>
        <v/>
      </c>
      <c r="Q119" s="121">
        <f>SUM(Q116:Q118)</f>
        <v/>
      </c>
      <c r="R119" s="121">
        <f>SUM(R116:R118)</f>
        <v/>
      </c>
      <c r="S119" s="121">
        <f>SUM(S116:S118)</f>
        <v/>
      </c>
      <c r="T119" s="121">
        <f>SUM(T116:T118)</f>
        <v/>
      </c>
      <c r="U119" s="121">
        <f>SUM(U116:U118)</f>
        <v/>
      </c>
      <c r="V119" s="121">
        <f>SUM(V116:V118)</f>
        <v/>
      </c>
      <c r="W119" s="121">
        <f>SUM(W116:W118)</f>
        <v/>
      </c>
      <c r="X119" s="121">
        <f>SUM(X116:X118)</f>
        <v/>
      </c>
      <c r="Y119" s="121">
        <f>SUM(Y116:Y118)</f>
        <v/>
      </c>
      <c r="Z119" s="121">
        <f>SUM(Z116:Z118)</f>
        <v/>
      </c>
      <c r="AA119" s="121">
        <f>SUM(AA116:AA118)</f>
        <v/>
      </c>
      <c r="AB119" s="121">
        <f>SUM(AB116:AB118)</f>
        <v/>
      </c>
      <c r="AC119" s="121">
        <f>SUM(AC116:AC118)</f>
        <v/>
      </c>
      <c r="AD119" s="121">
        <f>SUM(AD116:AD118)</f>
        <v/>
      </c>
      <c r="AE119" s="121">
        <f>+AE116+AE117</f>
        <v/>
      </c>
      <c r="AF119" s="121">
        <f>+AF116+AF117</f>
        <v/>
      </c>
      <c r="AG119" s="121">
        <f>+AG116+AG117</f>
        <v/>
      </c>
      <c r="AH119" s="121">
        <f>+AH116+AH117</f>
        <v/>
      </c>
      <c r="AI119" s="121">
        <f>+AI116+AI117</f>
        <v/>
      </c>
      <c r="AJ119" s="121">
        <f>+AJ116+AJ117</f>
        <v/>
      </c>
      <c r="AK119" s="121">
        <f>+AK116+AK117</f>
        <v/>
      </c>
      <c r="AL119" s="121">
        <f>+AL116+AL117</f>
        <v/>
      </c>
      <c r="AM119" s="121">
        <f>+AM116+AM117</f>
        <v/>
      </c>
      <c r="AN119" s="121">
        <f>+AN116+AN117</f>
        <v/>
      </c>
      <c r="AO119" s="121">
        <f>+AO116+AO117</f>
        <v/>
      </c>
      <c r="AP119" s="108" t="n"/>
    </row>
    <row r="120">
      <c r="F120" s="141" t="n"/>
      <c r="M120" s="31" t="n"/>
      <c r="N120" s="31" t="n"/>
      <c r="O120" s="31" t="n"/>
      <c r="P120" s="31" t="n"/>
      <c r="Q120" s="31" t="n"/>
      <c r="R120" s="31" t="n"/>
      <c r="S120" s="31" t="n"/>
      <c r="T120" s="31" t="n"/>
      <c r="U120" s="31" t="n"/>
      <c r="V120" s="31" t="n"/>
      <c r="W120" s="31" t="n"/>
      <c r="X120" s="31" t="n"/>
      <c r="Y120" s="31" t="n"/>
      <c r="Z120" s="31" t="n"/>
      <c r="AA120" s="31" t="n"/>
      <c r="AB120" s="31" t="n"/>
      <c r="AC120" s="31" t="n"/>
      <c r="AD120" s="31" t="n"/>
      <c r="AE120" s="31" t="n"/>
      <c r="AF120" s="31" t="n"/>
      <c r="AG120" s="31" t="n"/>
      <c r="AH120" s="31" t="n"/>
      <c r="AI120" s="31" t="n"/>
      <c r="AJ120" s="31" t="n"/>
      <c r="AK120" s="31" t="n"/>
      <c r="AL120" s="31" t="n"/>
      <c r="AM120" s="31" t="n"/>
      <c r="AN120" s="31" t="n"/>
      <c r="AO120" s="31" t="n"/>
      <c r="AP120" s="108" t="n"/>
    </row>
    <row r="121">
      <c r="A121" s="77" t="inlineStr">
        <is>
          <t>Cash flows from investing activities</t>
        </is>
      </c>
      <c r="F121" s="141" t="n"/>
      <c r="M121" s="31" t="n"/>
      <c r="N121" s="31" t="n"/>
      <c r="O121" s="31" t="n"/>
      <c r="P121" s="31" t="n"/>
      <c r="Q121" s="31" t="n"/>
      <c r="R121" s="31" t="n"/>
      <c r="S121" s="31" t="n"/>
      <c r="T121" s="31" t="n"/>
      <c r="U121" s="31" t="n"/>
      <c r="V121" s="31" t="n"/>
      <c r="W121" s="31" t="n"/>
      <c r="X121" s="31" t="n"/>
      <c r="Y121" s="31" t="n"/>
      <c r="Z121" s="31" t="n"/>
      <c r="AA121" s="31" t="n"/>
      <c r="AB121" s="31" t="n"/>
      <c r="AC121" s="31" t="n"/>
      <c r="AD121" s="31" t="n"/>
      <c r="AE121" s="31" t="n"/>
      <c r="AF121" s="31" t="n"/>
      <c r="AG121" s="31" t="n"/>
      <c r="AH121" s="31" t="n"/>
      <c r="AI121" s="31" t="n"/>
      <c r="AJ121" s="31" t="n"/>
      <c r="AK121" s="31" t="n"/>
      <c r="AL121" s="31" t="n"/>
      <c r="AM121" s="31" t="n"/>
      <c r="AN121" s="31" t="n"/>
      <c r="AO121" s="31" t="n"/>
      <c r="AP121" s="108" t="n"/>
    </row>
    <row r="122">
      <c r="A122" s="74" t="inlineStr">
        <is>
          <t>Cash paid to acquire fixed assets</t>
        </is>
      </c>
      <c r="F122" s="141" t="n"/>
      <c r="M122" s="140" t="n"/>
      <c r="N122" s="79">
        <f>-Assumption!#REF!</f>
        <v/>
      </c>
      <c r="O122" s="79">
        <f>-Assumption!#REF!</f>
        <v/>
      </c>
      <c r="P122" s="79">
        <f>-Assumption!#REF!</f>
        <v/>
      </c>
      <c r="Q122" s="79">
        <f>-Assumption!#REF!</f>
        <v/>
      </c>
      <c r="R122" s="79">
        <f>-Assumption!#REF!</f>
        <v/>
      </c>
      <c r="S122" s="79">
        <f>-Assumption!#REF!</f>
        <v/>
      </c>
      <c r="T122" s="79">
        <f>-Assumption!#REF!</f>
        <v/>
      </c>
      <c r="U122" s="79">
        <f>-Assumption!#REF!</f>
        <v/>
      </c>
      <c r="V122" s="79">
        <f>-Assumption!#REF!</f>
        <v/>
      </c>
      <c r="W122" s="79">
        <f>-Assumption!#REF!</f>
        <v/>
      </c>
      <c r="X122" s="79">
        <f>-Assumption!B177</f>
        <v/>
      </c>
      <c r="Y122" s="79">
        <f>-Assumption!C177</f>
        <v/>
      </c>
      <c r="Z122" s="79">
        <f>-Assumption!D177</f>
        <v/>
      </c>
      <c r="AA122" s="79">
        <f>-Assumption!E177</f>
        <v/>
      </c>
      <c r="AB122" s="79">
        <f>-Assumption!F177</f>
        <v/>
      </c>
      <c r="AC122" s="79">
        <f>-Assumption!G177</f>
        <v/>
      </c>
      <c r="AD122" s="79">
        <f>-Assumption!H177</f>
        <v/>
      </c>
      <c r="AE122" s="79">
        <f>-Assumption!I177</f>
        <v/>
      </c>
      <c r="AF122" s="79">
        <f>-Assumption!J177</f>
        <v/>
      </c>
      <c r="AG122" s="79">
        <f>-Assumption!K177</f>
        <v/>
      </c>
      <c r="AH122" s="79">
        <f>-Assumption!L177</f>
        <v/>
      </c>
      <c r="AI122" s="79">
        <f>-Assumption!M177</f>
        <v/>
      </c>
      <c r="AJ122" s="79">
        <f>-Assumption!N177</f>
        <v/>
      </c>
      <c r="AK122" s="79">
        <f>-Assumption!O177</f>
        <v/>
      </c>
      <c r="AL122" s="79">
        <f>-Assumption!P177</f>
        <v/>
      </c>
      <c r="AM122" s="79">
        <f>-Assumption!Q177</f>
        <v/>
      </c>
      <c r="AN122" s="79">
        <f>-Assumption!R177</f>
        <v/>
      </c>
      <c r="AO122" s="79">
        <f>-Assumption!S177</f>
        <v/>
      </c>
      <c r="AP122" s="108" t="n"/>
    </row>
    <row r="123">
      <c r="A123" s="74" t="inlineStr">
        <is>
          <t>Cash paid to acquire intangible assets</t>
        </is>
      </c>
      <c r="F123" s="141" t="n"/>
      <c r="M123" s="140" t="n"/>
      <c r="N123" s="79">
        <f>-Assumption!#REF!</f>
        <v/>
      </c>
      <c r="O123" s="79">
        <f>-Assumption!#REF!</f>
        <v/>
      </c>
      <c r="P123" s="79">
        <f>-Assumption!#REF!</f>
        <v/>
      </c>
      <c r="Q123" s="79">
        <f>-Assumption!#REF!</f>
        <v/>
      </c>
      <c r="R123" s="79">
        <f>-Assumption!#REF!</f>
        <v/>
      </c>
      <c r="S123" s="79">
        <f>-Assumption!#REF!</f>
        <v/>
      </c>
      <c r="T123" s="79">
        <f>-Assumption!#REF!</f>
        <v/>
      </c>
      <c r="U123" s="79">
        <f>-Assumption!#REF!</f>
        <v/>
      </c>
      <c r="V123" s="79">
        <f>-Assumption!#REF!</f>
        <v/>
      </c>
      <c r="W123" s="79">
        <f>-Assumption!#REF!</f>
        <v/>
      </c>
      <c r="X123" s="79">
        <f>-Assumption!#REF!</f>
        <v/>
      </c>
      <c r="Y123" s="79">
        <f>-Assumption!#REF!</f>
        <v/>
      </c>
      <c r="Z123" s="79">
        <f>-Assumption!#REF!</f>
        <v/>
      </c>
      <c r="AA123" s="79">
        <f>-Assumption!#REF!</f>
        <v/>
      </c>
      <c r="AB123" s="79">
        <f>-Assumption!#REF!</f>
        <v/>
      </c>
      <c r="AC123" s="79">
        <f>-Assumption!#REF!</f>
        <v/>
      </c>
      <c r="AD123" s="79">
        <f>-Assumption!#REF!</f>
        <v/>
      </c>
      <c r="AE123" s="79">
        <f>-Assumption!#REF!</f>
        <v/>
      </c>
      <c r="AF123" s="79">
        <f>-Assumption!#REF!</f>
        <v/>
      </c>
      <c r="AG123" s="79">
        <f>-Assumption!#REF!</f>
        <v/>
      </c>
      <c r="AH123" s="79">
        <f>-Assumption!#REF!</f>
        <v/>
      </c>
      <c r="AI123" s="79">
        <f>-Assumption!#REF!</f>
        <v/>
      </c>
      <c r="AJ123" s="79">
        <f>-Assumption!#REF!</f>
        <v/>
      </c>
      <c r="AK123" s="79">
        <f>-Assumption!#REF!</f>
        <v/>
      </c>
      <c r="AL123" s="79">
        <f>-Assumption!#REF!</f>
        <v/>
      </c>
      <c r="AM123" s="79">
        <f>-Assumption!#REF!</f>
        <v/>
      </c>
      <c r="AN123" s="79">
        <f>-Assumption!#REF!</f>
        <v/>
      </c>
      <c r="AO123" s="79">
        <f>-Assumption!#REF!</f>
        <v/>
      </c>
      <c r="AP123" s="108" t="n"/>
    </row>
    <row r="124">
      <c r="A124" s="74" t="inlineStr">
        <is>
          <t>Changes in prepaid land lease payments</t>
        </is>
      </c>
      <c r="F124" s="141" t="n"/>
      <c r="M124" s="140" t="n"/>
      <c r="N124" s="152">
        <f>-(N49-M49)</f>
        <v/>
      </c>
      <c r="O124" s="152">
        <f>-(O49-N49)</f>
        <v/>
      </c>
      <c r="P124" s="152">
        <f>-(P49-O49)</f>
        <v/>
      </c>
      <c r="Q124" s="152">
        <f>-(Q49-P49)</f>
        <v/>
      </c>
      <c r="R124" s="152">
        <f>-(R49-Q49)</f>
        <v/>
      </c>
      <c r="S124" s="152">
        <f>-(S49-R49)</f>
        <v/>
      </c>
      <c r="T124" s="152">
        <f>-(T49-S49)</f>
        <v/>
      </c>
      <c r="U124" s="152">
        <f>-(U49-T49)</f>
        <v/>
      </c>
      <c r="V124" s="152">
        <f>-(V49-U49)</f>
        <v/>
      </c>
      <c r="W124" s="152">
        <f>-(W49-V49)</f>
        <v/>
      </c>
      <c r="X124" s="152">
        <f>-(X49-W49)</f>
        <v/>
      </c>
      <c r="Y124" s="152">
        <f>-(Y49-X49)</f>
        <v/>
      </c>
      <c r="Z124" s="152">
        <f>-(Z49-Y49)</f>
        <v/>
      </c>
      <c r="AA124" s="152">
        <f>-(AA49-Z49)</f>
        <v/>
      </c>
      <c r="AB124" s="152">
        <f>-(AB49-AA49)</f>
        <v/>
      </c>
      <c r="AC124" s="152">
        <f>-(AC49-AB49)</f>
        <v/>
      </c>
      <c r="AD124" s="152">
        <f>-(AD49-AC49)</f>
        <v/>
      </c>
      <c r="AE124" s="152">
        <f>-(AE49-AD49)</f>
        <v/>
      </c>
      <c r="AF124" s="152">
        <f>-(AF49-AE49)</f>
        <v/>
      </c>
      <c r="AG124" s="152">
        <f>-(AG49-AF49)</f>
        <v/>
      </c>
      <c r="AH124" s="152">
        <f>-(AH49-AG49)</f>
        <v/>
      </c>
      <c r="AI124" s="152">
        <f>-(AI49-AH49)</f>
        <v/>
      </c>
      <c r="AJ124" s="152">
        <f>-(AJ49-AI49)</f>
        <v/>
      </c>
      <c r="AK124" s="152">
        <f>-(AK49-AJ49)</f>
        <v/>
      </c>
      <c r="AL124" s="152">
        <f>-(AL49-AK49)</f>
        <v/>
      </c>
      <c r="AM124" s="152">
        <f>-(AM49-AL49)</f>
        <v/>
      </c>
      <c r="AN124" s="152">
        <f>-(AN49-AM49)</f>
        <v/>
      </c>
      <c r="AO124" s="152">
        <f>-(AO49-AN49)</f>
        <v/>
      </c>
      <c r="AP124" s="108" t="n"/>
    </row>
    <row r="125">
      <c r="A125" s="74" t="inlineStr">
        <is>
          <t>Increase in investments</t>
        </is>
      </c>
      <c r="F125" s="141" t="n"/>
      <c r="M125" s="76" t="n"/>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c r="V125" s="86">
        <f>-(V44-U44)+(V78-U78)-(V52-U52)-(V55-U55)+(V66-U66)</f>
        <v/>
      </c>
      <c r="W125" s="86">
        <f>-(W44-V44)+(W78-V78)-(W52-V52)-(W55-V55)+(W66-V66)</f>
        <v/>
      </c>
      <c r="X125" s="86">
        <f>-(X44-W44)+(X78-W78)-(X52-W52)-(X55-W55)+(X66-W66)</f>
        <v/>
      </c>
      <c r="Y125" s="86">
        <f>-(Y44-X44)+(Y78-X78)-(Y52-X52)-(Y55-X55)+(Y66-X66)</f>
        <v/>
      </c>
      <c r="Z125" s="86">
        <f>-(Z44-Y44)+(Z78-Y78)-(Z52-Y52)-(Z55-Y55)+(Z66-Y66)</f>
        <v/>
      </c>
      <c r="AA125" s="86">
        <f>-(AA44-Z44)+(AA78-Z78)-(AA52-Z52)-(AA55-Z55)+(AA66-Z66)</f>
        <v/>
      </c>
      <c r="AB125" s="86">
        <f>-(AB44-AA44)+(AB78-AA78)-(AB52-AA52)-(AB55-AA55)+(AB66-AA66)</f>
        <v/>
      </c>
      <c r="AC125" s="86">
        <f>-(AC44-AB44)+(AC78-AB78)-(AC52-AB52)-(AC55-AB55)+(AC66-AB66)</f>
        <v/>
      </c>
      <c r="AD125" s="86">
        <f>-(AD44-AC44)+(AD78-AC78)-(AD52-AC52)-(AD55-AC55)+(AD66-AC66)</f>
        <v/>
      </c>
      <c r="AE125" s="86">
        <f>-(AE44-AD44)+(AE78-AD78)-(AE52-AD52)-(AE55-AD55)+(AE66-AD66)</f>
        <v/>
      </c>
      <c r="AF125" s="86">
        <f>-(AF44-AE44)+(AF78-AE78)-(AF52-AE52)-(AF55-AE55)+(AF66-AE66)</f>
        <v/>
      </c>
      <c r="AG125" s="86">
        <f>-(AG44-AF44)+(AG78-AF78)-(AG52-AF52)-(AG55-AF55)+(AG66-AF66)</f>
        <v/>
      </c>
      <c r="AH125" s="86">
        <f>-(AH44-AG44)+(AH78-AG78)-(AH52-AG52)-(AH55-AG55)+(AH66-AG66)</f>
        <v/>
      </c>
      <c r="AI125" s="86">
        <f>-(AI44-AH44)+(AI78-AH78)-(AI52-AH52)-(AI55-AH55)+(AI66-AH66)</f>
        <v/>
      </c>
      <c r="AJ125" s="86">
        <f>-(AJ44-AI44)+(AJ78-AI78)-(AJ52-AI52)-(AJ55-AI55)+(AJ66-AI66)</f>
        <v/>
      </c>
      <c r="AK125" s="86">
        <f>-(AK44-AJ44)+(AK78-AJ78)-(AK52-AJ52)-(AK55-AJ55)+(AK66-AJ66)</f>
        <v/>
      </c>
      <c r="AL125" s="86">
        <f>-(AL44-AK44)+(AL78-AK78)-(AL52-AK52)-(AL55-AK55)+(AL66-AK66)</f>
        <v/>
      </c>
      <c r="AM125" s="86">
        <f>-(AM44-AL44)+(AM78-AL78)-(AM52-AL52)-(AM55-AL55)+(AM66-AL66)</f>
        <v/>
      </c>
      <c r="AN125" s="86">
        <f>-(AN44-AM44)+(AN78-AM78)-(AN52-AM52)-(AN55-AM55)+(AN66-AM66)</f>
        <v/>
      </c>
      <c r="AO125" s="86">
        <f>-(AO44-AN44)+(AO78-AN78)-(AO52-AN52)-(AO55-AN55)+(AO66-AN66)</f>
        <v/>
      </c>
      <c r="AP125" s="108" t="n"/>
    </row>
    <row r="126">
      <c r="A126" s="74" t="inlineStr">
        <is>
          <t>Finance income / (costs)</t>
        </is>
      </c>
      <c r="F126" s="141" t="n"/>
      <c r="M126" s="76" t="n"/>
      <c r="N126" s="86">
        <f>-N106</f>
        <v/>
      </c>
      <c r="O126" s="86">
        <f>-O106</f>
        <v/>
      </c>
      <c r="P126" s="86">
        <f>-P106</f>
        <v/>
      </c>
      <c r="Q126" s="86">
        <f>-Q106</f>
        <v/>
      </c>
      <c r="R126" s="86">
        <f>-R106</f>
        <v/>
      </c>
      <c r="S126" s="86">
        <f>-S106</f>
        <v/>
      </c>
      <c r="T126" s="86">
        <f>-T106</f>
        <v/>
      </c>
      <c r="U126" s="86">
        <f>-U106</f>
        <v/>
      </c>
      <c r="V126" s="86">
        <f>-V106</f>
        <v/>
      </c>
      <c r="W126" s="86">
        <f>-W106</f>
        <v/>
      </c>
      <c r="X126" s="86">
        <f>-X106</f>
        <v/>
      </c>
      <c r="Y126" s="86">
        <f>-Y106</f>
        <v/>
      </c>
      <c r="Z126" s="86">
        <f>-Z106</f>
        <v/>
      </c>
      <c r="AA126" s="86">
        <f>-AA106</f>
        <v/>
      </c>
      <c r="AB126" s="86">
        <f>-AB106</f>
        <v/>
      </c>
      <c r="AC126" s="86">
        <f>-AC106</f>
        <v/>
      </c>
      <c r="AD126" s="86">
        <f>-AD106</f>
        <v/>
      </c>
      <c r="AE126" s="86">
        <f>-AE106</f>
        <v/>
      </c>
      <c r="AF126" s="86">
        <f>-AF106</f>
        <v/>
      </c>
      <c r="AG126" s="86">
        <f>-AG106</f>
        <v/>
      </c>
      <c r="AH126" s="86">
        <f>-AH106</f>
        <v/>
      </c>
      <c r="AI126" s="86">
        <f>-AI106</f>
        <v/>
      </c>
      <c r="AJ126" s="86">
        <f>-AJ106</f>
        <v/>
      </c>
      <c r="AK126" s="86">
        <f>-AK106</f>
        <v/>
      </c>
      <c r="AL126" s="86">
        <f>-AL106</f>
        <v/>
      </c>
      <c r="AM126" s="86">
        <f>-AM106</f>
        <v/>
      </c>
      <c r="AN126" s="86">
        <f>-AN106</f>
        <v/>
      </c>
      <c r="AO126" s="86">
        <f>-AO106</f>
        <v/>
      </c>
      <c r="AP126" s="108" t="n"/>
    </row>
    <row r="127">
      <c r="A127" s="74">
        <f>+A21</f>
        <v/>
      </c>
      <c r="F127" s="141" t="n"/>
      <c r="M127" s="76" t="n"/>
      <c r="N127" s="86">
        <f>+N21</f>
        <v/>
      </c>
      <c r="O127" s="86">
        <f>+O21</f>
        <v/>
      </c>
      <c r="P127" s="86">
        <f>+P21</f>
        <v/>
      </c>
      <c r="Q127" s="86">
        <f>+Q21</f>
        <v/>
      </c>
      <c r="R127" s="86">
        <f>+R21</f>
        <v/>
      </c>
      <c r="S127" s="86">
        <f>+S21</f>
        <v/>
      </c>
      <c r="T127" s="86">
        <f>+T21</f>
        <v/>
      </c>
      <c r="U127" s="86">
        <f>+U21</f>
        <v/>
      </c>
      <c r="V127" s="86">
        <f>+V21</f>
        <v/>
      </c>
      <c r="W127" s="86">
        <f>+W21</f>
        <v/>
      </c>
      <c r="X127" s="86">
        <f>+X21</f>
        <v/>
      </c>
      <c r="Y127" s="86">
        <f>+Y21</f>
        <v/>
      </c>
      <c r="Z127" s="86">
        <f>+Z21</f>
        <v/>
      </c>
      <c r="AA127" s="86">
        <f>+AA21</f>
        <v/>
      </c>
      <c r="AB127" s="86">
        <f>+AB21</f>
        <v/>
      </c>
      <c r="AC127" s="86">
        <f>+AC21</f>
        <v/>
      </c>
      <c r="AD127" s="86">
        <f>+AD21</f>
        <v/>
      </c>
      <c r="AE127" s="86">
        <f>+AE21</f>
        <v/>
      </c>
      <c r="AF127" s="86">
        <f>+AF21</f>
        <v/>
      </c>
      <c r="AG127" s="86">
        <f>+AG21</f>
        <v/>
      </c>
      <c r="AH127" s="86">
        <f>+AH21</f>
        <v/>
      </c>
      <c r="AI127" s="86">
        <f>+AI21</f>
        <v/>
      </c>
      <c r="AJ127" s="86">
        <f>+AJ21</f>
        <v/>
      </c>
      <c r="AK127" s="86">
        <f>+AK21</f>
        <v/>
      </c>
      <c r="AL127" s="86">
        <f>+AL21</f>
        <v/>
      </c>
      <c r="AM127" s="86">
        <f>+AM21</f>
        <v/>
      </c>
      <c r="AN127" s="86">
        <f>+AN21</f>
        <v/>
      </c>
      <c r="AO127" s="86">
        <f>+AO21</f>
        <v/>
      </c>
      <c r="AP127" s="108" t="n"/>
    </row>
    <row r="128">
      <c r="A128" s="74" t="inlineStr">
        <is>
          <t>Other Income</t>
        </is>
      </c>
      <c r="F128" s="141" t="n"/>
      <c r="M128" s="76" t="n"/>
      <c r="N128" s="86">
        <f>-N107</f>
        <v/>
      </c>
      <c r="O128" s="86">
        <f>-O107</f>
        <v/>
      </c>
      <c r="P128" s="86">
        <f>-P107</f>
        <v/>
      </c>
      <c r="Q128" s="86">
        <f>-Q107</f>
        <v/>
      </c>
      <c r="R128" s="86">
        <f>-R107</f>
        <v/>
      </c>
      <c r="S128" s="86">
        <f>-S107</f>
        <v/>
      </c>
      <c r="T128" s="86">
        <f>-T107</f>
        <v/>
      </c>
      <c r="U128" s="86">
        <f>-U107</f>
        <v/>
      </c>
      <c r="V128" s="86">
        <f>-V107</f>
        <v/>
      </c>
      <c r="W128" s="86">
        <f>-W107</f>
        <v/>
      </c>
      <c r="X128" s="86">
        <f>-X107</f>
        <v/>
      </c>
      <c r="Y128" s="86">
        <f>-Y107</f>
        <v/>
      </c>
      <c r="Z128" s="86">
        <f>-Z107</f>
        <v/>
      </c>
      <c r="AA128" s="86">
        <f>-AA107</f>
        <v/>
      </c>
      <c r="AB128" s="86">
        <f>-AB107</f>
        <v/>
      </c>
      <c r="AC128" s="86">
        <f>-AC107</f>
        <v/>
      </c>
      <c r="AD128" s="86">
        <f>-AD107</f>
        <v/>
      </c>
      <c r="AE128" s="86">
        <f>-AE107</f>
        <v/>
      </c>
      <c r="AF128" s="86">
        <f>-AF107</f>
        <v/>
      </c>
      <c r="AG128" s="86">
        <f>-AG107</f>
        <v/>
      </c>
      <c r="AH128" s="86">
        <f>-AH107</f>
        <v/>
      </c>
      <c r="AI128" s="86">
        <f>-AI107</f>
        <v/>
      </c>
      <c r="AJ128" s="86">
        <f>-AJ107</f>
        <v/>
      </c>
      <c r="AK128" s="86">
        <f>-AK107</f>
        <v/>
      </c>
      <c r="AL128" s="86">
        <f>-AL107</f>
        <v/>
      </c>
      <c r="AM128" s="86">
        <f>-AM107</f>
        <v/>
      </c>
      <c r="AN128" s="86">
        <f>-AN107</f>
        <v/>
      </c>
      <c r="AO128" s="86">
        <f>-AO107</f>
        <v/>
      </c>
      <c r="AP128" s="108" t="n"/>
    </row>
    <row r="129">
      <c r="A129" t="inlineStr">
        <is>
          <t>Adjustments for historical</t>
        </is>
      </c>
      <c r="F129" s="141" t="n"/>
      <c r="M129" s="76" t="n"/>
      <c r="N129" s="80">
        <f>IF(N$2=1,#REF!,#REF!-#REF!)-SUM(N122:N128)</f>
        <v/>
      </c>
      <c r="O129" s="80">
        <f>IF(O$2=1,#REF!,#REF!-#REF!)-SUM(O122:O128)</f>
        <v/>
      </c>
      <c r="P129" s="80">
        <f>IF(P$2=1,#REF!,#REF!-#REF!)-SUM(P122:P128)</f>
        <v/>
      </c>
      <c r="Q129" s="80">
        <f>IF(Q$2=1,#REF!,#REF!-#REF!)-SUM(Q122:Q128)</f>
        <v/>
      </c>
      <c r="R129" s="80">
        <f>IF(R$2=1,#REF!,#REF!-#REF!)-SUM(R122:R128)</f>
        <v/>
      </c>
      <c r="S129" s="80">
        <f>IF(S$2=1,#REF!,#REF!-#REF!)-SUM(S122:S128)</f>
        <v/>
      </c>
      <c r="T129" s="80">
        <f>IF(T$2=1,#REF!,#REF!-#REF!)-SUM(T122:T128)</f>
        <v/>
      </c>
      <c r="U129" s="80">
        <f>IF(U$2=1,#REF!,#REF!-#REF!)-SUM(U122:U128)</f>
        <v/>
      </c>
      <c r="V129" s="80">
        <f>IF(V$2=1,#REF!,#REF!-#REF!)-SUM(V122:V128)</f>
        <v/>
      </c>
      <c r="W129" s="80">
        <f>IF(W$2=1,#REF!,#REF!-#REF!)-SUM(W122:W128)</f>
        <v/>
      </c>
      <c r="X129" s="80">
        <f>IF(X$2=1,#REF!,#REF!-#REF!)-SUM(X122:X128)</f>
        <v/>
      </c>
      <c r="Y129" s="80">
        <f>IF(Y$2=1,#REF!,#REF!-#REF!)-SUM(Y122:Y128)</f>
        <v/>
      </c>
      <c r="Z129" s="80">
        <f>IF(Z$2=1,#REF!,#REF!-#REF!)-SUM(Z122:Z128)</f>
        <v/>
      </c>
      <c r="AA129" s="80">
        <f>IF(AA$2=1,#REF!,#REF!-#REF!)-SUM(AA122:AA128)</f>
        <v/>
      </c>
      <c r="AB129" s="80">
        <f>IF(AB$2=1,#REF!,#REF!-#REF!)-SUM(AB122:AB128)</f>
        <v/>
      </c>
      <c r="AC129" s="80">
        <f>IF(AC$2=1,#REF!,#REF!-#REF!)-SUM(AC122:AC128)</f>
        <v/>
      </c>
      <c r="AD129" s="76" t="n"/>
      <c r="AE129" s="76" t="n"/>
      <c r="AF129" s="76" t="n"/>
      <c r="AG129" s="76" t="n"/>
      <c r="AH129" s="76" t="n"/>
      <c r="AI129" s="76" t="n"/>
      <c r="AJ129" s="76" t="n"/>
      <c r="AK129" s="76" t="n"/>
      <c r="AL129" s="76" t="n"/>
      <c r="AM129" s="76" t="n"/>
      <c r="AN129" s="76" t="n"/>
      <c r="AO129" s="76" t="n"/>
      <c r="AP129" s="108" t="n"/>
    </row>
    <row r="130" customFormat="1" s="22">
      <c r="A130" s="22" t="inlineStr">
        <is>
          <t>Net cash flows used in investing activities</t>
        </is>
      </c>
      <c r="F130" s="148" t="n"/>
      <c r="M130" s="122" t="n"/>
      <c r="N130" s="121">
        <f>SUM(N122:N129)</f>
        <v/>
      </c>
      <c r="O130" s="121">
        <f>SUM(O122:O129)</f>
        <v/>
      </c>
      <c r="P130" s="121">
        <f>SUM(P122:P129)</f>
        <v/>
      </c>
      <c r="Q130" s="121">
        <f>SUM(Q122:Q129)</f>
        <v/>
      </c>
      <c r="R130" s="121">
        <f>SUM(R122:R129)</f>
        <v/>
      </c>
      <c r="S130" s="121">
        <f>SUM(S122:S129)</f>
        <v/>
      </c>
      <c r="T130" s="121">
        <f>SUM(T122:T129)</f>
        <v/>
      </c>
      <c r="U130" s="121">
        <f>SUM(U122:U129)</f>
        <v/>
      </c>
      <c r="V130" s="121">
        <f>SUM(V122:V129)</f>
        <v/>
      </c>
      <c r="W130" s="121">
        <f>SUM(W122:W129)</f>
        <v/>
      </c>
      <c r="X130" s="121">
        <f>SUM(X122:X129)</f>
        <v/>
      </c>
      <c r="Y130" s="121">
        <f>SUM(Y122:Y129)</f>
        <v/>
      </c>
      <c r="Z130" s="121">
        <f>SUM(Z122:Z129)</f>
        <v/>
      </c>
      <c r="AA130" s="121">
        <f>SUM(AA122:AA129)</f>
        <v/>
      </c>
      <c r="AB130" s="121">
        <f>SUM(AB122:AB129)</f>
        <v/>
      </c>
      <c r="AC130" s="121">
        <f>SUM(AC122:AC129)</f>
        <v/>
      </c>
      <c r="AD130" s="121">
        <f>SUM(AD122:AD128)</f>
        <v/>
      </c>
      <c r="AE130" s="121">
        <f>SUM(AE122:AE128)</f>
        <v/>
      </c>
      <c r="AF130" s="121">
        <f>SUM(AF122:AF128)</f>
        <v/>
      </c>
      <c r="AG130" s="121">
        <f>SUM(AG122:AG128)</f>
        <v/>
      </c>
      <c r="AH130" s="121">
        <f>SUM(AH122:AH128)</f>
        <v/>
      </c>
      <c r="AI130" s="121">
        <f>SUM(AI122:AI128)</f>
        <v/>
      </c>
      <c r="AJ130" s="121">
        <f>SUM(AJ122:AJ128)</f>
        <v/>
      </c>
      <c r="AK130" s="121">
        <f>SUM(AK122:AK128)</f>
        <v/>
      </c>
      <c r="AL130" s="121">
        <f>SUM(AL122:AL128)</f>
        <v/>
      </c>
      <c r="AM130" s="121">
        <f>SUM(AM122:AM128)</f>
        <v/>
      </c>
      <c r="AN130" s="121">
        <f>SUM(AN122:AN128)</f>
        <v/>
      </c>
      <c r="AO130" s="121">
        <f>SUM(AO122:AO128)</f>
        <v/>
      </c>
      <c r="AP130" s="108" t="n"/>
    </row>
    <row r="131">
      <c r="M131" s="31" t="n"/>
      <c r="N131" s="31" t="n"/>
      <c r="O131" s="31" t="n"/>
      <c r="P131" s="31" t="n"/>
      <c r="Q131" s="31" t="n"/>
      <c r="R131" s="31" t="n"/>
      <c r="S131" s="31" t="n"/>
      <c r="T131" s="31" t="n"/>
      <c r="U131" s="31" t="n"/>
      <c r="V131" s="31" t="n"/>
      <c r="W131" s="31" t="n"/>
      <c r="X131" s="31" t="n"/>
      <c r="Y131" s="31" t="n"/>
      <c r="Z131" s="31" t="n"/>
      <c r="AA131" s="31" t="n"/>
      <c r="AB131" s="31" t="n"/>
      <c r="AC131" s="31" t="n"/>
      <c r="AD131" s="31" t="n"/>
      <c r="AE131" s="31" t="n"/>
      <c r="AF131" s="31" t="n"/>
      <c r="AG131" s="31" t="n"/>
      <c r="AH131" s="31" t="n"/>
      <c r="AI131" s="31" t="n"/>
      <c r="AJ131" s="31" t="n"/>
      <c r="AK131" s="31" t="n"/>
      <c r="AL131" s="31" t="n"/>
      <c r="AM131" s="31" t="n"/>
      <c r="AN131" s="31" t="n"/>
      <c r="AO131" s="31" t="n"/>
      <c r="AP131" s="108" t="n"/>
    </row>
    <row r="132">
      <c r="A132" s="77" t="inlineStr">
        <is>
          <t>Cash flows from financing activities</t>
        </is>
      </c>
      <c r="F132" s="147" t="n"/>
      <c r="M132" s="31" t="n"/>
      <c r="N132" s="31" t="n"/>
      <c r="O132" s="31" t="n"/>
      <c r="P132" s="31" t="n"/>
      <c r="Q132" s="31" t="n"/>
      <c r="R132" s="31" t="n"/>
      <c r="S132" s="31" t="n"/>
      <c r="T132" s="31" t="n"/>
      <c r="U132" s="31" t="n"/>
      <c r="V132" s="31" t="n"/>
      <c r="W132" s="31" t="n"/>
      <c r="X132" s="31" t="n"/>
      <c r="Y132" s="31" t="n"/>
      <c r="Z132" s="31" t="n"/>
      <c r="AA132" s="31" t="n"/>
      <c r="AB132" s="31" t="n"/>
      <c r="AC132" s="31" t="n"/>
      <c r="AD132" s="31" t="n"/>
      <c r="AE132" s="31" t="n"/>
      <c r="AF132" s="31" t="n"/>
      <c r="AG132" s="31" t="n"/>
      <c r="AH132" s="31" t="n"/>
      <c r="AI132" s="31" t="n"/>
      <c r="AJ132" s="31" t="n"/>
      <c r="AK132" s="31" t="n"/>
      <c r="AL132" s="31" t="n"/>
      <c r="AM132" s="31" t="n"/>
      <c r="AN132" s="31" t="n"/>
      <c r="AO132" s="31" t="n"/>
      <c r="AP132" s="108" t="n"/>
    </row>
    <row r="133">
      <c r="A133" s="74" t="inlineStr">
        <is>
          <t>Increase in borrowings</t>
        </is>
      </c>
      <c r="F133" s="141" t="n"/>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c r="V133" s="86">
        <f>+V63-U63+V73-U73</f>
        <v/>
      </c>
      <c r="W133" s="86">
        <f>+W63-V63+W73-V73</f>
        <v/>
      </c>
      <c r="X133" s="86">
        <f>+X63-W63+X73-W73</f>
        <v/>
      </c>
      <c r="Y133" s="86">
        <f>+Y63-X63+Y73-X73</f>
        <v/>
      </c>
      <c r="Z133" s="86">
        <f>+Z63-Y63+Z73-Y73</f>
        <v/>
      </c>
      <c r="AA133" s="86">
        <f>+AA63-Z63+AA73-Z73</f>
        <v/>
      </c>
      <c r="AB133" s="86">
        <f>+AB63-AA63+AB73-AA73</f>
        <v/>
      </c>
      <c r="AC133" s="86">
        <f>+AC63-AB63+AC73-AB73</f>
        <v/>
      </c>
      <c r="AD133" s="86">
        <f>+AD63-AC63+AD73-AC73</f>
        <v/>
      </c>
      <c r="AE133" s="86">
        <f>+AE63-AD63+AE73-AD73</f>
        <v/>
      </c>
      <c r="AF133" s="86">
        <f>+AF63-AE63+AF73-AE73</f>
        <v/>
      </c>
      <c r="AG133" s="86">
        <f>+AG63-AF63+AG73-AF73</f>
        <v/>
      </c>
      <c r="AH133" s="86">
        <f>+AH63-AG63+AH73-AG73</f>
        <v/>
      </c>
      <c r="AI133" s="86">
        <f>+AI63-AH63+AI73-AH73</f>
        <v/>
      </c>
      <c r="AJ133" s="86">
        <f>+AJ63-AI63+AJ73-AI73</f>
        <v/>
      </c>
      <c r="AK133" s="86">
        <f>+AK63-AJ63+AK73-AJ73</f>
        <v/>
      </c>
      <c r="AL133" s="86">
        <f>+AL63-AK63+AL73-AK73</f>
        <v/>
      </c>
      <c r="AM133" s="86">
        <f>+AM63-AL63+AM73-AL73</f>
        <v/>
      </c>
      <c r="AN133" s="86">
        <f>+AN63-AM63+AN73-AM73</f>
        <v/>
      </c>
      <c r="AO133" s="86">
        <f>+AO63-AN63+AO73-AN73</f>
        <v/>
      </c>
      <c r="AP133" s="108" t="n"/>
    </row>
    <row r="134">
      <c r="A134" s="74" t="inlineStr">
        <is>
          <t>Convertible Bond issuance proceeds</t>
        </is>
      </c>
      <c r="F134" s="141" t="n"/>
      <c r="M134" s="86" t="n"/>
      <c r="N134" s="86" t="n"/>
      <c r="O134" s="86" t="n"/>
      <c r="P134" s="86" t="n"/>
      <c r="Q134" s="86" t="n"/>
      <c r="R134" s="86" t="n"/>
      <c r="S134" s="86" t="n"/>
      <c r="T134" s="86" t="n"/>
      <c r="U134" s="86" t="n"/>
      <c r="V134" s="86" t="n"/>
      <c r="W134" s="86" t="n"/>
      <c r="X134" s="86" t="n"/>
      <c r="Y134" s="86" t="n"/>
      <c r="Z134" s="86" t="n"/>
      <c r="AA134" s="86" t="n"/>
      <c r="AB134" s="86" t="n"/>
      <c r="AC134" s="86">
        <f>Assumption!#REF!</f>
        <v/>
      </c>
      <c r="AD134" s="86">
        <f>Assumption!#REF!</f>
        <v/>
      </c>
      <c r="AE134" s="86">
        <f>Assumption!#REF!</f>
        <v/>
      </c>
      <c r="AF134" s="86">
        <f>Assumption!#REF!</f>
        <v/>
      </c>
      <c r="AG134" s="86">
        <f>Assumption!#REF!</f>
        <v/>
      </c>
      <c r="AH134" s="86">
        <f>Assumption!#REF!</f>
        <v/>
      </c>
      <c r="AI134" s="86">
        <f>Assumption!#REF!</f>
        <v/>
      </c>
      <c r="AJ134" s="86">
        <f>Assumption!#REF!</f>
        <v/>
      </c>
      <c r="AK134" s="86">
        <f>Assumption!#REF!</f>
        <v/>
      </c>
      <c r="AL134" s="86">
        <f>Assumption!#REF!</f>
        <v/>
      </c>
      <c r="AM134" s="86">
        <f>Assumption!#REF!</f>
        <v/>
      </c>
      <c r="AN134" s="86">
        <f>Assumption!#REF!</f>
        <v/>
      </c>
      <c r="AO134" s="86">
        <f>Assumption!#REF!</f>
        <v/>
      </c>
      <c r="AP134" s="108" t="n"/>
    </row>
    <row r="135">
      <c r="A135" s="74" t="inlineStr">
        <is>
          <t>Share issuance proceeds</t>
        </is>
      </c>
      <c r="F135" s="141" t="n"/>
      <c r="M135" s="172" t="n"/>
      <c r="N135" s="172" t="n"/>
      <c r="O135" s="172" t="n"/>
      <c r="P135" s="172" t="n"/>
      <c r="Q135" s="172" t="n"/>
      <c r="R135" s="172" t="n"/>
      <c r="S135" s="172" t="n"/>
      <c r="T135" s="172" t="n"/>
      <c r="U135" s="172" t="n"/>
      <c r="V135" s="172" t="n"/>
      <c r="W135" s="172" t="n"/>
      <c r="X135" s="172" t="n"/>
      <c r="Y135" s="172" t="n"/>
      <c r="Z135" s="172" t="n"/>
      <c r="AA135" s="172" t="n"/>
      <c r="AB135" s="172" t="n"/>
      <c r="AC135" s="86">
        <f>+Assumption!#REF!+Assumption!#REF!</f>
        <v/>
      </c>
      <c r="AD135" s="86">
        <f>+Assumption!#REF!+Assumption!#REF!</f>
        <v/>
      </c>
      <c r="AE135" s="86">
        <f>+Assumption!#REF!+Assumption!#REF!</f>
        <v/>
      </c>
      <c r="AF135" s="86">
        <f>+Assumption!#REF!+Assumption!#REF!</f>
        <v/>
      </c>
      <c r="AG135" s="86">
        <f>+Assumption!#REF!+Assumption!#REF!</f>
        <v/>
      </c>
      <c r="AH135" s="86">
        <f>+Assumption!#REF!+Assumption!#REF!</f>
        <v/>
      </c>
      <c r="AI135" s="86">
        <f>+Assumption!#REF!+Assumption!#REF!</f>
        <v/>
      </c>
      <c r="AJ135" s="86">
        <f>+Assumption!#REF!+Assumption!#REF!</f>
        <v/>
      </c>
      <c r="AK135" s="86">
        <f>+Assumption!#REF!+Assumption!#REF!</f>
        <v/>
      </c>
      <c r="AL135" s="86">
        <f>+Assumption!#REF!+Assumption!#REF!</f>
        <v/>
      </c>
      <c r="AM135" s="86">
        <f>+Assumption!#REF!+Assumption!#REF!</f>
        <v/>
      </c>
      <c r="AN135" s="86">
        <f>+Assumption!#REF!+Assumption!#REF!</f>
        <v/>
      </c>
      <c r="AO135" s="86">
        <f>+Assumption!#REF!+Assumption!#REF!</f>
        <v/>
      </c>
      <c r="AP135" s="108" t="n"/>
    </row>
    <row r="136">
      <c r="A136" s="74" t="inlineStr">
        <is>
          <t>Change in government grants</t>
        </is>
      </c>
      <c r="F136" s="141" t="n"/>
      <c r="M136" s="76" t="n"/>
      <c r="N136" s="86">
        <f>N75-M75</f>
        <v/>
      </c>
      <c r="O136" s="86">
        <f>O75-N75</f>
        <v/>
      </c>
      <c r="P136" s="86">
        <f>P75-O75</f>
        <v/>
      </c>
      <c r="Q136" s="86">
        <f>Q75-P75</f>
        <v/>
      </c>
      <c r="R136" s="86">
        <f>R75-Q75</f>
        <v/>
      </c>
      <c r="S136" s="86">
        <f>S75-R75</f>
        <v/>
      </c>
      <c r="T136" s="86">
        <f>T75-S75</f>
        <v/>
      </c>
      <c r="U136" s="86">
        <f>U75-T75</f>
        <v/>
      </c>
      <c r="V136" s="86">
        <f>V75-U75</f>
        <v/>
      </c>
      <c r="W136" s="86">
        <f>W75-V75</f>
        <v/>
      </c>
      <c r="X136" s="86">
        <f>X75-W75</f>
        <v/>
      </c>
      <c r="Y136" s="86">
        <f>Y75-X75</f>
        <v/>
      </c>
      <c r="Z136" s="86">
        <f>Z75-Y75</f>
        <v/>
      </c>
      <c r="AA136" s="86">
        <f>AA75-Z75</f>
        <v/>
      </c>
      <c r="AB136" s="86">
        <f>AB75-AA75</f>
        <v/>
      </c>
      <c r="AC136" s="86">
        <f>AC75-AB75</f>
        <v/>
      </c>
      <c r="AD136" s="86">
        <f>AD75-AC75</f>
        <v/>
      </c>
      <c r="AE136" s="86">
        <f>AE75-AD75</f>
        <v/>
      </c>
      <c r="AF136" s="86">
        <f>AF75-AE75</f>
        <v/>
      </c>
      <c r="AG136" s="86">
        <f>AG75-AF75</f>
        <v/>
      </c>
      <c r="AH136" s="86">
        <f>AH75-AG75</f>
        <v/>
      </c>
      <c r="AI136" s="86">
        <f>AI75-AH75</f>
        <v/>
      </c>
      <c r="AJ136" s="86">
        <f>AJ75-AI75</f>
        <v/>
      </c>
      <c r="AK136" s="86">
        <f>AK75-AJ75</f>
        <v/>
      </c>
      <c r="AL136" s="86">
        <f>AL75-AK75</f>
        <v/>
      </c>
      <c r="AM136" s="86">
        <f>AM75-AL75</f>
        <v/>
      </c>
      <c r="AN136" s="86">
        <f>AN75-AM75</f>
        <v/>
      </c>
      <c r="AO136" s="86">
        <f>AO75-AN75</f>
        <v/>
      </c>
      <c r="AP136" s="108" t="n"/>
    </row>
    <row r="137">
      <c r="A137" s="74" t="inlineStr">
        <is>
          <t>Dividends paid</t>
        </is>
      </c>
      <c r="F137" s="141" t="n"/>
      <c r="M137" s="80">
        <f>Assumption!#REF!</f>
        <v/>
      </c>
      <c r="N137" s="80">
        <f>Assumption!#REF!</f>
        <v/>
      </c>
      <c r="O137" s="80">
        <f>Assumption!#REF!</f>
        <v/>
      </c>
      <c r="P137" s="80">
        <f>Assumption!#REF!</f>
        <v/>
      </c>
      <c r="Q137" s="80">
        <f>Assumption!#REF!</f>
        <v/>
      </c>
      <c r="R137" s="80">
        <f>Assumption!#REF!</f>
        <v/>
      </c>
      <c r="S137" s="80">
        <f>Assumption!#REF!</f>
        <v/>
      </c>
      <c r="T137" s="80">
        <f>Assumption!#REF!</f>
        <v/>
      </c>
      <c r="U137" s="80">
        <f>Assumption!#REF!</f>
        <v/>
      </c>
      <c r="V137" s="80">
        <f>Assumption!#REF!</f>
        <v/>
      </c>
      <c r="W137" s="80">
        <f>Assumption!#REF!</f>
        <v/>
      </c>
      <c r="X137" s="80">
        <f>Assumption!B233</f>
        <v/>
      </c>
      <c r="Y137" s="80">
        <f>Assumption!C233</f>
        <v/>
      </c>
      <c r="Z137" s="80">
        <f>Assumption!D233</f>
        <v/>
      </c>
      <c r="AA137" s="80">
        <f>Assumption!E233</f>
        <v/>
      </c>
      <c r="AB137" s="80">
        <f>Assumption!F233</f>
        <v/>
      </c>
      <c r="AC137" s="80">
        <f>Assumption!G233</f>
        <v/>
      </c>
      <c r="AD137" s="80">
        <f>Assumption!H233</f>
        <v/>
      </c>
      <c r="AE137" s="80">
        <f>Assumption!I233</f>
        <v/>
      </c>
      <c r="AF137" s="80">
        <f>Assumption!J233</f>
        <v/>
      </c>
      <c r="AG137" s="80">
        <f>Assumption!K233</f>
        <v/>
      </c>
      <c r="AH137" s="80">
        <f>Assumption!L233</f>
        <v/>
      </c>
      <c r="AI137" s="80">
        <f>Assumption!M233</f>
        <v/>
      </c>
      <c r="AJ137" s="80">
        <f>Assumption!N233</f>
        <v/>
      </c>
      <c r="AK137" s="80">
        <f>Assumption!O233</f>
        <v/>
      </c>
      <c r="AL137" s="80">
        <f>Assumption!P233</f>
        <v/>
      </c>
      <c r="AM137" s="80">
        <f>Assumption!Q233</f>
        <v/>
      </c>
      <c r="AN137" s="80">
        <f>Assumption!R233</f>
        <v/>
      </c>
      <c r="AO137" s="80">
        <f>Assumption!S233</f>
        <v/>
      </c>
      <c r="AP137" s="108" t="n"/>
    </row>
    <row r="138">
      <c r="A138" t="inlineStr">
        <is>
          <t>Adjustments for historical</t>
        </is>
      </c>
      <c r="F138" s="141" t="n"/>
      <c r="M138" s="76" t="n"/>
      <c r="N138" s="80">
        <f>IF(N$2=1,#REF!,#REF!-#REF!)-SUM(N133:N137)</f>
        <v/>
      </c>
      <c r="O138" s="80">
        <f>IF(O$2=1,#REF!,#REF!-#REF!)-SUM(O133:O137)</f>
        <v/>
      </c>
      <c r="P138" s="80">
        <f>IF(P$2=1,#REF!,#REF!-#REF!)-SUM(P133:P137)</f>
        <v/>
      </c>
      <c r="Q138" s="80">
        <f>IF(Q$2=1,#REF!,#REF!-#REF!)-SUM(Q133:Q137)</f>
        <v/>
      </c>
      <c r="R138" s="80">
        <f>IF(R$2=1,#REF!,#REF!-#REF!)-SUM(R133:R137)</f>
        <v/>
      </c>
      <c r="S138" s="80">
        <f>IF(S$2=1,#REF!,#REF!-#REF!)-SUM(S133:S137)</f>
        <v/>
      </c>
      <c r="T138" s="80">
        <f>IF(T$2=1,#REF!,#REF!-#REF!)-SUM(T133:T137)</f>
        <v/>
      </c>
      <c r="U138" s="80">
        <f>IF(U$2=1,#REF!,#REF!-#REF!)-SUM(U133:U137)</f>
        <v/>
      </c>
      <c r="V138" s="80">
        <f>IF(V$2=1,#REF!,#REF!-#REF!)-SUM(V133:V137)</f>
        <v/>
      </c>
      <c r="W138" s="80">
        <f>IF(W$2=1,#REF!,#REF!-#REF!)-SUM(W133:W137)</f>
        <v/>
      </c>
      <c r="X138" s="80">
        <f>IF(X$2=1,#REF!,#REF!-#REF!)-SUM(X133:X137)</f>
        <v/>
      </c>
      <c r="Y138" s="80">
        <f>IF(Y$2=1,#REF!,#REF!-#REF!)-SUM(Y133:Y137)</f>
        <v/>
      </c>
      <c r="Z138" s="80">
        <f>IF(Z$2=1,#REF!,#REF!-#REF!)-SUM(Z133:Z137)</f>
        <v/>
      </c>
      <c r="AA138" s="80">
        <f>IF(AA$2=1,#REF!,#REF!-#REF!)-SUM(AA133:AA137)</f>
        <v/>
      </c>
      <c r="AB138" s="80">
        <f>IF(AB$2=1,#REF!,#REF!-#REF!)-SUM(AB133:AB137)</f>
        <v/>
      </c>
      <c r="AC138" s="80">
        <f>IF(AC$2=1,#REF!,#REF!-#REF!)-SUM(AC133:AC137)</f>
        <v/>
      </c>
      <c r="AD138" s="76" t="n"/>
      <c r="AE138" s="76" t="n"/>
      <c r="AF138" s="76" t="n"/>
      <c r="AG138" s="76" t="n"/>
      <c r="AH138" s="76" t="n"/>
      <c r="AI138" s="76" t="n"/>
      <c r="AJ138" s="76" t="n"/>
      <c r="AK138" s="76" t="n"/>
      <c r="AL138" s="76" t="n"/>
      <c r="AM138" s="76" t="n"/>
      <c r="AN138" s="76" t="n"/>
      <c r="AO138" s="76" t="n"/>
      <c r="AP138" s="108" t="n"/>
    </row>
    <row r="139" customFormat="1" s="22">
      <c r="A139" s="22" t="inlineStr">
        <is>
          <t>Net cash flows (used in)/from financing activities</t>
        </is>
      </c>
      <c r="F139" s="148" t="n"/>
      <c r="M139" s="153">
        <f>IF(M$2=1,#REF!,#REF!-#REF!)</f>
        <v/>
      </c>
      <c r="N139" s="121">
        <f>SUM(N133:N138)</f>
        <v/>
      </c>
      <c r="O139" s="121">
        <f>SUM(O133:O138)</f>
        <v/>
      </c>
      <c r="P139" s="121">
        <f>SUM(P133:P138)</f>
        <v/>
      </c>
      <c r="Q139" s="121">
        <f>SUM(Q133:Q138)</f>
        <v/>
      </c>
      <c r="R139" s="121">
        <f>SUM(R133:R138)</f>
        <v/>
      </c>
      <c r="S139" s="121">
        <f>SUM(S133:S138)</f>
        <v/>
      </c>
      <c r="T139" s="121">
        <f>SUM(T133:T138)</f>
        <v/>
      </c>
      <c r="U139" s="121">
        <f>SUM(U133:U138)</f>
        <v/>
      </c>
      <c r="V139" s="121">
        <f>SUM(V133:V138)</f>
        <v/>
      </c>
      <c r="W139" s="121">
        <f>SUM(W133:W138)</f>
        <v/>
      </c>
      <c r="X139" s="121">
        <f>SUM(X133:X138)</f>
        <v/>
      </c>
      <c r="Y139" s="121">
        <f>SUM(Y133:Y138)</f>
        <v/>
      </c>
      <c r="Z139" s="121">
        <f>SUM(Z133:Z138)</f>
        <v/>
      </c>
      <c r="AA139" s="121">
        <f>SUM(AA133:AA138)</f>
        <v/>
      </c>
      <c r="AB139" s="121">
        <f>SUM(AB133:AB138)</f>
        <v/>
      </c>
      <c r="AC139" s="121">
        <f>SUM(AC133:AC138)</f>
        <v/>
      </c>
      <c r="AD139" s="121">
        <f>SUM(AD133:AD137)</f>
        <v/>
      </c>
      <c r="AE139" s="121">
        <f>SUM(AE133:AE137)</f>
        <v/>
      </c>
      <c r="AF139" s="121">
        <f>SUM(AF133:AF137)</f>
        <v/>
      </c>
      <c r="AG139" s="121">
        <f>SUM(AG133:AG137)</f>
        <v/>
      </c>
      <c r="AH139" s="121">
        <f>SUM(AH133:AH137)</f>
        <v/>
      </c>
      <c r="AI139" s="121">
        <f>SUM(AI133:AI137)</f>
        <v/>
      </c>
      <c r="AJ139" s="121">
        <f>SUM(AJ133:AJ137)</f>
        <v/>
      </c>
      <c r="AK139" s="121">
        <f>SUM(AK133:AK137)</f>
        <v/>
      </c>
      <c r="AL139" s="121">
        <f>SUM(AL133:AL137)</f>
        <v/>
      </c>
      <c r="AM139" s="121">
        <f>SUM(AM133:AM137)</f>
        <v/>
      </c>
      <c r="AN139" s="121">
        <f>SUM(AN133:AN137)</f>
        <v/>
      </c>
      <c r="AO139" s="121">
        <f>SUM(AO133:AO137)</f>
        <v/>
      </c>
      <c r="AP139" s="108" t="n"/>
    </row>
    <row r="140">
      <c r="F140" s="141" t="n"/>
      <c r="M140" s="31" t="n"/>
      <c r="N140" s="31" t="n"/>
      <c r="O140" s="31" t="n"/>
      <c r="P140" s="31" t="n"/>
      <c r="Q140" s="31" t="n"/>
      <c r="R140" s="31" t="n"/>
      <c r="S140" s="31" t="n"/>
      <c r="T140" s="31" t="n"/>
      <c r="U140" s="31" t="n"/>
      <c r="V140" s="31" t="n"/>
      <c r="W140" s="31" t="n"/>
      <c r="X140" s="31" t="n"/>
      <c r="Y140" s="31" t="n"/>
      <c r="Z140" s="31" t="n"/>
      <c r="AA140" s="31" t="n"/>
      <c r="AB140" s="31" t="n"/>
      <c r="AC140" s="31" t="n"/>
      <c r="AD140" s="31" t="n"/>
      <c r="AE140" s="31" t="n"/>
      <c r="AF140" s="31" t="n"/>
      <c r="AG140" s="31" t="n"/>
      <c r="AH140" s="31" t="n"/>
      <c r="AI140" s="31" t="n"/>
      <c r="AJ140" s="31" t="n"/>
      <c r="AK140" s="31" t="n"/>
      <c r="AL140" s="31" t="n"/>
      <c r="AM140" s="31" t="n"/>
      <c r="AN140" s="31" t="n"/>
      <c r="AO140" s="31" t="n"/>
      <c r="AP140" s="108" t="n"/>
    </row>
    <row r="141" customFormat="1" s="22">
      <c r="A141" s="22" t="inlineStr">
        <is>
          <t>Net (decrease)/increase in cash and cash equivalents</t>
        </is>
      </c>
      <c r="F141" s="148" t="n"/>
      <c r="M141" s="122" t="n"/>
      <c r="N141" s="121">
        <f>N119+N130+N139</f>
        <v/>
      </c>
      <c r="O141" s="121">
        <f>O119+O130+O139</f>
        <v/>
      </c>
      <c r="P141" s="121">
        <f>P119+P130+P139</f>
        <v/>
      </c>
      <c r="Q141" s="121">
        <f>Q119+Q130+Q139</f>
        <v/>
      </c>
      <c r="R141" s="121">
        <f>R119+R130+R139</f>
        <v/>
      </c>
      <c r="S141" s="121">
        <f>S119+S130+S139</f>
        <v/>
      </c>
      <c r="T141" s="121">
        <f>T119+T130+T139</f>
        <v/>
      </c>
      <c r="U141" s="121">
        <f>U119+U130+U139</f>
        <v/>
      </c>
      <c r="V141" s="121">
        <f>V119+V130+V139</f>
        <v/>
      </c>
      <c r="W141" s="121">
        <f>W119+W130+W139</f>
        <v/>
      </c>
      <c r="X141" s="121">
        <f>X119+X130+X139</f>
        <v/>
      </c>
      <c r="Y141" s="121">
        <f>Y119+Y130+Y139</f>
        <v/>
      </c>
      <c r="Z141" s="121">
        <f>Z119+Z130+Z139</f>
        <v/>
      </c>
      <c r="AA141" s="121">
        <f>AA119+AA130+AA139</f>
        <v/>
      </c>
      <c r="AB141" s="121">
        <f>AB119+AB130+AB139</f>
        <v/>
      </c>
      <c r="AC141" s="121">
        <f>AC119+AC130+AC139</f>
        <v/>
      </c>
      <c r="AD141" s="121">
        <f>AD119+AD130+AD139</f>
        <v/>
      </c>
      <c r="AE141" s="121">
        <f>AE119+AE130+AE139</f>
        <v/>
      </c>
      <c r="AF141" s="121">
        <f>AF119+AF130+AF139</f>
        <v/>
      </c>
      <c r="AG141" s="121">
        <f>AG119+AG130+AG139</f>
        <v/>
      </c>
      <c r="AH141" s="121">
        <f>AH119+AH130+AH139</f>
        <v/>
      </c>
      <c r="AI141" s="121">
        <f>AI119+AI130+AI139</f>
        <v/>
      </c>
      <c r="AJ141" s="121">
        <f>AJ119+AJ130+AJ139</f>
        <v/>
      </c>
      <c r="AK141" s="121">
        <f>AK119+AK130+AK139</f>
        <v/>
      </c>
      <c r="AL141" s="121">
        <f>AL119+AL130+AL139</f>
        <v/>
      </c>
      <c r="AM141" s="121">
        <f>AM119+AM130+AM139</f>
        <v/>
      </c>
      <c r="AN141" s="121">
        <f>AN119+AN130+AN139</f>
        <v/>
      </c>
      <c r="AO141" s="121">
        <f>AO119+AO130+AO139</f>
        <v/>
      </c>
      <c r="AP141" s="108" t="n"/>
    </row>
    <row r="142">
      <c r="A142" t="inlineStr">
        <is>
          <t>Cash and cash equivalents at beginning of Period</t>
        </is>
      </c>
      <c r="F142" s="141" t="n"/>
      <c r="M142" s="31" t="n"/>
      <c r="N142" s="86">
        <f>+M145</f>
        <v/>
      </c>
      <c r="O142" s="86">
        <f>+N145</f>
        <v/>
      </c>
      <c r="P142" s="86">
        <f>+O145</f>
        <v/>
      </c>
      <c r="Q142" s="86">
        <f>+P145</f>
        <v/>
      </c>
      <c r="R142" s="86">
        <f>+Q145</f>
        <v/>
      </c>
      <c r="S142" s="86">
        <f>+R145</f>
        <v/>
      </c>
      <c r="T142" s="86">
        <f>+S145</f>
        <v/>
      </c>
      <c r="U142" s="86">
        <f>+T145</f>
        <v/>
      </c>
      <c r="V142" s="86">
        <f>+U145</f>
        <v/>
      </c>
      <c r="W142" s="86">
        <f>+V145</f>
        <v/>
      </c>
      <c r="X142" s="86">
        <f>+W145</f>
        <v/>
      </c>
      <c r="Y142" s="86">
        <f>+X145</f>
        <v/>
      </c>
      <c r="Z142" s="86">
        <f>+Y145</f>
        <v/>
      </c>
      <c r="AA142" s="86">
        <f>+Z145</f>
        <v/>
      </c>
      <c r="AB142" s="86">
        <f>+AA145</f>
        <v/>
      </c>
      <c r="AC142" s="86">
        <f>+AB145</f>
        <v/>
      </c>
      <c r="AD142" s="86">
        <f>+AC145</f>
        <v/>
      </c>
      <c r="AE142" s="86">
        <f>+AD145</f>
        <v/>
      </c>
      <c r="AF142" s="86">
        <f>+AE145</f>
        <v/>
      </c>
      <c r="AG142" s="86">
        <f>+AF145</f>
        <v/>
      </c>
      <c r="AH142" s="86">
        <f>+AG145</f>
        <v/>
      </c>
      <c r="AI142" s="86">
        <f>+AH145</f>
        <v/>
      </c>
      <c r="AJ142" s="86">
        <f>+AI145</f>
        <v/>
      </c>
      <c r="AK142" s="86">
        <f>+AJ145</f>
        <v/>
      </c>
      <c r="AL142" s="86">
        <f>+AK145</f>
        <v/>
      </c>
      <c r="AM142" s="86">
        <f>+AL145</f>
        <v/>
      </c>
      <c r="AN142" s="86">
        <f>+AM145</f>
        <v/>
      </c>
      <c r="AO142" s="86">
        <f>+AN145</f>
        <v/>
      </c>
      <c r="AP142" s="108" t="n"/>
    </row>
    <row r="143">
      <c r="A143" t="inlineStr">
        <is>
          <t>Effect of foreign exchange rate changes</t>
        </is>
      </c>
      <c r="F143" s="141" t="n"/>
      <c r="M143" s="31" t="n"/>
      <c r="N143" s="80">
        <f>IF(N$2=1,#REF!,#REF!-#REF!)</f>
        <v/>
      </c>
      <c r="O143" s="80">
        <f>IF(O$2=1,#REF!,#REF!-#REF!)</f>
        <v/>
      </c>
      <c r="P143" s="80">
        <f>IF(P$2=1,#REF!,#REF!-#REF!)</f>
        <v/>
      </c>
      <c r="Q143" s="80">
        <f>IF(Q$2=1,#REF!,#REF!-#REF!)</f>
        <v/>
      </c>
      <c r="R143" s="80">
        <f>IF(R$2=1,#REF!,#REF!-#REF!)</f>
        <v/>
      </c>
      <c r="S143" s="80">
        <f>IF(S$2=1,#REF!,#REF!-#REF!)</f>
        <v/>
      </c>
      <c r="T143" s="80">
        <f>IF(T$2=1,#REF!,#REF!-#REF!)</f>
        <v/>
      </c>
      <c r="U143" s="80">
        <f>IF(U$2=1,#REF!,#REF!-#REF!)</f>
        <v/>
      </c>
      <c r="V143" s="80">
        <f>IF(V$2=1,#REF!,#REF!-#REF!)</f>
        <v/>
      </c>
      <c r="W143" s="80">
        <f>IF(W$2=1,#REF!,#REF!-#REF!)</f>
        <v/>
      </c>
      <c r="X143" s="80">
        <f>IF(X$2=1,#REF!,#REF!-#REF!)</f>
        <v/>
      </c>
      <c r="Y143" s="80">
        <f>IF(Y$2=1,#REF!,#REF!-#REF!)</f>
        <v/>
      </c>
      <c r="Z143" s="80">
        <f>IF(Z$2=1,#REF!,#REF!-#REF!)</f>
        <v/>
      </c>
      <c r="AA143" s="80">
        <f>IF(AA$2=1,#REF!,#REF!-#REF!)</f>
        <v/>
      </c>
      <c r="AB143" s="80">
        <f>IF(AB$2=1,#REF!,#REF!-#REF!)</f>
        <v/>
      </c>
      <c r="AC143" s="80">
        <f>IF(AC$2=1,#REF!,#REF!-#REF!)</f>
        <v/>
      </c>
      <c r="AD143" s="80" t="n"/>
      <c r="AE143" s="31" t="n"/>
      <c r="AF143" s="31" t="n"/>
      <c r="AG143" s="31" t="n"/>
      <c r="AH143" s="31" t="n"/>
      <c r="AI143" s="31" t="n"/>
      <c r="AJ143" s="31" t="n"/>
      <c r="AK143" s="31" t="n"/>
      <c r="AL143" s="31" t="n"/>
      <c r="AM143" s="31" t="n"/>
      <c r="AN143" s="31" t="n"/>
      <c r="AO143" s="31" t="n"/>
      <c r="AP143" s="108" t="n"/>
    </row>
    <row r="144">
      <c r="A144" t="inlineStr">
        <is>
          <t>Adjustments for historical</t>
        </is>
      </c>
      <c r="M144" s="31" t="n"/>
      <c r="N144" s="86">
        <f>N145-SUM(N141:N143)</f>
        <v/>
      </c>
      <c r="O144" s="86">
        <f>O145-SUM(O141:O143)</f>
        <v/>
      </c>
      <c r="P144" s="86">
        <f>P145-SUM(P141:P143)</f>
        <v/>
      </c>
      <c r="Q144" s="86">
        <f>Q145-SUM(Q141:Q143)</f>
        <v/>
      </c>
      <c r="R144" s="86">
        <f>R145-SUM(R141:R143)</f>
        <v/>
      </c>
      <c r="S144" s="86">
        <f>S145-SUM(S141:S143)</f>
        <v/>
      </c>
      <c r="T144" s="86">
        <f>T145-SUM(T141:T143)</f>
        <v/>
      </c>
      <c r="U144" s="86">
        <f>U145-SUM(U141:U143)</f>
        <v/>
      </c>
      <c r="V144" s="86">
        <f>V145-SUM(V141:V143)</f>
        <v/>
      </c>
      <c r="W144" s="86">
        <f>W145-SUM(W141:W143)</f>
        <v/>
      </c>
      <c r="X144" s="86">
        <f>X145-SUM(X141:X143)</f>
        <v/>
      </c>
      <c r="Y144" s="86">
        <f>Y145-SUM(Y141:Y143)</f>
        <v/>
      </c>
      <c r="Z144" s="86">
        <f>Z145-SUM(Z141:Z143)</f>
        <v/>
      </c>
      <c r="AA144" s="86">
        <f>AA145-SUM(AA141:AA143)</f>
        <v/>
      </c>
      <c r="AB144" s="86">
        <f>AB145-SUM(AB141:AB143)</f>
        <v/>
      </c>
      <c r="AC144" s="86">
        <f>AC145-SUM(AC141:AC143)</f>
        <v/>
      </c>
      <c r="AD144" s="31" t="n"/>
      <c r="AE144" s="31" t="n"/>
      <c r="AF144" s="31" t="n"/>
      <c r="AG144" s="31" t="n"/>
      <c r="AH144" s="31" t="n"/>
      <c r="AI144" s="31" t="n"/>
      <c r="AJ144" s="31" t="n"/>
      <c r="AK144" s="31" t="n"/>
      <c r="AL144" s="31" t="n"/>
      <c r="AM144" s="31" t="n"/>
      <c r="AN144" s="31" t="n"/>
      <c r="AO144" s="31" t="n"/>
      <c r="AP144" s="108" t="n"/>
    </row>
    <row r="145">
      <c r="A145" s="22" t="inlineStr">
        <is>
          <t>Cash and cash equivalents at end of period</t>
        </is>
      </c>
      <c r="F145" s="145" t="n"/>
      <c r="M145" s="86">
        <f>M38</f>
        <v/>
      </c>
      <c r="N145" s="86">
        <f>N38</f>
        <v/>
      </c>
      <c r="O145" s="86">
        <f>O38</f>
        <v/>
      </c>
      <c r="P145" s="86">
        <f>P38</f>
        <v/>
      </c>
      <c r="Q145" s="86">
        <f>Q38</f>
        <v/>
      </c>
      <c r="R145" s="86">
        <f>R38</f>
        <v/>
      </c>
      <c r="S145" s="86">
        <f>S38</f>
        <v/>
      </c>
      <c r="T145" s="86">
        <f>T38</f>
        <v/>
      </c>
      <c r="U145" s="86">
        <f>U38</f>
        <v/>
      </c>
      <c r="V145" s="86">
        <f>V38</f>
        <v/>
      </c>
      <c r="W145" s="86">
        <f>W38</f>
        <v/>
      </c>
      <c r="X145" s="86">
        <f>X38</f>
        <v/>
      </c>
      <c r="Y145" s="86">
        <f>Y38</f>
        <v/>
      </c>
      <c r="Z145" s="86">
        <f>Z38</f>
        <v/>
      </c>
      <c r="AA145" s="86">
        <f>AA38</f>
        <v/>
      </c>
      <c r="AB145" s="86">
        <f>AB38</f>
        <v/>
      </c>
      <c r="AC145" s="86">
        <f>AC38</f>
        <v/>
      </c>
      <c r="AD145" s="86">
        <f>AD141+AD142</f>
        <v/>
      </c>
      <c r="AE145" s="86">
        <f>AE141+AE142</f>
        <v/>
      </c>
      <c r="AF145" s="86">
        <f>AF141+AF142</f>
        <v/>
      </c>
      <c r="AG145" s="86">
        <f>AG141+AG142</f>
        <v/>
      </c>
      <c r="AH145" s="86">
        <f>AH141+AH142</f>
        <v/>
      </c>
      <c r="AI145" s="86">
        <f>AI141+AI142</f>
        <v/>
      </c>
      <c r="AJ145" s="86">
        <f>AJ141+AJ142</f>
        <v/>
      </c>
      <c r="AK145" s="86">
        <f>AK141+AK142</f>
        <v/>
      </c>
      <c r="AL145" s="86">
        <f>AL141+AL142</f>
        <v/>
      </c>
      <c r="AM145" s="86">
        <f>AM141+AM142</f>
        <v/>
      </c>
      <c r="AN145" s="86">
        <f>AN141+AN142</f>
        <v/>
      </c>
      <c r="AO145" s="86">
        <f>AO141+AO142</f>
        <v/>
      </c>
      <c r="AP145" s="108" t="n"/>
    </row>
    <row r="146">
      <c r="A146" s="22" t="n"/>
      <c r="M146" s="31" t="n"/>
      <c r="N146" s="31" t="n"/>
      <c r="O146" s="31" t="n"/>
      <c r="P146" s="31" t="n"/>
      <c r="Q146" s="31" t="n"/>
      <c r="R146" s="31" t="n"/>
      <c r="S146" s="31" t="n"/>
      <c r="T146" s="31" t="n"/>
      <c r="U146" s="31" t="n"/>
      <c r="V146" s="31" t="n"/>
      <c r="W146" s="31" t="n"/>
      <c r="X146" s="31" t="n"/>
      <c r="Y146" s="31" t="n"/>
      <c r="Z146" s="31" t="n"/>
      <c r="AA146" s="31" t="n"/>
      <c r="AB146" s="31" t="n"/>
      <c r="AC146" s="31" t="n"/>
      <c r="AD146" s="31" t="n"/>
      <c r="AE146" s="31" t="n"/>
      <c r="AF146" s="31" t="n"/>
      <c r="AG146" s="31" t="n"/>
      <c r="AH146" s="31" t="n"/>
      <c r="AI146" s="31" t="n"/>
      <c r="AJ146" s="31" t="n"/>
      <c r="AK146" s="31" t="n"/>
      <c r="AL146" s="31" t="n"/>
      <c r="AM146" s="31" t="n"/>
      <c r="AN146" s="31" t="n"/>
      <c r="AO146" s="31" t="n"/>
      <c r="AP146" s="108" t="n"/>
    </row>
    <row r="147">
      <c r="M147" s="31" t="n"/>
      <c r="N147" s="31" t="n"/>
      <c r="O147" s="31" t="n"/>
      <c r="P147" s="31" t="n"/>
      <c r="Q147" s="31" t="n"/>
      <c r="R147" s="31" t="n"/>
      <c r="S147" s="31" t="n"/>
      <c r="T147" s="31" t="n"/>
      <c r="U147" s="31" t="n"/>
      <c r="V147" s="31" t="n"/>
      <c r="W147" s="31" t="n"/>
      <c r="X147" s="31" t="n"/>
      <c r="Y147" s="31" t="n"/>
      <c r="Z147" s="31" t="n"/>
      <c r="AA147" s="31" t="n"/>
      <c r="AB147" s="31" t="n"/>
      <c r="AC147" s="31" t="n"/>
      <c r="AD147" s="31" t="n"/>
      <c r="AE147" s="31" t="n"/>
      <c r="AF147" s="31" t="n"/>
      <c r="AG147" s="31" t="n"/>
      <c r="AH147" s="31" t="n"/>
      <c r="AI147" s="31" t="n"/>
      <c r="AJ147" s="31" t="n"/>
      <c r="AK147" s="31" t="n"/>
      <c r="AL147" s="31" t="n"/>
      <c r="AM147" s="31" t="n"/>
      <c r="AN147" s="31" t="n"/>
      <c r="AO147" s="31" t="n"/>
      <c r="AP147" s="108" t="n"/>
    </row>
    <row r="148">
      <c r="A148" s="81" t="inlineStr">
        <is>
          <t>KEY OPERATIONAL INDICATORS</t>
        </is>
      </c>
      <c r="M148" s="31" t="n"/>
      <c r="N148" s="31" t="n"/>
      <c r="O148" s="31" t="n"/>
      <c r="P148" s="31" t="n"/>
      <c r="Q148" s="31" t="n"/>
      <c r="R148" s="31" t="n"/>
      <c r="S148" s="31" t="n"/>
      <c r="T148" s="31" t="n"/>
      <c r="U148" s="31" t="n"/>
      <c r="V148" s="31" t="n"/>
      <c r="W148" s="31" t="n"/>
      <c r="X148" s="31" t="n"/>
      <c r="Y148" s="31" t="n"/>
      <c r="Z148" s="31" t="n"/>
      <c r="AA148" s="31" t="n"/>
      <c r="AB148" s="31" t="n"/>
      <c r="AC148" s="31" t="n"/>
      <c r="AD148" s="31" t="n"/>
      <c r="AE148" s="31" t="n"/>
      <c r="AF148" s="31" t="n"/>
      <c r="AG148" s="31" t="n"/>
      <c r="AH148" s="31" t="n"/>
      <c r="AI148" s="31" t="n"/>
      <c r="AJ148" s="31" t="n"/>
      <c r="AK148" s="31" t="n"/>
      <c r="AL148" s="31" t="n"/>
      <c r="AM148" s="31" t="n"/>
      <c r="AN148" s="31" t="n"/>
      <c r="AO148" s="31" t="n"/>
      <c r="AP148" s="108" t="n"/>
    </row>
    <row r="149">
      <c r="A149" s="169" t="n"/>
      <c r="M149" s="31" t="n"/>
      <c r="N149" s="31" t="n"/>
      <c r="O149" s="31" t="n"/>
      <c r="P149" s="31" t="n"/>
      <c r="Q149" s="31" t="n"/>
      <c r="R149" s="31" t="n"/>
      <c r="S149" s="31" t="n"/>
      <c r="T149" s="31" t="n"/>
      <c r="U149" s="31" t="n"/>
      <c r="V149" s="31" t="n"/>
      <c r="W149" s="31" t="n"/>
      <c r="X149" s="31" t="n"/>
      <c r="Y149" s="31" t="n"/>
      <c r="Z149" s="31" t="n"/>
      <c r="AA149" s="31" t="n"/>
      <c r="AB149" s="31" t="n"/>
      <c r="AC149" s="31" t="n"/>
      <c r="AD149" s="31" t="n"/>
      <c r="AE149" s="31" t="n"/>
      <c r="AF149" s="31" t="n"/>
      <c r="AG149" s="31" t="n"/>
      <c r="AH149" s="31" t="n"/>
      <c r="AI149" s="31" t="n"/>
      <c r="AJ149" s="31" t="n"/>
      <c r="AK149" s="31" t="n"/>
      <c r="AL149" s="31" t="n"/>
      <c r="AM149" s="31" t="n"/>
      <c r="AN149" s="31" t="n"/>
      <c r="AO149" s="31" t="n"/>
      <c r="AP149" s="108" t="n"/>
    </row>
    <row r="150">
      <c r="A150" s="40" t="inlineStr">
        <is>
          <t>Organic turnover</t>
        </is>
      </c>
      <c r="F150" s="108" t="n"/>
      <c r="G150" s="108" t="n"/>
      <c r="H150" s="108" t="n"/>
      <c r="I150" s="108" t="n"/>
      <c r="J150" s="108" t="n"/>
      <c r="K150" s="108" t="n"/>
      <c r="L150" s="108" t="n"/>
      <c r="M150" s="76" t="n"/>
      <c r="N150" s="86">
        <f>N11</f>
        <v/>
      </c>
      <c r="O150" s="86">
        <f>O11</f>
        <v/>
      </c>
      <c r="P150" s="86">
        <f>P11</f>
        <v/>
      </c>
      <c r="Q150" s="86">
        <f>Q11</f>
        <v/>
      </c>
      <c r="R150" s="86">
        <f>R11</f>
        <v/>
      </c>
      <c r="S150" s="86">
        <f>S11</f>
        <v/>
      </c>
      <c r="T150" s="86">
        <f>T11</f>
        <v/>
      </c>
      <c r="U150" s="86">
        <f>U11</f>
        <v/>
      </c>
      <c r="V150" s="86">
        <f>V11</f>
        <v/>
      </c>
      <c r="W150" s="86">
        <f>W11</f>
        <v/>
      </c>
      <c r="X150" s="86">
        <f>X11</f>
        <v/>
      </c>
      <c r="Y150" s="86">
        <f>Y11</f>
        <v/>
      </c>
      <c r="Z150" s="86">
        <f>Z11</f>
        <v/>
      </c>
      <c r="AA150" s="86">
        <f>AA11</f>
        <v/>
      </c>
      <c r="AB150" s="86">
        <f>AB11</f>
        <v/>
      </c>
      <c r="AC150" s="86">
        <f>AC11</f>
        <v/>
      </c>
      <c r="AD150" s="86">
        <f>AD11</f>
        <v/>
      </c>
      <c r="AE150" s="86">
        <f>AE11</f>
        <v/>
      </c>
      <c r="AF150" s="86">
        <f>AF11</f>
        <v/>
      </c>
      <c r="AG150" s="86">
        <f>AG11</f>
        <v/>
      </c>
      <c r="AH150" s="86">
        <f>AH11</f>
        <v/>
      </c>
      <c r="AI150" s="86">
        <f>AI11</f>
        <v/>
      </c>
      <c r="AJ150" s="86">
        <f>AJ11</f>
        <v/>
      </c>
      <c r="AK150" s="86">
        <f>AK11</f>
        <v/>
      </c>
      <c r="AL150" s="86">
        <f>AL11</f>
        <v/>
      </c>
      <c r="AM150" s="86">
        <f>AM11</f>
        <v/>
      </c>
      <c r="AN150" s="86">
        <f>AN11</f>
        <v/>
      </c>
      <c r="AO150" s="86">
        <f>AO11</f>
        <v/>
      </c>
      <c r="AP150" s="108" t="n"/>
    </row>
    <row r="151">
      <c r="A151" s="74" t="inlineStr">
        <is>
          <t>YoY Growth</t>
        </is>
      </c>
      <c r="M151" s="31" t="n"/>
      <c r="N151" s="882" t="n"/>
      <c r="O151" s="882" t="n"/>
      <c r="P151" s="882">
        <f>P150/N150-1</f>
        <v/>
      </c>
      <c r="Q151" s="882">
        <f>Q150/O150-1</f>
        <v/>
      </c>
      <c r="R151" s="882">
        <f>R150/P150-1</f>
        <v/>
      </c>
      <c r="S151" s="882">
        <f>S150/Q150-1</f>
        <v/>
      </c>
      <c r="T151" s="882">
        <f>T150/R150-1</f>
        <v/>
      </c>
      <c r="U151" s="882">
        <f>U150/S150-1</f>
        <v/>
      </c>
      <c r="V151" s="882">
        <f>V150/T150-1</f>
        <v/>
      </c>
      <c r="W151" s="882">
        <f>W150/U150-1</f>
        <v/>
      </c>
      <c r="X151" s="882">
        <f>X150/V150-1</f>
        <v/>
      </c>
      <c r="Y151" s="882">
        <f>Y150/W150-1</f>
        <v/>
      </c>
      <c r="Z151" s="882">
        <f>Z150/X150-1</f>
        <v/>
      </c>
      <c r="AA151" s="882">
        <f>AA150/Y150-1</f>
        <v/>
      </c>
      <c r="AB151" s="882">
        <f>AB150/Z150-1</f>
        <v/>
      </c>
      <c r="AC151" s="882">
        <f>AC150/AA150-1</f>
        <v/>
      </c>
      <c r="AD151" s="882">
        <f>AD150/AB150-1</f>
        <v/>
      </c>
      <c r="AE151" s="882">
        <f>AE150/AC150-1</f>
        <v/>
      </c>
      <c r="AF151" s="882">
        <f>AF150/AD150-1</f>
        <v/>
      </c>
      <c r="AG151" s="882">
        <f>AG150/AE150-1</f>
        <v/>
      </c>
      <c r="AH151" s="882">
        <f>AH150/AF150-1</f>
        <v/>
      </c>
      <c r="AI151" s="882">
        <f>AI150/AG150-1</f>
        <v/>
      </c>
      <c r="AJ151" s="882">
        <f>AJ150/AH150-1</f>
        <v/>
      </c>
      <c r="AK151" s="882">
        <f>AK150/AI150-1</f>
        <v/>
      </c>
      <c r="AL151" s="882">
        <f>AL150/AJ150-1</f>
        <v/>
      </c>
      <c r="AM151" s="882">
        <f>AM150/AK150-1</f>
        <v/>
      </c>
      <c r="AN151" s="882">
        <f>AN150/AL150-1</f>
        <v/>
      </c>
      <c r="AO151" s="882">
        <f>AO150/AM150-1</f>
        <v/>
      </c>
      <c r="AP151" s="108" t="n"/>
    </row>
    <row r="152">
      <c r="A152" s="74" t="inlineStr">
        <is>
          <t>HoH Growth</t>
        </is>
      </c>
      <c r="M152" s="31" t="n"/>
      <c r="N152" s="882" t="n"/>
      <c r="O152" s="882">
        <f>O150/N150-1</f>
        <v/>
      </c>
      <c r="P152" s="882">
        <f>P150/O150-1</f>
        <v/>
      </c>
      <c r="Q152" s="882">
        <f>Q150/P150-1</f>
        <v/>
      </c>
      <c r="R152" s="882">
        <f>R150/Q150-1</f>
        <v/>
      </c>
      <c r="S152" s="882">
        <f>S150/R150-1</f>
        <v/>
      </c>
      <c r="T152" s="882">
        <f>T150/S150-1</f>
        <v/>
      </c>
      <c r="U152" s="882">
        <f>U150/T150-1</f>
        <v/>
      </c>
      <c r="V152" s="882">
        <f>V150/U150-1</f>
        <v/>
      </c>
      <c r="W152" s="882">
        <f>W150/V150-1</f>
        <v/>
      </c>
      <c r="X152" s="882">
        <f>X150/W150-1</f>
        <v/>
      </c>
      <c r="Y152" s="882">
        <f>Y150/X150-1</f>
        <v/>
      </c>
      <c r="Z152" s="882">
        <f>Z150/Y150-1</f>
        <v/>
      </c>
      <c r="AA152" s="882">
        <f>AA150/Z150-1</f>
        <v/>
      </c>
      <c r="AB152" s="882">
        <f>AB150/AA150-1</f>
        <v/>
      </c>
      <c r="AC152" s="882">
        <f>AC150/AB150-1</f>
        <v/>
      </c>
      <c r="AD152" s="882">
        <f>AD150/AC150-1</f>
        <v/>
      </c>
      <c r="AE152" s="882">
        <f>AE150/AD150-1</f>
        <v/>
      </c>
      <c r="AF152" s="882">
        <f>AF150/AE150-1</f>
        <v/>
      </c>
      <c r="AG152" s="882">
        <f>AG150/AF150-1</f>
        <v/>
      </c>
      <c r="AH152" s="882">
        <f>AH150/AG150-1</f>
        <v/>
      </c>
      <c r="AI152" s="882">
        <f>AI150/AH150-1</f>
        <v/>
      </c>
      <c r="AJ152" s="882">
        <f>AJ150/AI150-1</f>
        <v/>
      </c>
      <c r="AK152" s="882">
        <f>AK150/AJ150-1</f>
        <v/>
      </c>
      <c r="AL152" s="882">
        <f>AL150/AK150-1</f>
        <v/>
      </c>
      <c r="AM152" s="882">
        <f>AM150/AL150-1</f>
        <v/>
      </c>
      <c r="AN152" s="882">
        <f>AN150/AM150-1</f>
        <v/>
      </c>
      <c r="AO152" s="882">
        <f>AO150/AN150-1</f>
        <v/>
      </c>
      <c r="AP152" s="108" t="n"/>
    </row>
    <row r="153">
      <c r="M153" s="31" t="n"/>
      <c r="N153" s="31" t="n"/>
      <c r="O153" s="31" t="n"/>
      <c r="P153" s="31" t="n"/>
      <c r="Q153" s="31" t="n"/>
      <c r="R153" s="31" t="n"/>
      <c r="S153" s="31" t="n"/>
      <c r="T153" s="31" t="n"/>
      <c r="U153" s="31" t="n"/>
      <c r="V153" s="31" t="n"/>
      <c r="W153" s="31" t="n"/>
      <c r="X153" s="31" t="n"/>
      <c r="Y153" s="31" t="n"/>
      <c r="Z153" s="31" t="n"/>
      <c r="AA153" s="31" t="n"/>
      <c r="AB153" s="31" t="n"/>
      <c r="AC153" s="31" t="n"/>
      <c r="AD153" s="31" t="n"/>
      <c r="AE153" s="31" t="n"/>
      <c r="AF153" s="31" t="n"/>
      <c r="AG153" s="31" t="n"/>
      <c r="AH153" s="31" t="n"/>
      <c r="AI153" s="31" t="n"/>
      <c r="AJ153" s="31" t="n"/>
      <c r="AK153" s="31" t="n"/>
      <c r="AL153" s="31" t="n"/>
      <c r="AM153" s="31" t="n"/>
      <c r="AN153" s="31" t="n"/>
      <c r="AO153" s="31" t="n"/>
      <c r="AP153" s="108" t="n"/>
    </row>
    <row r="154">
      <c r="A154" s="40" t="inlineStr">
        <is>
          <t>EBITDA</t>
        </is>
      </c>
      <c r="F154" s="108" t="n"/>
      <c r="G154" s="108" t="n"/>
      <c r="H154" s="108" t="n"/>
      <c r="I154" s="108" t="n"/>
      <c r="J154" s="108" t="n"/>
      <c r="K154" s="108" t="n"/>
      <c r="L154" s="108" t="n"/>
      <c r="M154" s="76" t="n"/>
      <c r="N154" s="86">
        <f>+N18+N104+N105</f>
        <v/>
      </c>
      <c r="O154" s="86">
        <f>+O18+O104+O105</f>
        <v/>
      </c>
      <c r="P154" s="86">
        <f>+P18+P104+P105</f>
        <v/>
      </c>
      <c r="Q154" s="86">
        <f>+Q18+Q104+Q105</f>
        <v/>
      </c>
      <c r="R154" s="86">
        <f>+R18+R104+R105</f>
        <v/>
      </c>
      <c r="S154" s="86">
        <f>+S18+S104+S105</f>
        <v/>
      </c>
      <c r="T154" s="86">
        <f>+T18+T104+T105</f>
        <v/>
      </c>
      <c r="U154" s="86">
        <f>+U18+U104+U105</f>
        <v/>
      </c>
      <c r="V154" s="86">
        <f>+V18+V104+V105</f>
        <v/>
      </c>
      <c r="W154" s="86">
        <f>+W18+W104+W105</f>
        <v/>
      </c>
      <c r="X154" s="86">
        <f>+X18+X104+X105</f>
        <v/>
      </c>
      <c r="Y154" s="86">
        <f>+Y18+Y104+Y105</f>
        <v/>
      </c>
      <c r="Z154" s="86">
        <f>+Z18+Z104+Z105</f>
        <v/>
      </c>
      <c r="AA154" s="86">
        <f>+AA18+AA104+AA105</f>
        <v/>
      </c>
      <c r="AB154" s="86">
        <f>+AB18+AB104+AB105</f>
        <v/>
      </c>
      <c r="AC154" s="86">
        <f>+AC18+AC104+AC105</f>
        <v/>
      </c>
      <c r="AD154" s="86">
        <f>+AD18+AD104+AD105</f>
        <v/>
      </c>
      <c r="AE154" s="86">
        <f>+AE18+AE104+AE105</f>
        <v/>
      </c>
      <c r="AF154" s="86">
        <f>+AF18+AF104+AF105</f>
        <v/>
      </c>
      <c r="AG154" s="86">
        <f>+AG18+AG104+AG105</f>
        <v/>
      </c>
      <c r="AH154" s="86">
        <f>+AH18+AH104+AH105</f>
        <v/>
      </c>
      <c r="AI154" s="86">
        <f>+AI18+AI104+AI105</f>
        <v/>
      </c>
      <c r="AJ154" s="86">
        <f>+AJ18+AJ104+AJ105</f>
        <v/>
      </c>
      <c r="AK154" s="86">
        <f>+AK18+AK104+AK105</f>
        <v/>
      </c>
      <c r="AL154" s="86">
        <f>+AL18+AL104+AL105</f>
        <v/>
      </c>
      <c r="AM154" s="86">
        <f>+AM18+AM104+AM105</f>
        <v/>
      </c>
      <c r="AN154" s="86">
        <f>+AN18+AN104+AN105</f>
        <v/>
      </c>
      <c r="AO154" s="86">
        <f>+AO18+AO104+AO105</f>
        <v/>
      </c>
      <c r="AP154" s="108" t="n"/>
    </row>
    <row r="155">
      <c r="M155" s="31" t="n"/>
      <c r="N155" s="31" t="n"/>
      <c r="O155" s="31" t="n"/>
      <c r="P155" s="31" t="n"/>
      <c r="Q155" s="31" t="n"/>
      <c r="R155" s="31" t="n"/>
      <c r="S155" s="31" t="n"/>
      <c r="T155" s="31" t="n"/>
      <c r="U155" s="31" t="n"/>
      <c r="V155" s="31" t="n"/>
      <c r="W155" s="31" t="n"/>
      <c r="X155" s="31" t="n"/>
      <c r="Y155" s="31" t="n"/>
      <c r="Z155" s="31" t="n"/>
      <c r="AA155" s="31" t="n"/>
      <c r="AB155" s="31" t="n"/>
      <c r="AC155" s="31" t="n"/>
      <c r="AD155" s="31" t="n"/>
      <c r="AE155" s="31" t="n"/>
      <c r="AF155" s="31" t="n"/>
      <c r="AG155" s="31" t="n"/>
      <c r="AH155" s="31" t="n"/>
      <c r="AI155" s="31" t="n"/>
      <c r="AJ155" s="31" t="n"/>
      <c r="AK155" s="31" t="n"/>
      <c r="AL155" s="31" t="n"/>
      <c r="AM155" s="31" t="n"/>
      <c r="AN155" s="31" t="n"/>
      <c r="AO155" s="31" t="n"/>
      <c r="AP155" s="108" t="n"/>
    </row>
    <row r="156">
      <c r="A156" s="22" t="inlineStr">
        <is>
          <t>Cash and cash equivalent from balance sheet</t>
        </is>
      </c>
      <c r="F156" s="108" t="n"/>
      <c r="G156" s="108" t="n"/>
      <c r="H156" s="108" t="n"/>
      <c r="I156" s="108" t="n"/>
      <c r="J156" s="108" t="n"/>
      <c r="K156" s="108" t="n"/>
      <c r="L156" s="108" t="n"/>
      <c r="M156" s="76" t="n"/>
      <c r="N156" s="86">
        <f>N38</f>
        <v/>
      </c>
      <c r="O156" s="86">
        <f>O38</f>
        <v/>
      </c>
      <c r="P156" s="86">
        <f>P38</f>
        <v/>
      </c>
      <c r="Q156" s="86">
        <f>Q38</f>
        <v/>
      </c>
      <c r="R156" s="86">
        <f>R38</f>
        <v/>
      </c>
      <c r="S156" s="86">
        <f>S38</f>
        <v/>
      </c>
      <c r="T156" s="86">
        <f>T38</f>
        <v/>
      </c>
      <c r="U156" s="86">
        <f>U38</f>
        <v/>
      </c>
      <c r="V156" s="86">
        <f>V38</f>
        <v/>
      </c>
      <c r="W156" s="86">
        <f>W38</f>
        <v/>
      </c>
      <c r="X156" s="86">
        <f>X38</f>
        <v/>
      </c>
      <c r="Y156" s="86">
        <f>Y38</f>
        <v/>
      </c>
      <c r="Z156" s="86">
        <f>Z38</f>
        <v/>
      </c>
      <c r="AA156" s="86">
        <f>AA38</f>
        <v/>
      </c>
      <c r="AB156" s="86">
        <f>AB38</f>
        <v/>
      </c>
      <c r="AC156" s="86">
        <f>AC38</f>
        <v/>
      </c>
      <c r="AD156" s="86">
        <f>AD38</f>
        <v/>
      </c>
      <c r="AE156" s="86">
        <f>AE38</f>
        <v/>
      </c>
      <c r="AF156" s="86">
        <f>AF38</f>
        <v/>
      </c>
      <c r="AG156" s="86">
        <f>AG38</f>
        <v/>
      </c>
      <c r="AH156" s="86">
        <f>AH38</f>
        <v/>
      </c>
      <c r="AI156" s="86">
        <f>AI38</f>
        <v/>
      </c>
      <c r="AJ156" s="86">
        <f>AJ38</f>
        <v/>
      </c>
      <c r="AK156" s="86">
        <f>AK38</f>
        <v/>
      </c>
      <c r="AL156" s="86">
        <f>AL38</f>
        <v/>
      </c>
      <c r="AM156" s="86">
        <f>AM38</f>
        <v/>
      </c>
      <c r="AN156" s="86">
        <f>AN38</f>
        <v/>
      </c>
      <c r="AO156" s="86">
        <f>AO38</f>
        <v/>
      </c>
      <c r="AP156" s="108" t="n"/>
    </row>
    <row r="157">
      <c r="A157" s="104" t="inlineStr">
        <is>
          <t>Excess cash (above 10% of annualized revenue)</t>
        </is>
      </c>
      <c r="F157" s="142" t="n"/>
      <c r="G157" s="142" t="n"/>
      <c r="H157" s="142" t="n"/>
      <c r="I157" s="142" t="n"/>
      <c r="J157" s="142" t="n"/>
      <c r="K157" s="142" t="n"/>
      <c r="L157" s="142" t="n"/>
      <c r="M157" s="143" t="n"/>
      <c r="N157" s="88">
        <f>N156-(0.1*N11*N$223)</f>
        <v/>
      </c>
      <c r="O157" s="88">
        <f>O156-(0.1*O11*O$223)</f>
        <v/>
      </c>
      <c r="P157" s="88">
        <f>P156-(0.1*P11*P$223)</f>
        <v/>
      </c>
      <c r="Q157" s="88">
        <f>Q156-(0.1*Q11*Q$223)</f>
        <v/>
      </c>
      <c r="R157" s="88">
        <f>R156-(0.1*R11*R$223)</f>
        <v/>
      </c>
      <c r="S157" s="88">
        <f>S156-(0.1*S11*S$223)</f>
        <v/>
      </c>
      <c r="T157" s="88">
        <f>T156-(0.1*T11*T$223)</f>
        <v/>
      </c>
      <c r="U157" s="88">
        <f>U156-(0.1*U11*U$223)</f>
        <v/>
      </c>
      <c r="V157" s="88">
        <f>V156-(0.1*V11*V$223)</f>
        <v/>
      </c>
      <c r="W157" s="88">
        <f>W156-(0.1*W11*W$223)</f>
        <v/>
      </c>
      <c r="X157" s="88">
        <f>X156-(0.1*X11*X$223)</f>
        <v/>
      </c>
      <c r="Y157" s="88">
        <f>Y156-(0.1*Y11*Y$223)</f>
        <v/>
      </c>
      <c r="Z157" s="88">
        <f>Z156-(0.1*Z11*Z$223)</f>
        <v/>
      </c>
      <c r="AA157" s="88">
        <f>AA156-(0.1*AA11*AA$223)</f>
        <v/>
      </c>
      <c r="AB157" s="88">
        <f>AB156-(0.1*AB11*AB$223)</f>
        <v/>
      </c>
      <c r="AC157" s="88">
        <f>AC156-(0.1*AC11*AC$223)</f>
        <v/>
      </c>
      <c r="AD157" s="88">
        <f>AD156-(0.1*AD11*AD$223)</f>
        <v/>
      </c>
      <c r="AE157" s="88">
        <f>AE156-(0.1*AE11*AE$223)</f>
        <v/>
      </c>
      <c r="AF157" s="88">
        <f>AF156-(0.1*AF11*AF$223)</f>
        <v/>
      </c>
      <c r="AG157" s="88">
        <f>AG156-(0.1*AG11*AG$223)</f>
        <v/>
      </c>
      <c r="AH157" s="88">
        <f>AH156-(0.1*AH11*AH$223)</f>
        <v/>
      </c>
      <c r="AI157" s="88">
        <f>AI156-(0.1*AI11*AI$223)</f>
        <v/>
      </c>
      <c r="AJ157" s="88">
        <f>AJ156-(0.1*AJ11*AJ$223)</f>
        <v/>
      </c>
      <c r="AK157" s="88">
        <f>AK156-(0.1*AK11*AK$223)</f>
        <v/>
      </c>
      <c r="AL157" s="88">
        <f>AL156-(0.1*AL11*AL$223)</f>
        <v/>
      </c>
      <c r="AM157" s="88">
        <f>AM156-(0.1*AM11*AM$223)</f>
        <v/>
      </c>
      <c r="AN157" s="88">
        <f>AN156-(0.1*AN11*AN$223)</f>
        <v/>
      </c>
      <c r="AO157" s="88">
        <f>AO156-(0.1*AO11*AO$223)</f>
        <v/>
      </c>
      <c r="AP157" s="108" t="n"/>
    </row>
    <row r="158">
      <c r="A158" s="104" t="inlineStr">
        <is>
          <t>Working cash</t>
        </is>
      </c>
      <c r="F158" s="142" t="n"/>
      <c r="G158" s="142" t="n"/>
      <c r="H158" s="142" t="n"/>
      <c r="I158" s="142" t="n"/>
      <c r="J158" s="142" t="n"/>
      <c r="K158" s="142" t="n"/>
      <c r="L158" s="142" t="n"/>
      <c r="M158" s="143" t="n"/>
      <c r="N158" s="88">
        <f>+N156-N157</f>
        <v/>
      </c>
      <c r="O158" s="88">
        <f>+O156-O157</f>
        <v/>
      </c>
      <c r="P158" s="88">
        <f>+P156-P157</f>
        <v/>
      </c>
      <c r="Q158" s="88">
        <f>+Q156-Q157</f>
        <v/>
      </c>
      <c r="R158" s="88">
        <f>+R156-R157</f>
        <v/>
      </c>
      <c r="S158" s="88">
        <f>+S156-S157</f>
        <v/>
      </c>
      <c r="T158" s="88">
        <f>+T156-T157</f>
        <v/>
      </c>
      <c r="U158" s="88">
        <f>+U156-U157</f>
        <v/>
      </c>
      <c r="V158" s="88">
        <f>+V156-V157</f>
        <v/>
      </c>
      <c r="W158" s="88">
        <f>+W156-W157</f>
        <v/>
      </c>
      <c r="X158" s="88">
        <f>+X156-X157</f>
        <v/>
      </c>
      <c r="Y158" s="88">
        <f>+Y156-Y157</f>
        <v/>
      </c>
      <c r="Z158" s="88">
        <f>+Z156-Z157</f>
        <v/>
      </c>
      <c r="AA158" s="88">
        <f>+AA156-AA157</f>
        <v/>
      </c>
      <c r="AB158" s="88">
        <f>+AB156-AB157</f>
        <v/>
      </c>
      <c r="AC158" s="88">
        <f>+AC156-AC157</f>
        <v/>
      </c>
      <c r="AD158" s="88">
        <f>+AD156-AD157</f>
        <v/>
      </c>
      <c r="AE158" s="88">
        <f>+AE156-AE157</f>
        <v/>
      </c>
      <c r="AF158" s="88">
        <f>+AF156-AF157</f>
        <v/>
      </c>
      <c r="AG158" s="88">
        <f>+AG156-AG157</f>
        <v/>
      </c>
      <c r="AH158" s="88">
        <f>+AH156-AH157</f>
        <v/>
      </c>
      <c r="AI158" s="88">
        <f>+AI156-AI157</f>
        <v/>
      </c>
      <c r="AJ158" s="88">
        <f>+AJ156-AJ157</f>
        <v/>
      </c>
      <c r="AK158" s="88">
        <f>+AK156-AK157</f>
        <v/>
      </c>
      <c r="AL158" s="88">
        <f>+AL156-AL157</f>
        <v/>
      </c>
      <c r="AM158" s="88">
        <f>+AM156-AM157</f>
        <v/>
      </c>
      <c r="AN158" s="88">
        <f>+AN156-AN157</f>
        <v/>
      </c>
      <c r="AO158" s="88">
        <f>+AO156-AO157</f>
        <v/>
      </c>
      <c r="AP158" s="108" t="n"/>
    </row>
    <row r="159">
      <c r="A159" s="104" t="n"/>
      <c r="F159" s="142" t="n"/>
      <c r="G159" s="142" t="n"/>
      <c r="H159" s="142" t="n"/>
      <c r="I159" s="142" t="n"/>
      <c r="J159" s="142" t="n"/>
      <c r="K159" s="142" t="n"/>
      <c r="L159" s="142" t="n"/>
      <c r="M159" s="143" t="n"/>
      <c r="N159" s="143" t="n"/>
      <c r="O159" s="143" t="n"/>
      <c r="P159" s="143" t="n"/>
      <c r="Q159" s="143" t="n"/>
      <c r="R159" s="143" t="n"/>
      <c r="S159" s="143" t="n"/>
      <c r="T159" s="143" t="n"/>
      <c r="U159" s="143" t="n"/>
      <c r="V159" s="143" t="n"/>
      <c r="W159" s="143" t="n"/>
      <c r="X159" s="143" t="n"/>
      <c r="Y159" s="143" t="n"/>
      <c r="Z159" s="143" t="n"/>
      <c r="AA159" s="143" t="n"/>
      <c r="AB159" s="143" t="n"/>
      <c r="AC159" s="143" t="n"/>
      <c r="AD159" s="143" t="n"/>
      <c r="AE159" s="143" t="n"/>
      <c r="AF159" s="143" t="n"/>
      <c r="AG159" s="143" t="n"/>
      <c r="AH159" s="143" t="n"/>
      <c r="AI159" s="143" t="n"/>
      <c r="AJ159" s="143" t="n"/>
      <c r="AK159" s="143" t="n"/>
      <c r="AL159" s="143" t="n"/>
      <c r="AM159" s="143" t="n"/>
      <c r="AN159" s="143" t="n"/>
      <c r="AO159" s="143" t="n"/>
      <c r="AP159" s="108" t="n"/>
    </row>
    <row r="160">
      <c r="A160" s="22" t="inlineStr">
        <is>
          <t>Total debt</t>
        </is>
      </c>
      <c r="B160" s="142" t="n"/>
      <c r="C160" s="142" t="n"/>
      <c r="D160" s="142" t="n"/>
      <c r="E160" s="142" t="n"/>
      <c r="F160" s="142" t="n"/>
      <c r="G160" s="142" t="n"/>
      <c r="H160" s="142" t="n"/>
      <c r="I160" s="142" t="n"/>
      <c r="J160" s="142" t="n"/>
      <c r="K160" s="142" t="n"/>
      <c r="L160" s="142" t="n"/>
      <c r="M160" s="143" t="n"/>
      <c r="N160" s="143" t="n"/>
      <c r="O160" s="143" t="n"/>
      <c r="P160" s="143" t="n"/>
      <c r="Q160" s="143" t="n"/>
      <c r="R160" s="143" t="n"/>
      <c r="S160" s="143" t="n"/>
      <c r="T160" s="143" t="n"/>
      <c r="U160" s="143" t="n"/>
      <c r="V160" s="143" t="n"/>
      <c r="W160" s="143" t="n"/>
      <c r="X160" s="143" t="n"/>
      <c r="Y160" s="143" t="n"/>
      <c r="Z160" s="143" t="n"/>
      <c r="AA160" s="143" t="n"/>
      <c r="AB160" s="143" t="n"/>
      <c r="AC160" s="143" t="n"/>
      <c r="AD160" s="143" t="n"/>
      <c r="AE160" s="143" t="n"/>
      <c r="AF160" s="143" t="n"/>
      <c r="AG160" s="143" t="n"/>
      <c r="AH160" s="143" t="n"/>
      <c r="AI160" s="143" t="n"/>
      <c r="AJ160" s="143" t="n"/>
      <c r="AK160" s="143" t="n"/>
      <c r="AL160" s="143" t="n"/>
      <c r="AM160" s="143" t="n"/>
      <c r="AN160" s="143" t="n"/>
      <c r="AO160" s="143" t="n"/>
      <c r="AP160" s="108" t="n"/>
    </row>
    <row r="161">
      <c r="A161" s="89" t="inlineStr">
        <is>
          <t>Current</t>
        </is>
      </c>
      <c r="B161" s="142" t="n"/>
      <c r="C161" s="142" t="n"/>
      <c r="D161" s="142" t="n"/>
      <c r="E161" s="142" t="n"/>
      <c r="F161" s="142" t="n"/>
      <c r="G161" s="142" t="n"/>
      <c r="H161" s="142" t="n"/>
      <c r="I161" s="142" t="n"/>
      <c r="J161" s="142" t="n"/>
      <c r="K161" s="142" t="n"/>
      <c r="L161" s="142" t="n"/>
      <c r="M161" s="143" t="n"/>
      <c r="N161" s="88">
        <f>N63</f>
        <v/>
      </c>
      <c r="O161" s="88">
        <f>O63</f>
        <v/>
      </c>
      <c r="P161" s="88">
        <f>P63</f>
        <v/>
      </c>
      <c r="Q161" s="88">
        <f>Q63</f>
        <v/>
      </c>
      <c r="R161" s="88">
        <f>R63</f>
        <v/>
      </c>
      <c r="S161" s="88">
        <f>S63</f>
        <v/>
      </c>
      <c r="T161" s="88">
        <f>T63</f>
        <v/>
      </c>
      <c r="U161" s="88">
        <f>U63</f>
        <v/>
      </c>
      <c r="V161" s="88">
        <f>V63</f>
        <v/>
      </c>
      <c r="W161" s="88">
        <f>W63</f>
        <v/>
      </c>
      <c r="X161" s="88">
        <f>X63</f>
        <v/>
      </c>
      <c r="Y161" s="88">
        <f>Y63</f>
        <v/>
      </c>
      <c r="Z161" s="88">
        <f>Z63</f>
        <v/>
      </c>
      <c r="AA161" s="88">
        <f>AA63</f>
        <v/>
      </c>
      <c r="AB161" s="88">
        <f>AB63</f>
        <v/>
      </c>
      <c r="AC161" s="88">
        <f>AC63</f>
        <v/>
      </c>
      <c r="AD161" s="88">
        <f>AD63</f>
        <v/>
      </c>
      <c r="AE161" s="88">
        <f>AE63</f>
        <v/>
      </c>
      <c r="AF161" s="88">
        <f>AF63</f>
        <v/>
      </c>
      <c r="AG161" s="88">
        <f>AG63</f>
        <v/>
      </c>
      <c r="AH161" s="88">
        <f>AH63</f>
        <v/>
      </c>
      <c r="AI161" s="88">
        <f>AI63</f>
        <v/>
      </c>
      <c r="AJ161" s="88">
        <f>AJ63</f>
        <v/>
      </c>
      <c r="AK161" s="88">
        <f>AK63</f>
        <v/>
      </c>
      <c r="AL161" s="88">
        <f>AL63</f>
        <v/>
      </c>
      <c r="AM161" s="88">
        <f>AM63</f>
        <v/>
      </c>
      <c r="AN161" s="88">
        <f>AN63</f>
        <v/>
      </c>
      <c r="AO161" s="88">
        <f>AO63</f>
        <v/>
      </c>
      <c r="AP161" s="108" t="n"/>
    </row>
    <row r="162">
      <c r="A162" s="89" t="inlineStr">
        <is>
          <t>Non-current</t>
        </is>
      </c>
      <c r="B162" s="142" t="n"/>
      <c r="C162" s="142" t="n"/>
      <c r="D162" s="142" t="n"/>
      <c r="E162" s="142" t="n"/>
      <c r="F162" s="142" t="n"/>
      <c r="G162" s="142" t="n"/>
      <c r="H162" s="142" t="n"/>
      <c r="I162" s="142" t="n"/>
      <c r="J162" s="142" t="n"/>
      <c r="K162" s="142" t="n"/>
      <c r="L162" s="142" t="n"/>
      <c r="M162" s="143" t="n"/>
      <c r="N162" s="88">
        <f>N73</f>
        <v/>
      </c>
      <c r="O162" s="88">
        <f>O73</f>
        <v/>
      </c>
      <c r="P162" s="88">
        <f>P73</f>
        <v/>
      </c>
      <c r="Q162" s="88">
        <f>Q73</f>
        <v/>
      </c>
      <c r="R162" s="88">
        <f>R73</f>
        <v/>
      </c>
      <c r="S162" s="88">
        <f>S73</f>
        <v/>
      </c>
      <c r="T162" s="88">
        <f>T73</f>
        <v/>
      </c>
      <c r="U162" s="88">
        <f>U73</f>
        <v/>
      </c>
      <c r="V162" s="88">
        <f>V73</f>
        <v/>
      </c>
      <c r="W162" s="88">
        <f>W73</f>
        <v/>
      </c>
      <c r="X162" s="88">
        <f>X73</f>
        <v/>
      </c>
      <c r="Y162" s="88">
        <f>Y73</f>
        <v/>
      </c>
      <c r="Z162" s="88">
        <f>Z73</f>
        <v/>
      </c>
      <c r="AA162" s="88">
        <f>AA73</f>
        <v/>
      </c>
      <c r="AB162" s="88">
        <f>AB73</f>
        <v/>
      </c>
      <c r="AC162" s="88">
        <f>AC73</f>
        <v/>
      </c>
      <c r="AD162" s="88">
        <f>AD73</f>
        <v/>
      </c>
      <c r="AE162" s="88">
        <f>AE73</f>
        <v/>
      </c>
      <c r="AF162" s="88">
        <f>AF73</f>
        <v/>
      </c>
      <c r="AG162" s="88">
        <f>AG73</f>
        <v/>
      </c>
      <c r="AH162" s="88">
        <f>AH73</f>
        <v/>
      </c>
      <c r="AI162" s="88">
        <f>AI73</f>
        <v/>
      </c>
      <c r="AJ162" s="88">
        <f>AJ73</f>
        <v/>
      </c>
      <c r="AK162" s="88">
        <f>AK73</f>
        <v/>
      </c>
      <c r="AL162" s="88">
        <f>AL73</f>
        <v/>
      </c>
      <c r="AM162" s="88">
        <f>AM73</f>
        <v/>
      </c>
      <c r="AN162" s="88">
        <f>AN73</f>
        <v/>
      </c>
      <c r="AO162" s="88">
        <f>AO73</f>
        <v/>
      </c>
      <c r="AP162" s="108" t="n"/>
    </row>
    <row r="163">
      <c r="A163" s="90" t="inlineStr">
        <is>
          <t>Total debt</t>
        </is>
      </c>
      <c r="B163" s="131" t="n"/>
      <c r="C163" s="131" t="n"/>
      <c r="D163" s="131" t="n"/>
      <c r="E163" s="131" t="n"/>
      <c r="F163" s="131" t="n"/>
      <c r="G163" s="131" t="n"/>
      <c r="H163" s="131" t="n"/>
      <c r="I163" s="131" t="n"/>
      <c r="J163" s="131" t="n"/>
      <c r="K163" s="131" t="n"/>
      <c r="L163" s="131" t="n"/>
      <c r="M163" s="147" t="n"/>
      <c r="N163" s="123">
        <f>SUM(N161:N162)</f>
        <v/>
      </c>
      <c r="O163" s="123">
        <f>SUM(O161:O162)</f>
        <v/>
      </c>
      <c r="P163" s="123">
        <f>SUM(P161:P162)</f>
        <v/>
      </c>
      <c r="Q163" s="123">
        <f>SUM(Q161:Q162)</f>
        <v/>
      </c>
      <c r="R163" s="123">
        <f>SUM(R161:R162)</f>
        <v/>
      </c>
      <c r="S163" s="123">
        <f>SUM(S161:S162)</f>
        <v/>
      </c>
      <c r="T163" s="123">
        <f>SUM(T161:T162)</f>
        <v/>
      </c>
      <c r="U163" s="123">
        <f>SUM(U161:U162)</f>
        <v/>
      </c>
      <c r="V163" s="123">
        <f>SUM(V161:V162)</f>
        <v/>
      </c>
      <c r="W163" s="123">
        <f>SUM(W161:W162)</f>
        <v/>
      </c>
      <c r="X163" s="123">
        <f>SUM(X161:X162)</f>
        <v/>
      </c>
      <c r="Y163" s="123">
        <f>SUM(Y161:Y162)</f>
        <v/>
      </c>
      <c r="Z163" s="123">
        <f>SUM(Z161:Z162)</f>
        <v/>
      </c>
      <c r="AA163" s="123">
        <f>SUM(AA161:AA162)</f>
        <v/>
      </c>
      <c r="AB163" s="123">
        <f>SUM(AB161:AB162)</f>
        <v/>
      </c>
      <c r="AC163" s="123">
        <f>SUM(AC161:AC162)</f>
        <v/>
      </c>
      <c r="AD163" s="123">
        <f>SUM(AD161:AD162)</f>
        <v/>
      </c>
      <c r="AE163" s="123">
        <f>SUM(AE161:AE162)</f>
        <v/>
      </c>
      <c r="AF163" s="123">
        <f>SUM(AF161:AF162)</f>
        <v/>
      </c>
      <c r="AG163" s="123">
        <f>SUM(AG161:AG162)</f>
        <v/>
      </c>
      <c r="AH163" s="123">
        <f>SUM(AH161:AH162)</f>
        <v/>
      </c>
      <c r="AI163" s="123">
        <f>SUM(AI161:AI162)</f>
        <v/>
      </c>
      <c r="AJ163" s="123">
        <f>SUM(AJ161:AJ162)</f>
        <v/>
      </c>
      <c r="AK163" s="123">
        <f>SUM(AK161:AK162)</f>
        <v/>
      </c>
      <c r="AL163" s="123">
        <f>SUM(AL161:AL162)</f>
        <v/>
      </c>
      <c r="AM163" s="123">
        <f>SUM(AM161:AM162)</f>
        <v/>
      </c>
      <c r="AN163" s="123">
        <f>SUM(AN161:AN162)</f>
        <v/>
      </c>
      <c r="AO163" s="123">
        <f>SUM(AO161:AO162)</f>
        <v/>
      </c>
      <c r="AP163" s="108" t="n"/>
    </row>
    <row r="164">
      <c r="A164" s="92" t="inlineStr">
        <is>
          <t>Total debt to equity ratio</t>
        </is>
      </c>
      <c r="F164" s="110" t="n"/>
      <c r="G164" s="110" t="n"/>
      <c r="H164" s="110" t="n"/>
      <c r="I164" s="110" t="n"/>
      <c r="J164" s="110" t="n"/>
      <c r="K164" s="110" t="n"/>
      <c r="L164" s="110" t="n"/>
      <c r="M164" s="93" t="n"/>
      <c r="N164" s="883">
        <f>N163/N83</f>
        <v/>
      </c>
      <c r="O164" s="883">
        <f>O163/O83</f>
        <v/>
      </c>
      <c r="P164" s="883">
        <f>P163/P83</f>
        <v/>
      </c>
      <c r="Q164" s="883">
        <f>Q163/Q83</f>
        <v/>
      </c>
      <c r="R164" s="883">
        <f>R163/R83</f>
        <v/>
      </c>
      <c r="S164" s="883">
        <f>S163/S83</f>
        <v/>
      </c>
      <c r="T164" s="883">
        <f>T163/T83</f>
        <v/>
      </c>
      <c r="U164" s="883">
        <f>U163/U83</f>
        <v/>
      </c>
      <c r="V164" s="883">
        <f>V163/V83</f>
        <v/>
      </c>
      <c r="W164" s="883">
        <f>W163/W83</f>
        <v/>
      </c>
      <c r="X164" s="883">
        <f>X163/X83</f>
        <v/>
      </c>
      <c r="Y164" s="883">
        <f>Y163/Y83</f>
        <v/>
      </c>
      <c r="Z164" s="883">
        <f>Z163/Z83</f>
        <v/>
      </c>
      <c r="AA164" s="883">
        <f>AA163/AA83</f>
        <v/>
      </c>
      <c r="AB164" s="883">
        <f>AB163/AB83</f>
        <v/>
      </c>
      <c r="AC164" s="883">
        <f>AC163/AC83</f>
        <v/>
      </c>
      <c r="AD164" s="883">
        <f>AD163/AD83</f>
        <v/>
      </c>
      <c r="AE164" s="883">
        <f>AE163/AE83</f>
        <v/>
      </c>
      <c r="AF164" s="883">
        <f>AF163/AF83</f>
        <v/>
      </c>
      <c r="AG164" s="883">
        <f>AG163/AG83</f>
        <v/>
      </c>
      <c r="AH164" s="883">
        <f>AH163/AH83</f>
        <v/>
      </c>
      <c r="AI164" s="883">
        <f>AI163/AI83</f>
        <v/>
      </c>
      <c r="AJ164" s="883">
        <f>AJ163/AJ83</f>
        <v/>
      </c>
      <c r="AK164" s="883">
        <f>AK163/AK83</f>
        <v/>
      </c>
      <c r="AL164" s="883">
        <f>AL163/AL83</f>
        <v/>
      </c>
      <c r="AM164" s="883">
        <f>AM163/AM83</f>
        <v/>
      </c>
      <c r="AN164" s="883">
        <f>AN163/AN83</f>
        <v/>
      </c>
      <c r="AO164" s="883">
        <f>AO163/AO83</f>
        <v/>
      </c>
      <c r="AP164" s="108" t="n"/>
    </row>
    <row r="165">
      <c r="A165" s="92" t="n"/>
      <c r="F165" s="110" t="n"/>
      <c r="G165" s="110" t="n"/>
      <c r="H165" s="110" t="n"/>
      <c r="I165" s="110" t="n"/>
      <c r="J165" s="110" t="n"/>
      <c r="K165" s="110" t="n"/>
      <c r="L165" s="110" t="n"/>
      <c r="M165" s="93" t="n"/>
      <c r="N165" s="93" t="n"/>
      <c r="O165" s="93" t="n"/>
      <c r="P165" s="93" t="n"/>
      <c r="Q165" s="93" t="n"/>
      <c r="R165" s="93" t="n"/>
      <c r="S165" s="93" t="n"/>
      <c r="T165" s="93" t="n"/>
      <c r="U165" s="93" t="n"/>
      <c r="V165" s="93" t="n"/>
      <c r="W165" s="93" t="n"/>
      <c r="X165" s="93" t="n"/>
      <c r="Y165" s="93" t="n"/>
      <c r="Z165" s="93" t="n"/>
      <c r="AA165" s="93" t="n"/>
      <c r="AB165" s="93" t="n"/>
      <c r="AC165" s="93" t="n"/>
      <c r="AD165" s="93" t="n"/>
      <c r="AE165" s="93" t="n"/>
      <c r="AF165" s="93" t="n"/>
      <c r="AG165" s="93" t="n"/>
      <c r="AH165" s="93" t="n"/>
      <c r="AI165" s="93" t="n"/>
      <c r="AJ165" s="93" t="n"/>
      <c r="AK165" s="93" t="n"/>
      <c r="AL165" s="93" t="n"/>
      <c r="AM165" s="93" t="n"/>
      <c r="AN165" s="93" t="n"/>
      <c r="AO165" s="93" t="n"/>
      <c r="AP165" s="108" t="n"/>
    </row>
    <row r="166">
      <c r="A166" s="22" t="inlineStr">
        <is>
          <t>Net debt</t>
        </is>
      </c>
      <c r="F166" s="108" t="n"/>
      <c r="G166" s="108" t="n"/>
      <c r="H166" s="108" t="n"/>
      <c r="I166" s="108" t="n"/>
      <c r="J166" s="108" t="n"/>
      <c r="K166" s="108" t="n"/>
      <c r="L166" s="108" t="n"/>
      <c r="M166" s="76" t="n"/>
      <c r="N166" s="86">
        <f>N163-N157</f>
        <v/>
      </c>
      <c r="O166" s="86">
        <f>O163-O157</f>
        <v/>
      </c>
      <c r="P166" s="86">
        <f>P163-P157</f>
        <v/>
      </c>
      <c r="Q166" s="86">
        <f>Q163-Q157</f>
        <v/>
      </c>
      <c r="R166" s="86">
        <f>R163-R157</f>
        <v/>
      </c>
      <c r="S166" s="86">
        <f>S163-S157</f>
        <v/>
      </c>
      <c r="T166" s="86">
        <f>T163-T157</f>
        <v/>
      </c>
      <c r="U166" s="86">
        <f>U163-U157</f>
        <v/>
      </c>
      <c r="V166" s="86">
        <f>V163-V157</f>
        <v/>
      </c>
      <c r="W166" s="86">
        <f>W163-W157</f>
        <v/>
      </c>
      <c r="X166" s="86">
        <f>X163-X157</f>
        <v/>
      </c>
      <c r="Y166" s="86">
        <f>Y163-Y157</f>
        <v/>
      </c>
      <c r="Z166" s="86">
        <f>Z163-Z157</f>
        <v/>
      </c>
      <c r="AA166" s="86">
        <f>AA163-AA157</f>
        <v/>
      </c>
      <c r="AB166" s="86">
        <f>AB163-AB157</f>
        <v/>
      </c>
      <c r="AC166" s="86">
        <f>AC163-AC157</f>
        <v/>
      </c>
      <c r="AD166" s="86">
        <f>AD163-AD157</f>
        <v/>
      </c>
      <c r="AE166" s="86">
        <f>AE163-AE157</f>
        <v/>
      </c>
      <c r="AF166" s="86">
        <f>AF163-AF157</f>
        <v/>
      </c>
      <c r="AG166" s="86">
        <f>AG163-AG157</f>
        <v/>
      </c>
      <c r="AH166" s="86">
        <f>AH163-AH157</f>
        <v/>
      </c>
      <c r="AI166" s="86">
        <f>AI163-AI157</f>
        <v/>
      </c>
      <c r="AJ166" s="86">
        <f>AJ163-AJ157</f>
        <v/>
      </c>
      <c r="AK166" s="86">
        <f>AK163-AK157</f>
        <v/>
      </c>
      <c r="AL166" s="86">
        <f>AL163-AL157</f>
        <v/>
      </c>
      <c r="AM166" s="86">
        <f>AM163-AM157</f>
        <v/>
      </c>
      <c r="AN166" s="86">
        <f>AN163-AN157</f>
        <v/>
      </c>
      <c r="AO166" s="86">
        <f>AO163-AO157</f>
        <v/>
      </c>
      <c r="AP166" s="108" t="n"/>
    </row>
    <row r="167">
      <c r="A167" s="105" t="inlineStr">
        <is>
          <t>EBITDA / interest expense</t>
        </is>
      </c>
      <c r="F167" s="142" t="n"/>
      <c r="G167" s="142" t="n"/>
      <c r="H167" s="142" t="n"/>
      <c r="I167" s="142" t="n"/>
      <c r="J167" s="142" t="n"/>
      <c r="K167" s="142" t="n"/>
      <c r="L167" s="142" t="n"/>
      <c r="M167" s="143" t="n"/>
      <c r="N167" s="94">
        <f>-N154/N20</f>
        <v/>
      </c>
      <c r="O167" s="94">
        <f>-O154/O20</f>
        <v/>
      </c>
      <c r="P167" s="94">
        <f>-P154/P20</f>
        <v/>
      </c>
      <c r="Q167" s="94">
        <f>-Q154/Q20</f>
        <v/>
      </c>
      <c r="R167" s="94">
        <f>-R154/R20</f>
        <v/>
      </c>
      <c r="S167" s="94">
        <f>-S154/S20</f>
        <v/>
      </c>
      <c r="T167" s="94">
        <f>-T154/T20</f>
        <v/>
      </c>
      <c r="U167" s="94">
        <f>-U154/U20</f>
        <v/>
      </c>
      <c r="V167" s="94">
        <f>-V154/V20</f>
        <v/>
      </c>
      <c r="W167" s="94">
        <f>-W154/W20</f>
        <v/>
      </c>
      <c r="X167" s="94">
        <f>-X154/X20</f>
        <v/>
      </c>
      <c r="Y167" s="94">
        <f>-Y154/Y20</f>
        <v/>
      </c>
      <c r="Z167" s="94">
        <f>-Z154/Z20</f>
        <v/>
      </c>
      <c r="AA167" s="94">
        <f>-AA154/AA20</f>
        <v/>
      </c>
      <c r="AB167" s="94">
        <f>-AB154/AB20</f>
        <v/>
      </c>
      <c r="AC167" s="94">
        <f>-AC154/AC20</f>
        <v/>
      </c>
      <c r="AD167" s="94">
        <f>-AD154/AD20</f>
        <v/>
      </c>
      <c r="AE167" s="94">
        <f>-AE154/AE20</f>
        <v/>
      </c>
      <c r="AF167" s="94">
        <f>-AF154/AF20</f>
        <v/>
      </c>
      <c r="AG167" s="94">
        <f>-AG154/AG20</f>
        <v/>
      </c>
      <c r="AH167" s="94">
        <f>-AH154/AH20</f>
        <v/>
      </c>
      <c r="AI167" s="94">
        <f>-AI154/AI20</f>
        <v/>
      </c>
      <c r="AJ167" s="94">
        <f>-AJ154/AJ20</f>
        <v/>
      </c>
      <c r="AK167" s="94">
        <f>-AK154/AK20</f>
        <v/>
      </c>
      <c r="AL167" s="94">
        <f>-AL154/AL20</f>
        <v/>
      </c>
      <c r="AM167" s="94">
        <f>-AM154/AM20</f>
        <v/>
      </c>
      <c r="AN167" s="94">
        <f>-AN154/AN20</f>
        <v/>
      </c>
      <c r="AO167" s="94">
        <f>-AO154/AO20</f>
        <v/>
      </c>
      <c r="AP167" s="108" t="n"/>
    </row>
    <row r="168">
      <c r="M168" s="31" t="n"/>
      <c r="N168" s="76" t="n"/>
      <c r="O168" s="76" t="n"/>
      <c r="P168" s="76" t="n"/>
      <c r="Q168" s="76" t="n"/>
      <c r="R168" s="76" t="n"/>
      <c r="S168" s="76" t="n"/>
      <c r="T168" s="76" t="n"/>
      <c r="U168" s="76" t="n"/>
      <c r="V168" s="76" t="n"/>
      <c r="W168" s="76" t="n"/>
      <c r="X168" s="76" t="n"/>
      <c r="Y168" s="76" t="n"/>
      <c r="Z168" s="76" t="n"/>
      <c r="AA168" s="76" t="n"/>
      <c r="AB168" s="76" t="n"/>
      <c r="AC168" s="76" t="n"/>
      <c r="AD168" s="76" t="n"/>
      <c r="AE168" s="76" t="n"/>
      <c r="AF168" s="76" t="n"/>
      <c r="AG168" s="76" t="n"/>
      <c r="AH168" s="76" t="n"/>
      <c r="AI168" s="76" t="n"/>
      <c r="AJ168" s="76" t="n"/>
      <c r="AK168" s="76" t="n"/>
      <c r="AL168" s="76" t="n"/>
      <c r="AM168" s="76" t="n"/>
      <c r="AN168" s="76" t="n"/>
      <c r="AO168" s="76" t="n"/>
      <c r="AP168" s="108" t="n"/>
    </row>
    <row r="169">
      <c r="A169" s="22" t="inlineStr">
        <is>
          <t>Total trade receivable (trade +bills)</t>
        </is>
      </c>
      <c r="F169" s="108" t="n"/>
      <c r="G169" s="108" t="n"/>
      <c r="H169" s="108" t="n"/>
      <c r="I169" s="108" t="n"/>
      <c r="J169" s="108" t="n"/>
      <c r="K169" s="108" t="n"/>
      <c r="L169" s="108" t="n"/>
      <c r="M169" s="76" t="n"/>
      <c r="N169" s="86">
        <f>N39+N41</f>
        <v/>
      </c>
      <c r="O169" s="86">
        <f>O39+O41</f>
        <v/>
      </c>
      <c r="P169" s="86">
        <f>P39+P41</f>
        <v/>
      </c>
      <c r="Q169" s="86">
        <f>Q39+Q41</f>
        <v/>
      </c>
      <c r="R169" s="86">
        <f>R39+R41</f>
        <v/>
      </c>
      <c r="S169" s="86">
        <f>S39+S41</f>
        <v/>
      </c>
      <c r="T169" s="86">
        <f>T39+T41</f>
        <v/>
      </c>
      <c r="U169" s="86">
        <f>U39+U41</f>
        <v/>
      </c>
      <c r="V169" s="86">
        <f>V39+V41</f>
        <v/>
      </c>
      <c r="W169" s="86">
        <f>W39+W41</f>
        <v/>
      </c>
      <c r="X169" s="86">
        <f>X39+X41</f>
        <v/>
      </c>
      <c r="Y169" s="86">
        <f>Y39+Y41</f>
        <v/>
      </c>
      <c r="Z169" s="86">
        <f>Z39+Z41</f>
        <v/>
      </c>
      <c r="AA169" s="86">
        <f>AA39+AA41</f>
        <v/>
      </c>
      <c r="AB169" s="86">
        <f>AB39+AB41</f>
        <v/>
      </c>
      <c r="AC169" s="86">
        <f>AC39+AC41</f>
        <v/>
      </c>
      <c r="AD169" s="86">
        <f>AD39+AD41</f>
        <v/>
      </c>
      <c r="AE169" s="86">
        <f>AE39+AE41</f>
        <v/>
      </c>
      <c r="AF169" s="86">
        <f>AF39+AF41</f>
        <v/>
      </c>
      <c r="AG169" s="86">
        <f>AG39+AG41</f>
        <v/>
      </c>
      <c r="AH169" s="86">
        <f>AH39+AH41</f>
        <v/>
      </c>
      <c r="AI169" s="86">
        <f>AI39+AI41</f>
        <v/>
      </c>
      <c r="AJ169" s="86">
        <f>AJ39+AJ41</f>
        <v/>
      </c>
      <c r="AK169" s="86">
        <f>AK39+AK41</f>
        <v/>
      </c>
      <c r="AL169" s="86">
        <f>AL39+AL41</f>
        <v/>
      </c>
      <c r="AM169" s="86">
        <f>AM39+AM41</f>
        <v/>
      </c>
      <c r="AN169" s="86">
        <f>AN39+AN41</f>
        <v/>
      </c>
      <c r="AO169" s="86">
        <f>AO39+AO41</f>
        <v/>
      </c>
      <c r="AP169" s="108" t="n"/>
    </row>
    <row r="170">
      <c r="A170" s="74" t="inlineStr">
        <is>
          <t>In turnover days</t>
        </is>
      </c>
      <c r="F170" s="142" t="n"/>
      <c r="G170" s="142" t="n"/>
      <c r="H170" s="142" t="n"/>
      <c r="I170" s="142" t="n"/>
      <c r="J170" s="142" t="n"/>
      <c r="K170" s="142" t="n"/>
      <c r="L170" s="142" t="n"/>
      <c r="M170" s="143" t="n"/>
      <c r="N170" s="884">
        <f>N169/(N$11/N221)</f>
        <v/>
      </c>
      <c r="O170" s="884">
        <f>O169/(O$11/O221)</f>
        <v/>
      </c>
      <c r="P170" s="884">
        <f>P169/(P$11/P221)</f>
        <v/>
      </c>
      <c r="Q170" s="884">
        <f>Q169/(Q$11/Q221)</f>
        <v/>
      </c>
      <c r="R170" s="884">
        <f>R169/(R$11/R221)</f>
        <v/>
      </c>
      <c r="S170" s="884">
        <f>S169/(S$11/S221)</f>
        <v/>
      </c>
      <c r="T170" s="884">
        <f>T169/(T$11/T221)</f>
        <v/>
      </c>
      <c r="U170" s="884">
        <f>U169/(U$11/U221)</f>
        <v/>
      </c>
      <c r="V170" s="884">
        <f>V169/(V$11/V221)</f>
        <v/>
      </c>
      <c r="W170" s="884">
        <f>W169/(W$11/W221)</f>
        <v/>
      </c>
      <c r="X170" s="884">
        <f>X169/(X$11/X221)</f>
        <v/>
      </c>
      <c r="Y170" s="884">
        <f>Y169/(Y$11/Y221)</f>
        <v/>
      </c>
      <c r="Z170" s="884">
        <f>Z169/(Z$11/Z221)</f>
        <v/>
      </c>
      <c r="AA170" s="884">
        <f>AA169/(AA$11/AA221)</f>
        <v/>
      </c>
      <c r="AB170" s="884">
        <f>AB169/(AB$11/AB221)</f>
        <v/>
      </c>
      <c r="AC170" s="884">
        <f>AC169/(AC$11/AC221)</f>
        <v/>
      </c>
      <c r="AD170" s="884">
        <f>AD169/(AD$11/AD221)</f>
        <v/>
      </c>
      <c r="AE170" s="884">
        <f>AE169/(AE$11/AE221)</f>
        <v/>
      </c>
      <c r="AF170" s="884">
        <f>AF169/(AF$11/AF221)</f>
        <v/>
      </c>
      <c r="AG170" s="884">
        <f>AG169/(AG$11/AG221)</f>
        <v/>
      </c>
      <c r="AH170" s="884">
        <f>AH169/(AH$11/AH221)</f>
        <v/>
      </c>
      <c r="AI170" s="884">
        <f>AI169/(AI$11/AI221)</f>
        <v/>
      </c>
      <c r="AJ170" s="884">
        <f>AJ169/(AJ$11/AJ221)</f>
        <v/>
      </c>
      <c r="AK170" s="884">
        <f>AK169/(AK$11/AK221)</f>
        <v/>
      </c>
      <c r="AL170" s="884">
        <f>AL169/(AL$11/AL221)</f>
        <v/>
      </c>
      <c r="AM170" s="884">
        <f>AM169/(AM$11/AM221)</f>
        <v/>
      </c>
      <c r="AN170" s="884">
        <f>AN169/(AN$11/AN221)</f>
        <v/>
      </c>
      <c r="AO170" s="884">
        <f>AO169/(AO$11/AO221)</f>
        <v/>
      </c>
      <c r="AP170" s="108" t="n"/>
    </row>
    <row r="171">
      <c r="A171" s="22" t="inlineStr">
        <is>
          <t>Inventory turnover days</t>
        </is>
      </c>
      <c r="F171" s="142" t="n"/>
      <c r="G171" s="142" t="n"/>
      <c r="H171" s="142" t="n"/>
      <c r="I171" s="142" t="n"/>
      <c r="J171" s="142" t="n"/>
      <c r="K171" s="142" t="n"/>
      <c r="L171" s="142" t="n"/>
      <c r="M171" s="143" t="n"/>
      <c r="N171" s="884">
        <f>-N42/(N$12/N221)</f>
        <v/>
      </c>
      <c r="O171" s="884">
        <f>-O42/(O$12/O221)</f>
        <v/>
      </c>
      <c r="P171" s="884">
        <f>-P42/(P$12/P221)</f>
        <v/>
      </c>
      <c r="Q171" s="884">
        <f>-Q42/(Q$12/Q221)</f>
        <v/>
      </c>
      <c r="R171" s="884">
        <f>-R42/(R$12/R221)</f>
        <v/>
      </c>
      <c r="S171" s="884">
        <f>-S42/(S$12/S221)</f>
        <v/>
      </c>
      <c r="T171" s="884">
        <f>-T42/(T$12/T221)</f>
        <v/>
      </c>
      <c r="U171" s="884">
        <f>-U42/(U$12/U221)</f>
        <v/>
      </c>
      <c r="V171" s="884">
        <f>-V42/(V$12/V221)</f>
        <v/>
      </c>
      <c r="W171" s="884">
        <f>-W42/(W$12/W221)</f>
        <v/>
      </c>
      <c r="X171" s="884">
        <f>-X42/(X$12/X221)</f>
        <v/>
      </c>
      <c r="Y171" s="884">
        <f>-Y42/(Y$12/Y221)</f>
        <v/>
      </c>
      <c r="Z171" s="884">
        <f>-Z42/(Z$12/Z221)</f>
        <v/>
      </c>
      <c r="AA171" s="884">
        <f>-AA42/(AA$12/AA221)</f>
        <v/>
      </c>
      <c r="AB171" s="884">
        <f>-AB42/(AB$12/AB221)</f>
        <v/>
      </c>
      <c r="AC171" s="884">
        <f>-AC42/(AC$12/AC221)</f>
        <v/>
      </c>
      <c r="AD171" s="884">
        <f>-AD42/(AD$12/AD221)</f>
        <v/>
      </c>
      <c r="AE171" s="884">
        <f>-AE42/(AE$12/AE221)</f>
        <v/>
      </c>
      <c r="AF171" s="884">
        <f>-AF42/(AF$12/AF221)</f>
        <v/>
      </c>
      <c r="AG171" s="884">
        <f>-AG42/(AG$12/AG221)</f>
        <v/>
      </c>
      <c r="AH171" s="884">
        <f>-AH42/(AH$12/AH221)</f>
        <v/>
      </c>
      <c r="AI171" s="884">
        <f>-AI42/(AI$12/AI221)</f>
        <v/>
      </c>
      <c r="AJ171" s="884">
        <f>-AJ42/(AJ$12/AJ221)</f>
        <v/>
      </c>
      <c r="AK171" s="884">
        <f>-AK42/(AK$12/AK221)</f>
        <v/>
      </c>
      <c r="AL171" s="884">
        <f>-AL42/(AL$12/AL221)</f>
        <v/>
      </c>
      <c r="AM171" s="884">
        <f>-AM42/(AM$12/AM221)</f>
        <v/>
      </c>
      <c r="AN171" s="884">
        <f>-AN42/(AN$12/AN221)</f>
        <v/>
      </c>
      <c r="AO171" s="884">
        <f>-AO42/(AO$12/AO221)</f>
        <v/>
      </c>
      <c r="AP171" s="108" t="n"/>
    </row>
    <row r="172">
      <c r="A172" s="74" t="n"/>
      <c r="M172" s="31" t="n"/>
      <c r="N172" s="31" t="n"/>
      <c r="O172" s="31" t="n"/>
      <c r="P172" s="31" t="n"/>
      <c r="Q172" s="31" t="n"/>
      <c r="R172" s="31" t="n"/>
      <c r="S172" s="31" t="n"/>
      <c r="T172" s="31" t="n"/>
      <c r="U172" s="31" t="n"/>
      <c r="V172" s="31" t="n"/>
      <c r="W172" s="31" t="n"/>
      <c r="X172" s="31" t="n"/>
      <c r="Y172" s="31" t="n"/>
      <c r="Z172" s="31" t="n"/>
      <c r="AA172" s="31" t="n"/>
      <c r="AB172" s="31" t="n"/>
      <c r="AC172" s="31" t="n"/>
      <c r="AD172" s="31" t="n"/>
      <c r="AE172" s="31" t="n"/>
      <c r="AF172" s="31" t="n"/>
      <c r="AG172" s="31" t="n"/>
      <c r="AH172" s="31" t="n"/>
      <c r="AI172" s="31" t="n"/>
      <c r="AJ172" s="31" t="n"/>
      <c r="AK172" s="31" t="n"/>
      <c r="AL172" s="31" t="n"/>
      <c r="AM172" s="31" t="n"/>
      <c r="AN172" s="31" t="n"/>
      <c r="AO172" s="31" t="n"/>
      <c r="AP172" s="108" t="n"/>
    </row>
    <row r="173">
      <c r="A173" s="40" t="inlineStr">
        <is>
          <t>Capex total (ppe+intangible)</t>
        </is>
      </c>
      <c r="F173" s="108" t="n"/>
      <c r="G173" s="108" t="n"/>
      <c r="H173" s="108" t="n"/>
      <c r="I173" s="108" t="n"/>
      <c r="J173" s="108" t="n"/>
      <c r="K173" s="108" t="n"/>
      <c r="L173" s="108" t="n"/>
      <c r="M173" s="76" t="n"/>
      <c r="N173" s="86">
        <f>-N122-N123-N124</f>
        <v/>
      </c>
      <c r="O173" s="86">
        <f>-O122-O123-O124</f>
        <v/>
      </c>
      <c r="P173" s="86">
        <f>-P122-P123-P124</f>
        <v/>
      </c>
      <c r="Q173" s="86">
        <f>-Q122-Q123-Q124</f>
        <v/>
      </c>
      <c r="R173" s="86">
        <f>-R122-R123-R124</f>
        <v/>
      </c>
      <c r="S173" s="86">
        <f>-S122-S123-S124</f>
        <v/>
      </c>
      <c r="T173" s="86">
        <f>-T122-T123-T124</f>
        <v/>
      </c>
      <c r="U173" s="86">
        <f>-U122-U123-U124</f>
        <v/>
      </c>
      <c r="V173" s="86">
        <f>-V122-V123-V124</f>
        <v/>
      </c>
      <c r="W173" s="86">
        <f>-W122-W123-W124</f>
        <v/>
      </c>
      <c r="X173" s="86">
        <f>-X122-X123-X124</f>
        <v/>
      </c>
      <c r="Y173" s="86">
        <f>-Y122-Y123-Y124</f>
        <v/>
      </c>
      <c r="Z173" s="86">
        <f>-Z122-Z123-Z124</f>
        <v/>
      </c>
      <c r="AA173" s="86">
        <f>-AA122-AA123-AA124</f>
        <v/>
      </c>
      <c r="AB173" s="86">
        <f>-AB122-AB123-AB124</f>
        <v/>
      </c>
      <c r="AC173" s="86">
        <f>-AC122-AC123-AC124</f>
        <v/>
      </c>
      <c r="AD173" s="86">
        <f>-AD122-AD123-AD124</f>
        <v/>
      </c>
      <c r="AE173" s="86">
        <f>-AE122-AE123-AE124</f>
        <v/>
      </c>
      <c r="AF173" s="86">
        <f>-AF122-AF123-AF124</f>
        <v/>
      </c>
      <c r="AG173" s="86">
        <f>-AG122-AG123-AG124</f>
        <v/>
      </c>
      <c r="AH173" s="86">
        <f>-AH122-AH123-AH124</f>
        <v/>
      </c>
      <c r="AI173" s="86">
        <f>-AI122-AI123-AI124</f>
        <v/>
      </c>
      <c r="AJ173" s="86">
        <f>-AJ122-AJ123-AJ124</f>
        <v/>
      </c>
      <c r="AK173" s="86">
        <f>-AK122-AK123-AK124</f>
        <v/>
      </c>
      <c r="AL173" s="86">
        <f>-AL122-AL123-AL124</f>
        <v/>
      </c>
      <c r="AM173" s="86">
        <f>-AM122-AM123-AM124</f>
        <v/>
      </c>
      <c r="AN173" s="86">
        <f>-AN122-AN123-AN124</f>
        <v/>
      </c>
      <c r="AO173" s="86">
        <f>-AO122-AO123-AO124</f>
        <v/>
      </c>
      <c r="AP173" s="108" t="n"/>
    </row>
    <row r="174">
      <c r="A174" s="74" t="inlineStr">
        <is>
          <t>As % of sales (capital intensity)</t>
        </is>
      </c>
      <c r="F174" s="109" t="n"/>
      <c r="G174" s="109" t="n"/>
      <c r="H174" s="109" t="n"/>
      <c r="I174" s="109" t="n"/>
      <c r="J174" s="109" t="n"/>
      <c r="K174" s="109" t="n"/>
      <c r="L174" s="109" t="n"/>
      <c r="M174" s="190" t="n"/>
      <c r="N174" s="882">
        <f>N173/N11</f>
        <v/>
      </c>
      <c r="O174" s="882">
        <f>O173/O11</f>
        <v/>
      </c>
      <c r="P174" s="882">
        <f>P173/P11</f>
        <v/>
      </c>
      <c r="Q174" s="882">
        <f>Q173/Q11</f>
        <v/>
      </c>
      <c r="R174" s="882">
        <f>R173/R11</f>
        <v/>
      </c>
      <c r="S174" s="882">
        <f>S173/S11</f>
        <v/>
      </c>
      <c r="T174" s="882">
        <f>T173/T11</f>
        <v/>
      </c>
      <c r="U174" s="882">
        <f>U173/U11</f>
        <v/>
      </c>
      <c r="V174" s="882">
        <f>V173/V11</f>
        <v/>
      </c>
      <c r="W174" s="882">
        <f>W173/W11</f>
        <v/>
      </c>
      <c r="X174" s="882">
        <f>X173/X11</f>
        <v/>
      </c>
      <c r="Y174" s="882">
        <f>Y173/Y11</f>
        <v/>
      </c>
      <c r="Z174" s="882">
        <f>Z173/Z11</f>
        <v/>
      </c>
      <c r="AA174" s="882">
        <f>AA173/AA11</f>
        <v/>
      </c>
      <c r="AB174" s="882">
        <f>AB173/AB11</f>
        <v/>
      </c>
      <c r="AC174" s="882">
        <f>AC173/AC11</f>
        <v/>
      </c>
      <c r="AD174" s="882">
        <f>AD173/AD11</f>
        <v/>
      </c>
      <c r="AE174" s="882">
        <f>AE173/AE11</f>
        <v/>
      </c>
      <c r="AF174" s="882">
        <f>AF173/AF11</f>
        <v/>
      </c>
      <c r="AG174" s="882">
        <f>AG173/AG11</f>
        <v/>
      </c>
      <c r="AH174" s="882">
        <f>AH173/AH11</f>
        <v/>
      </c>
      <c r="AI174" s="882">
        <f>AI173/AI11</f>
        <v/>
      </c>
      <c r="AJ174" s="882">
        <f>AJ173/AJ11</f>
        <v/>
      </c>
      <c r="AK174" s="882">
        <f>AK173/AK11</f>
        <v/>
      </c>
      <c r="AL174" s="882">
        <f>AL173/AL11</f>
        <v/>
      </c>
      <c r="AM174" s="882">
        <f>AM173/AM11</f>
        <v/>
      </c>
      <c r="AN174" s="882">
        <f>AN173/AN11</f>
        <v/>
      </c>
      <c r="AO174" s="882">
        <f>AO173/AO11</f>
        <v/>
      </c>
      <c r="AP174" s="108" t="n"/>
    </row>
    <row r="175">
      <c r="A175" s="74" t="n"/>
      <c r="M175" s="31" t="n"/>
      <c r="N175" s="31" t="n"/>
      <c r="O175" s="31" t="n"/>
      <c r="P175" s="31" t="n"/>
      <c r="Q175" s="31" t="n"/>
      <c r="R175" s="31" t="n"/>
      <c r="S175" s="31" t="n"/>
      <c r="T175" s="31" t="n"/>
      <c r="U175" s="31" t="n"/>
      <c r="V175" s="31" t="n"/>
      <c r="W175" s="31" t="n"/>
      <c r="X175" s="31" t="n"/>
      <c r="Y175" s="31" t="n"/>
      <c r="Z175" s="31" t="n"/>
      <c r="AA175" s="31" t="n"/>
      <c r="AB175" s="31" t="n"/>
      <c r="AC175" s="31" t="n"/>
      <c r="AD175" s="31" t="n"/>
      <c r="AE175" s="31" t="n"/>
      <c r="AF175" s="31" t="n"/>
      <c r="AG175" s="31" t="n"/>
      <c r="AH175" s="31" t="n"/>
      <c r="AI175" s="31" t="n"/>
      <c r="AJ175" s="31" t="n"/>
      <c r="AK175" s="31" t="n"/>
      <c r="AL175" s="31" t="n"/>
      <c r="AM175" s="31" t="n"/>
      <c r="AN175" s="31" t="n"/>
      <c r="AO175" s="31" t="n"/>
      <c r="AP175" s="108" t="n"/>
    </row>
    <row r="176">
      <c r="A176" t="inlineStr">
        <is>
          <t>Dividends per share (HKD)</t>
        </is>
      </c>
      <c r="F176" s="111" t="n"/>
      <c r="G176" s="111" t="n"/>
      <c r="H176" s="111" t="n"/>
      <c r="I176" s="111" t="n"/>
      <c r="J176" s="111" t="n"/>
      <c r="K176" s="111" t="n"/>
      <c r="L176" s="111" t="n"/>
      <c r="M176" s="31" t="n"/>
      <c r="N176" s="156">
        <f>Assumption!#REF!/N226</f>
        <v/>
      </c>
      <c r="O176" s="156">
        <f>Assumption!#REF!/O226</f>
        <v/>
      </c>
      <c r="P176" s="156">
        <f>Assumption!#REF!/P226</f>
        <v/>
      </c>
      <c r="Q176" s="156">
        <f>Assumption!#REF!/Q226</f>
        <v/>
      </c>
      <c r="R176" s="156">
        <f>Assumption!#REF!/R226</f>
        <v/>
      </c>
      <c r="S176" s="156">
        <f>Assumption!#REF!/S226</f>
        <v/>
      </c>
      <c r="T176" s="156">
        <f>Assumption!#REF!/T226</f>
        <v/>
      </c>
      <c r="U176" s="156">
        <f>Assumption!#REF!/U226</f>
        <v/>
      </c>
      <c r="V176" s="156">
        <f>Assumption!#REF!/V226</f>
        <v/>
      </c>
      <c r="W176" s="156">
        <f>Assumption!#REF!/W226</f>
        <v/>
      </c>
      <c r="X176" s="156">
        <f>Assumption!B231/X226</f>
        <v/>
      </c>
      <c r="Y176" s="156">
        <f>Assumption!C231/Y226</f>
        <v/>
      </c>
      <c r="Z176" s="156">
        <f>Assumption!D231/Z226</f>
        <v/>
      </c>
      <c r="AA176" s="156">
        <f>Assumption!E231/AA226</f>
        <v/>
      </c>
      <c r="AB176" s="156">
        <f>Assumption!F231/AB226</f>
        <v/>
      </c>
      <c r="AC176" s="156">
        <f>Assumption!G231/AC226</f>
        <v/>
      </c>
      <c r="AD176" s="156">
        <f>Assumption!H231/AD226</f>
        <v/>
      </c>
      <c r="AE176" s="156">
        <f>Assumption!I231/AE226</f>
        <v/>
      </c>
      <c r="AF176" s="156">
        <f>Assumption!J231/AF226</f>
        <v/>
      </c>
      <c r="AG176" s="156">
        <f>Assumption!K231/AG226</f>
        <v/>
      </c>
      <c r="AH176" s="156">
        <f>Assumption!L231/AH226</f>
        <v/>
      </c>
      <c r="AI176" s="156">
        <f>Assumption!M231/AI226</f>
        <v/>
      </c>
      <c r="AJ176" s="156">
        <f>Assumption!N231/AJ226</f>
        <v/>
      </c>
      <c r="AK176" s="156">
        <f>Assumption!O231/AK226</f>
        <v/>
      </c>
      <c r="AL176" s="156">
        <f>Assumption!P231/AL226</f>
        <v/>
      </c>
      <c r="AM176" s="156">
        <f>Assumption!Q231/AM226</f>
        <v/>
      </c>
      <c r="AN176" s="156">
        <f>Assumption!R231/AN226</f>
        <v/>
      </c>
      <c r="AO176" s="156">
        <f>Assumption!S231/AO226</f>
        <v/>
      </c>
      <c r="AP176" s="108" t="n"/>
    </row>
    <row r="177">
      <c r="M177" s="31" t="n"/>
      <c r="N177" s="31" t="n"/>
      <c r="O177" s="31" t="n"/>
      <c r="P177" s="31" t="n"/>
      <c r="Q177" s="31" t="n"/>
      <c r="R177" s="31" t="n"/>
      <c r="S177" s="31" t="n"/>
      <c r="T177" s="31" t="n"/>
      <c r="U177" s="31" t="n"/>
      <c r="V177" s="31" t="n"/>
      <c r="W177" s="31" t="n"/>
      <c r="X177" s="31" t="n"/>
      <c r="Y177" s="31" t="n"/>
      <c r="Z177" s="31" t="n"/>
      <c r="AA177" s="31" t="n"/>
      <c r="AB177" s="31" t="n"/>
      <c r="AC177" s="31" t="n"/>
      <c r="AD177" s="31" t="n"/>
      <c r="AE177" s="31" t="n"/>
      <c r="AF177" s="31" t="n"/>
      <c r="AG177" s="31" t="n"/>
      <c r="AH177" s="31" t="n"/>
      <c r="AI177" s="31" t="n"/>
      <c r="AJ177" s="31" t="n"/>
      <c r="AK177" s="31" t="n"/>
      <c r="AL177" s="31" t="n"/>
      <c r="AM177" s="31" t="n"/>
      <c r="AN177" s="31" t="n"/>
      <c r="AO177" s="31" t="n"/>
      <c r="AP177" s="108" t="n"/>
    </row>
    <row r="178">
      <c r="A178" t="inlineStr">
        <is>
          <t>Total assets</t>
        </is>
      </c>
      <c r="F178" s="108" t="n"/>
      <c r="G178" s="108" t="n"/>
      <c r="H178" s="108" t="n"/>
      <c r="I178" s="108" t="n"/>
      <c r="J178" s="108" t="n"/>
      <c r="K178" s="108" t="n"/>
      <c r="L178" s="108" t="n"/>
      <c r="M178" s="76" t="n"/>
      <c r="N178" s="86">
        <f>N58</f>
        <v/>
      </c>
      <c r="O178" s="86">
        <f>O58</f>
        <v/>
      </c>
      <c r="P178" s="86">
        <f>P58</f>
        <v/>
      </c>
      <c r="Q178" s="86">
        <f>Q58</f>
        <v/>
      </c>
      <c r="R178" s="86">
        <f>R58</f>
        <v/>
      </c>
      <c r="S178" s="86">
        <f>S58</f>
        <v/>
      </c>
      <c r="T178" s="86">
        <f>T58</f>
        <v/>
      </c>
      <c r="U178" s="86">
        <f>U58</f>
        <v/>
      </c>
      <c r="V178" s="86">
        <f>V58</f>
        <v/>
      </c>
      <c r="W178" s="86">
        <f>W58</f>
        <v/>
      </c>
      <c r="X178" s="86">
        <f>X58</f>
        <v/>
      </c>
      <c r="Y178" s="86">
        <f>Y58</f>
        <v/>
      </c>
      <c r="Z178" s="86">
        <f>Z58</f>
        <v/>
      </c>
      <c r="AA178" s="86">
        <f>AA58</f>
        <v/>
      </c>
      <c r="AB178" s="86">
        <f>AB58</f>
        <v/>
      </c>
      <c r="AC178" s="86">
        <f>AC58</f>
        <v/>
      </c>
      <c r="AD178" s="86">
        <f>AD58</f>
        <v/>
      </c>
      <c r="AE178" s="86">
        <f>AE58</f>
        <v/>
      </c>
      <c r="AF178" s="86">
        <f>AF58</f>
        <v/>
      </c>
      <c r="AG178" s="86">
        <f>AG58</f>
        <v/>
      </c>
      <c r="AH178" s="86">
        <f>AH58</f>
        <v/>
      </c>
      <c r="AI178" s="86">
        <f>AI58</f>
        <v/>
      </c>
      <c r="AJ178" s="86">
        <f>AJ58</f>
        <v/>
      </c>
      <c r="AK178" s="86">
        <f>AK58</f>
        <v/>
      </c>
      <c r="AL178" s="86">
        <f>AL58</f>
        <v/>
      </c>
      <c r="AM178" s="86">
        <f>AM58</f>
        <v/>
      </c>
      <c r="AN178" s="86">
        <f>AN58</f>
        <v/>
      </c>
      <c r="AO178" s="86">
        <f>AO58</f>
        <v/>
      </c>
      <c r="AP178" s="108" t="n"/>
    </row>
    <row r="179">
      <c r="A179" s="105" t="inlineStr">
        <is>
          <t>add Off balance sheet operating lease</t>
        </is>
      </c>
      <c r="M179" s="31" t="n"/>
      <c r="N179" s="80">
        <f>#REF!</f>
        <v/>
      </c>
      <c r="O179" s="80">
        <f>#REF!</f>
        <v/>
      </c>
      <c r="P179" s="80">
        <f>#REF!</f>
        <v/>
      </c>
      <c r="Q179" s="80">
        <f>#REF!</f>
        <v/>
      </c>
      <c r="R179" s="80">
        <f>#REF!</f>
        <v/>
      </c>
      <c r="S179" s="80">
        <f>#REF!</f>
        <v/>
      </c>
      <c r="T179" s="80">
        <f>#REF!</f>
        <v/>
      </c>
      <c r="U179" s="80">
        <f>#REF!</f>
        <v/>
      </c>
      <c r="V179" s="80">
        <f>#REF!</f>
        <v/>
      </c>
      <c r="W179" s="80">
        <f>#REF!</f>
        <v/>
      </c>
      <c r="X179" s="80">
        <f>#REF!</f>
        <v/>
      </c>
      <c r="Y179" s="80">
        <f>#REF!</f>
        <v/>
      </c>
      <c r="Z179" s="80">
        <f>#REF!</f>
        <v/>
      </c>
      <c r="AA179" s="80">
        <f>#REF!</f>
        <v/>
      </c>
      <c r="AB179" s="80">
        <f>#REF!</f>
        <v/>
      </c>
      <c r="AC179" s="80">
        <f>#REF!</f>
        <v/>
      </c>
      <c r="AD179" s="80">
        <f>#REF!</f>
        <v/>
      </c>
      <c r="AE179" s="80">
        <f>#REF!</f>
        <v/>
      </c>
      <c r="AF179" s="80">
        <f>#REF!</f>
        <v/>
      </c>
      <c r="AG179" s="80">
        <f>#REF!</f>
        <v/>
      </c>
      <c r="AH179" s="80">
        <f>#REF!</f>
        <v/>
      </c>
      <c r="AI179" s="80">
        <f>#REF!</f>
        <v/>
      </c>
      <c r="AJ179" s="80">
        <f>#REF!</f>
        <v/>
      </c>
      <c r="AK179" s="80">
        <f>#REF!</f>
        <v/>
      </c>
      <c r="AL179" s="80">
        <f>#REF!</f>
        <v/>
      </c>
      <c r="AM179" s="80">
        <f>#REF!</f>
        <v/>
      </c>
      <c r="AN179" s="80">
        <f>#REF!</f>
        <v/>
      </c>
      <c r="AO179" s="80">
        <f>#REF!</f>
        <v/>
      </c>
      <c r="AP179" s="108" t="n"/>
    </row>
    <row r="180">
      <c r="A180" s="105" t="inlineStr">
        <is>
          <t>less Non operating assets</t>
        </is>
      </c>
      <c r="F180" s="108" t="n"/>
      <c r="G180" s="108" t="n"/>
      <c r="H180" s="108" t="n"/>
      <c r="I180" s="108" t="n"/>
      <c r="J180" s="108" t="n"/>
      <c r="K180" s="108" t="n"/>
      <c r="L180" s="108" t="n"/>
      <c r="M180" s="76" t="n"/>
      <c r="N180" s="86">
        <f>SUM(N157,N55,N44)</f>
        <v/>
      </c>
      <c r="O180" s="86">
        <f>SUM(O157,O55,O44)</f>
        <v/>
      </c>
      <c r="P180" s="86">
        <f>SUM(P157,P55,P44)</f>
        <v/>
      </c>
      <c r="Q180" s="86">
        <f>SUM(Q157,Q55,Q44)</f>
        <v/>
      </c>
      <c r="R180" s="86">
        <f>SUM(R157,R55,R44)</f>
        <v/>
      </c>
      <c r="S180" s="86">
        <f>SUM(S157,S55,S44)</f>
        <v/>
      </c>
      <c r="T180" s="86">
        <f>SUM(T157,T55,T44)</f>
        <v/>
      </c>
      <c r="U180" s="86">
        <f>SUM(U157,U55,U44)</f>
        <v/>
      </c>
      <c r="V180" s="86">
        <f>SUM(V157,V55,V44)</f>
        <v/>
      </c>
      <c r="W180" s="86">
        <f>SUM(W157,W55,W44)</f>
        <v/>
      </c>
      <c r="X180" s="86">
        <f>SUM(X157,X55,X44)</f>
        <v/>
      </c>
      <c r="Y180" s="86">
        <f>SUM(Y157,Y55,Y44)</f>
        <v/>
      </c>
      <c r="Z180" s="86">
        <f>SUM(Z157,Z55,Z44)</f>
        <v/>
      </c>
      <c r="AA180" s="86">
        <f>SUM(AA157,AA55,AA44)</f>
        <v/>
      </c>
      <c r="AB180" s="86">
        <f>SUM(AB157,AB55,AB44)</f>
        <v/>
      </c>
      <c r="AC180" s="86">
        <f>SUM(AC157,AC55,AC44)</f>
        <v/>
      </c>
      <c r="AD180" s="86">
        <f>SUM(AD157,AD55,AD44)</f>
        <v/>
      </c>
      <c r="AE180" s="86">
        <f>SUM(AE157,AE55,AE44)</f>
        <v/>
      </c>
      <c r="AF180" s="86">
        <f>SUM(AF157,AF55,AF44)</f>
        <v/>
      </c>
      <c r="AG180" s="86">
        <f>SUM(AG157,AG55,AG44)</f>
        <v/>
      </c>
      <c r="AH180" s="86">
        <f>SUM(AH157,AH55,AH44)</f>
        <v/>
      </c>
      <c r="AI180" s="86">
        <f>SUM(AI157,AI55,AI44)</f>
        <v/>
      </c>
      <c r="AJ180" s="86">
        <f>SUM(AJ157,AJ55,AJ44)</f>
        <v/>
      </c>
      <c r="AK180" s="86">
        <f>SUM(AK157,AK55,AK44)</f>
        <v/>
      </c>
      <c r="AL180" s="86">
        <f>SUM(AL157,AL55,AL44)</f>
        <v/>
      </c>
      <c r="AM180" s="86">
        <f>SUM(AM157,AM55,AM44)</f>
        <v/>
      </c>
      <c r="AN180" s="86">
        <f>SUM(AN157,AN55,AN44)</f>
        <v/>
      </c>
      <c r="AO180" s="86">
        <f>SUM(AO157,AO55,AO44)</f>
        <v/>
      </c>
      <c r="AP180" s="108" t="n"/>
    </row>
    <row r="181">
      <c r="A181" s="105" t="inlineStr">
        <is>
          <t>less Operating liabilities</t>
        </is>
      </c>
      <c r="F181" s="108" t="n"/>
      <c r="G181" s="108" t="n"/>
      <c r="H181" s="108" t="n"/>
      <c r="I181" s="108" t="n"/>
      <c r="J181" s="108" t="n"/>
      <c r="K181" s="108" t="n"/>
      <c r="L181" s="108" t="n"/>
      <c r="M181" s="76" t="n"/>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c r="V181" s="86">
        <f>SUM(V61,V65,V76,V66,V62,V77,V64)</f>
        <v/>
      </c>
      <c r="W181" s="86">
        <f>SUM(W61,W65,W76,W66,W62,W77,W64)</f>
        <v/>
      </c>
      <c r="X181" s="86">
        <f>SUM(X61,X65,X76,X66,X62,X77,X64)</f>
        <v/>
      </c>
      <c r="Y181" s="86">
        <f>SUM(Y61,Y65,Y76,Y66,Y62,Y77,Y64)</f>
        <v/>
      </c>
      <c r="Z181" s="86">
        <f>SUM(Z61,Z65,Z76,Z66,Z62,Z77,Z64)</f>
        <v/>
      </c>
      <c r="AA181" s="86">
        <f>SUM(AA61,AA65,AA76,AA66,AA62,AA77,AA64)</f>
        <v/>
      </c>
      <c r="AB181" s="86">
        <f>SUM(AB61,AB65,AB76,AB66,AB62,AB77,AB64)</f>
        <v/>
      </c>
      <c r="AC181" s="86">
        <f>SUM(AC61,AC65,AC76,AC66,AC62,AC77,AC64)</f>
        <v/>
      </c>
      <c r="AD181" s="86">
        <f>SUM(AD61,AD65,AD76,AD66,AD62,AD77,AD64)</f>
        <v/>
      </c>
      <c r="AE181" s="86">
        <f>SUM(AE61,AE65,AE76,AE66,AE62,AE77,AE64)</f>
        <v/>
      </c>
      <c r="AF181" s="86">
        <f>SUM(AF61,AF65,AF76,AF66,AF62,AF77,AF64)</f>
        <v/>
      </c>
      <c r="AG181" s="86">
        <f>SUM(AG61,AG65,AG76,AG66,AG62,AG77,AG64)</f>
        <v/>
      </c>
      <c r="AH181" s="86">
        <f>SUM(AH61,AH65,AH76,AH66,AH62,AH77,AH64)</f>
        <v/>
      </c>
      <c r="AI181" s="86">
        <f>SUM(AI61,AI65,AI76,AI66,AI62,AI77,AI64)</f>
        <v/>
      </c>
      <c r="AJ181" s="86">
        <f>SUM(AJ61,AJ65,AJ76,AJ66,AJ62,AJ77,AJ64)</f>
        <v/>
      </c>
      <c r="AK181" s="86">
        <f>SUM(AK61,AK65,AK76,AK66,AK62,AK77,AK64)</f>
        <v/>
      </c>
      <c r="AL181" s="86">
        <f>SUM(AL61,AL65,AL76,AL66,AL62,AL77,AL64)</f>
        <v/>
      </c>
      <c r="AM181" s="86">
        <f>SUM(AM61,AM65,AM76,AM66,AM62,AM77,AM64)</f>
        <v/>
      </c>
      <c r="AN181" s="86">
        <f>SUM(AN61,AN65,AN76,AN66,AN62,AN77,AN64)</f>
        <v/>
      </c>
      <c r="AO181" s="86">
        <f>SUM(AO61,AO65,AO76,AO66,AO62,AO77,AO64)</f>
        <v/>
      </c>
      <c r="AP181" s="108" t="n"/>
    </row>
    <row r="182">
      <c r="A182" s="22" t="inlineStr">
        <is>
          <t>Invested capital including goodwill</t>
        </is>
      </c>
      <c r="F182" s="108" t="n"/>
      <c r="G182" s="108" t="n"/>
      <c r="H182" s="108" t="n"/>
      <c r="I182" s="108" t="n"/>
      <c r="J182" s="108" t="n"/>
      <c r="K182" s="108" t="n"/>
      <c r="L182" s="108" t="n"/>
      <c r="M182" s="76" t="n"/>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c r="V182" s="86">
        <f>V178+V179-V180-V181</f>
        <v/>
      </c>
      <c r="W182" s="86">
        <f>W178+W179-W180-W181</f>
        <v/>
      </c>
      <c r="X182" s="86">
        <f>X178+X179-X180-X181</f>
        <v/>
      </c>
      <c r="Y182" s="86">
        <f>Y178+Y179-Y180-Y181</f>
        <v/>
      </c>
      <c r="Z182" s="86">
        <f>Z178+Z179-Z180-Z181</f>
        <v/>
      </c>
      <c r="AA182" s="86">
        <f>AA178+AA179-AA180-AA181</f>
        <v/>
      </c>
      <c r="AB182" s="86">
        <f>AB178+AB179-AB180-AB181</f>
        <v/>
      </c>
      <c r="AC182" s="86">
        <f>AC178+AC179-AC180-AC181</f>
        <v/>
      </c>
      <c r="AD182" s="86">
        <f>AD178+AD179-AD180-AD181</f>
        <v/>
      </c>
      <c r="AE182" s="86">
        <f>AE178+AE179-AE180-AE181</f>
        <v/>
      </c>
      <c r="AF182" s="86">
        <f>AF178+AF179-AF180-AF181</f>
        <v/>
      </c>
      <c r="AG182" s="86">
        <f>AG178+AG179-AG180-AG181</f>
        <v/>
      </c>
      <c r="AH182" s="86">
        <f>AH178+AH179-AH180-AH181</f>
        <v/>
      </c>
      <c r="AI182" s="86">
        <f>AI178+AI179-AI180-AI181</f>
        <v/>
      </c>
      <c r="AJ182" s="86">
        <f>AJ178+AJ179-AJ180-AJ181</f>
        <v/>
      </c>
      <c r="AK182" s="86">
        <f>AK178+AK179-AK180-AK181</f>
        <v/>
      </c>
      <c r="AL182" s="86">
        <f>AL178+AL179-AL180-AL181</f>
        <v/>
      </c>
      <c r="AM182" s="86">
        <f>AM178+AM179-AM180-AM181</f>
        <v/>
      </c>
      <c r="AN182" s="86">
        <f>AN178+AN179-AN180-AN181</f>
        <v/>
      </c>
      <c r="AO182" s="86">
        <f>AO178+AO179-AO180-AO181</f>
        <v/>
      </c>
      <c r="AP182" s="108" t="n"/>
    </row>
    <row r="183">
      <c r="A183" s="22" t="inlineStr">
        <is>
          <t>Invested capital excluding goodwill</t>
        </is>
      </c>
      <c r="F183" s="108" t="n"/>
      <c r="G183" s="108" t="n"/>
      <c r="H183" s="108" t="n"/>
      <c r="I183" s="108" t="n"/>
      <c r="J183" s="108" t="n"/>
      <c r="K183" s="108" t="n"/>
      <c r="L183" s="108" t="n"/>
      <c r="M183" s="76" t="n"/>
      <c r="N183" s="86">
        <f>N182-N50</f>
        <v/>
      </c>
      <c r="O183" s="86">
        <f>O182-O50</f>
        <v/>
      </c>
      <c r="P183" s="86">
        <f>P182-P50</f>
        <v/>
      </c>
      <c r="Q183" s="86">
        <f>Q182-Q50</f>
        <v/>
      </c>
      <c r="R183" s="86">
        <f>R182-R50</f>
        <v/>
      </c>
      <c r="S183" s="86">
        <f>S182-S50</f>
        <v/>
      </c>
      <c r="T183" s="86">
        <f>T182-T50</f>
        <v/>
      </c>
      <c r="U183" s="86">
        <f>U182-U50</f>
        <v/>
      </c>
      <c r="V183" s="86">
        <f>V182-V50</f>
        <v/>
      </c>
      <c r="W183" s="86">
        <f>W182-W50</f>
        <v/>
      </c>
      <c r="X183" s="86">
        <f>X182-X50</f>
        <v/>
      </c>
      <c r="Y183" s="86">
        <f>Y182-Y50</f>
        <v/>
      </c>
      <c r="Z183" s="86">
        <f>Z182-Z50</f>
        <v/>
      </c>
      <c r="AA183" s="86">
        <f>AA182-AA50</f>
        <v/>
      </c>
      <c r="AB183" s="86">
        <f>AB182-AB50</f>
        <v/>
      </c>
      <c r="AC183" s="86">
        <f>AC182-AC50</f>
        <v/>
      </c>
      <c r="AD183" s="86">
        <f>AD182-AD50</f>
        <v/>
      </c>
      <c r="AE183" s="86">
        <f>AE182-AE50</f>
        <v/>
      </c>
      <c r="AF183" s="86">
        <f>AF182-AF50</f>
        <v/>
      </c>
      <c r="AG183" s="86">
        <f>AG182-AG50</f>
        <v/>
      </c>
      <c r="AH183" s="86">
        <f>AH182-AH50</f>
        <v/>
      </c>
      <c r="AI183" s="86">
        <f>AI182-AI50</f>
        <v/>
      </c>
      <c r="AJ183" s="86">
        <f>AJ182-AJ50</f>
        <v/>
      </c>
      <c r="AK183" s="86">
        <f>AK182-AK50</f>
        <v/>
      </c>
      <c r="AL183" s="86">
        <f>AL182-AL50</f>
        <v/>
      </c>
      <c r="AM183" s="86">
        <f>AM182-AM50</f>
        <v/>
      </c>
      <c r="AN183" s="86">
        <f>AN182-AN50</f>
        <v/>
      </c>
      <c r="AO183" s="86">
        <f>AO182-AO50</f>
        <v/>
      </c>
      <c r="AP183" s="108" t="n"/>
    </row>
    <row r="184">
      <c r="M184" s="31" t="n"/>
      <c r="N184" s="31" t="n"/>
      <c r="O184" s="31" t="n"/>
      <c r="P184" s="31" t="n"/>
      <c r="Q184" s="31" t="n"/>
      <c r="R184" s="31" t="n"/>
      <c r="S184" s="31" t="n"/>
      <c r="T184" s="31" t="n"/>
      <c r="U184" s="31" t="n"/>
      <c r="V184" s="31" t="n"/>
      <c r="W184" s="31" t="n"/>
      <c r="X184" s="31" t="n"/>
      <c r="Y184" s="31" t="n"/>
      <c r="Z184" s="31" t="n"/>
      <c r="AA184" s="31" t="n"/>
      <c r="AB184" s="31" t="n"/>
      <c r="AC184" s="31" t="n"/>
      <c r="AD184" s="31" t="n"/>
      <c r="AE184" s="31" t="n"/>
      <c r="AF184" s="31" t="n"/>
      <c r="AG184" s="31" t="n"/>
      <c r="AH184" s="31" t="n"/>
      <c r="AI184" s="31" t="n"/>
      <c r="AJ184" s="31" t="n"/>
      <c r="AK184" s="31" t="n"/>
      <c r="AL184" s="31" t="n"/>
      <c r="AM184" s="31" t="n"/>
      <c r="AN184" s="31" t="n"/>
      <c r="AO184" s="31" t="n"/>
      <c r="AP184" s="108" t="n"/>
    </row>
    <row r="185">
      <c r="A185" s="105" t="inlineStr">
        <is>
          <t>Net profit from operations + earning from JV and associates</t>
        </is>
      </c>
      <c r="F185" s="108" t="n"/>
      <c r="G185" s="108" t="n"/>
      <c r="H185" s="108" t="n"/>
      <c r="I185" s="108" t="n"/>
      <c r="J185" s="108" t="n"/>
      <c r="K185" s="108" t="n"/>
      <c r="L185" s="108" t="n"/>
      <c r="M185" s="76" t="n"/>
      <c r="N185" s="86">
        <f>N18+N21</f>
        <v/>
      </c>
      <c r="O185" s="86">
        <f>O18+O21</f>
        <v/>
      </c>
      <c r="P185" s="86">
        <f>P18+P21</f>
        <v/>
      </c>
      <c r="Q185" s="86">
        <f>Q18+Q21</f>
        <v/>
      </c>
      <c r="R185" s="86">
        <f>R18+R21</f>
        <v/>
      </c>
      <c r="S185" s="86">
        <f>S18+S21</f>
        <v/>
      </c>
      <c r="T185" s="86">
        <f>T18+T21</f>
        <v/>
      </c>
      <c r="U185" s="86">
        <f>U18+U21</f>
        <v/>
      </c>
      <c r="V185" s="86">
        <f>V18+V21</f>
        <v/>
      </c>
      <c r="W185" s="86">
        <f>W18+W21</f>
        <v/>
      </c>
      <c r="X185" s="86">
        <f>X18+X21</f>
        <v/>
      </c>
      <c r="Y185" s="86">
        <f>Y18+Y21</f>
        <v/>
      </c>
      <c r="Z185" s="86">
        <f>Z18+Z21</f>
        <v/>
      </c>
      <c r="AA185" s="86">
        <f>AA18+AA21</f>
        <v/>
      </c>
      <c r="AB185" s="86">
        <f>AB18+AB21</f>
        <v/>
      </c>
      <c r="AC185" s="86">
        <f>AC18+AC21</f>
        <v/>
      </c>
      <c r="AD185" s="86">
        <f>AD18+AD21</f>
        <v/>
      </c>
      <c r="AE185" s="86">
        <f>AE18+AE21</f>
        <v/>
      </c>
      <c r="AF185" s="86">
        <f>AF18+AF21</f>
        <v/>
      </c>
      <c r="AG185" s="86">
        <f>AG18+AG21</f>
        <v/>
      </c>
      <c r="AH185" s="86">
        <f>AH18+AH21</f>
        <v/>
      </c>
      <c r="AI185" s="86">
        <f>AI18+AI21</f>
        <v/>
      </c>
      <c r="AJ185" s="86">
        <f>AJ18+AJ21</f>
        <v/>
      </c>
      <c r="AK185" s="86">
        <f>AK18+AK21</f>
        <v/>
      </c>
      <c r="AL185" s="86">
        <f>AL18+AL21</f>
        <v/>
      </c>
      <c r="AM185" s="86">
        <f>AM18+AM21</f>
        <v/>
      </c>
      <c r="AN185" s="86">
        <f>AN18+AN21</f>
        <v/>
      </c>
      <c r="AO185" s="86">
        <f>AO18+AO21</f>
        <v/>
      </c>
      <c r="AP185" s="108" t="n"/>
    </row>
    <row r="186">
      <c r="A186" s="105" t="inlineStr">
        <is>
          <t>Income tax rate (marginal)</t>
        </is>
      </c>
      <c r="F186" s="100" t="n"/>
      <c r="G186" s="100" t="n"/>
      <c r="H186" s="100" t="n"/>
      <c r="I186" s="100" t="n"/>
      <c r="J186" s="100" t="n"/>
      <c r="K186" s="100" t="n"/>
      <c r="L186" s="100" t="n"/>
      <c r="M186" s="190" t="n"/>
      <c r="N186" s="885" t="n">
        <v>0.25</v>
      </c>
      <c r="O186" s="885" t="n">
        <v>0.25</v>
      </c>
      <c r="P186" s="885" t="n">
        <v>0.25</v>
      </c>
      <c r="Q186" s="885" t="n">
        <v>0.25</v>
      </c>
      <c r="R186" s="885" t="n">
        <v>0.25</v>
      </c>
      <c r="S186" s="885" t="n">
        <v>0.25</v>
      </c>
      <c r="T186" s="885" t="n">
        <v>0.25</v>
      </c>
      <c r="U186" s="885" t="n">
        <v>0.25</v>
      </c>
      <c r="V186" s="885" t="n">
        <v>0.25</v>
      </c>
      <c r="W186" s="885" t="n">
        <v>0.25</v>
      </c>
      <c r="X186" s="885" t="n">
        <v>0.25</v>
      </c>
      <c r="Y186" s="885" t="n">
        <v>0.25</v>
      </c>
      <c r="Z186" s="885" t="n">
        <v>0.25</v>
      </c>
      <c r="AA186" s="885" t="n">
        <v>0.25</v>
      </c>
      <c r="AB186" s="885" t="n">
        <v>0.25</v>
      </c>
      <c r="AC186" s="885" t="n">
        <v>0.25</v>
      </c>
      <c r="AD186" s="885" t="n">
        <v>0.25</v>
      </c>
      <c r="AE186" s="885" t="n">
        <v>0.25</v>
      </c>
      <c r="AF186" s="885" t="n">
        <v>0.25</v>
      </c>
      <c r="AG186" s="885" t="n">
        <v>0.25</v>
      </c>
      <c r="AH186" s="885" t="n">
        <v>0.25</v>
      </c>
      <c r="AI186" s="885" t="n">
        <v>0.25</v>
      </c>
      <c r="AJ186" s="885" t="n">
        <v>0.25</v>
      </c>
      <c r="AK186" s="885" t="n">
        <v>0.25</v>
      </c>
      <c r="AL186" s="885" t="n">
        <v>0.25</v>
      </c>
      <c r="AM186" s="885" t="n">
        <v>0.25</v>
      </c>
      <c r="AN186" s="885" t="n">
        <v>0.25</v>
      </c>
      <c r="AO186" s="885" t="n">
        <v>0.25</v>
      </c>
      <c r="AP186" s="108" t="n"/>
    </row>
    <row r="187">
      <c r="A187" s="40" t="inlineStr">
        <is>
          <t>NOPLAT</t>
        </is>
      </c>
      <c r="F187" s="131" t="n"/>
      <c r="G187" s="131" t="n"/>
      <c r="H187" s="131" t="n"/>
      <c r="I187" s="131" t="n"/>
      <c r="J187" s="131" t="n"/>
      <c r="K187" s="131" t="n"/>
      <c r="L187" s="131" t="n"/>
      <c r="M187" s="147" t="n"/>
      <c r="N187" s="123">
        <f>N185*(1-N$186)</f>
        <v/>
      </c>
      <c r="O187" s="123">
        <f>O185*(1-O$186)</f>
        <v/>
      </c>
      <c r="P187" s="123">
        <f>P185*(1-P$186)</f>
        <v/>
      </c>
      <c r="Q187" s="123">
        <f>Q185*(1-Q$186)</f>
        <v/>
      </c>
      <c r="R187" s="123">
        <f>R185*(1-R$186)</f>
        <v/>
      </c>
      <c r="S187" s="123">
        <f>S185*(1-S$186)</f>
        <v/>
      </c>
      <c r="T187" s="123">
        <f>T185*(1-T$186)</f>
        <v/>
      </c>
      <c r="U187" s="123">
        <f>U185*(1-U$186)</f>
        <v/>
      </c>
      <c r="V187" s="123">
        <f>V185*(1-V$186)</f>
        <v/>
      </c>
      <c r="W187" s="123">
        <f>W185*(1-W$186)</f>
        <v/>
      </c>
      <c r="X187" s="123">
        <f>X185*(1-X$186)</f>
        <v/>
      </c>
      <c r="Y187" s="123">
        <f>Y185*(1-Y$186)</f>
        <v/>
      </c>
      <c r="Z187" s="123">
        <f>Z185*(1-Z$186)</f>
        <v/>
      </c>
      <c r="AA187" s="123">
        <f>AA185*(1-AA$186)</f>
        <v/>
      </c>
      <c r="AB187" s="123">
        <f>AB185*(1-AB$186)</f>
        <v/>
      </c>
      <c r="AC187" s="123">
        <f>AC185*(1-AC$186)</f>
        <v/>
      </c>
      <c r="AD187" s="123">
        <f>AD185*(1-AD$186)</f>
        <v/>
      </c>
      <c r="AE187" s="123">
        <f>AE185*(1-AE$186)</f>
        <v/>
      </c>
      <c r="AF187" s="123">
        <f>AF185*(1-AF$186)</f>
        <v/>
      </c>
      <c r="AG187" s="123">
        <f>AG185*(1-AG$186)</f>
        <v/>
      </c>
      <c r="AH187" s="123">
        <f>AH185*(1-AH$186)</f>
        <v/>
      </c>
      <c r="AI187" s="123">
        <f>AI185*(1-AI$186)</f>
        <v/>
      </c>
      <c r="AJ187" s="123">
        <f>AJ185*(1-AJ$186)</f>
        <v/>
      </c>
      <c r="AK187" s="123">
        <f>AK185*(1-AK$186)</f>
        <v/>
      </c>
      <c r="AL187" s="123">
        <f>AL185*(1-AL$186)</f>
        <v/>
      </c>
      <c r="AM187" s="123">
        <f>AM185*(1-AM$186)</f>
        <v/>
      </c>
      <c r="AN187" s="123">
        <f>AN185*(1-AN$186)</f>
        <v/>
      </c>
      <c r="AO187" s="123">
        <f>AO185*(1-AO$186)</f>
        <v/>
      </c>
      <c r="AP187" s="108" t="n"/>
    </row>
    <row r="188">
      <c r="A188" s="174" t="inlineStr">
        <is>
          <t>Add: Depreciation and amortization</t>
        </is>
      </c>
      <c r="F188" s="112" t="n"/>
      <c r="G188" s="112" t="n"/>
      <c r="H188" s="112" t="n"/>
      <c r="I188" s="112" t="n"/>
      <c r="J188" s="112" t="n"/>
      <c r="K188" s="112" t="n"/>
      <c r="L188" s="112" t="n"/>
      <c r="M188" s="76" t="n"/>
      <c r="N188" s="86">
        <f>N104+N105</f>
        <v/>
      </c>
      <c r="O188" s="86">
        <f>O104+O105</f>
        <v/>
      </c>
      <c r="P188" s="86">
        <f>P104+P105</f>
        <v/>
      </c>
      <c r="Q188" s="86">
        <f>Q104+Q105</f>
        <v/>
      </c>
      <c r="R188" s="86">
        <f>R104+R105</f>
        <v/>
      </c>
      <c r="S188" s="86">
        <f>S104+S105</f>
        <v/>
      </c>
      <c r="T188" s="86">
        <f>T104+T105</f>
        <v/>
      </c>
      <c r="U188" s="86">
        <f>U104+U105</f>
        <v/>
      </c>
      <c r="V188" s="86">
        <f>V104+V105</f>
        <v/>
      </c>
      <c r="W188" s="86">
        <f>W104+W105</f>
        <v/>
      </c>
      <c r="X188" s="86">
        <f>X104+X105</f>
        <v/>
      </c>
      <c r="Y188" s="86">
        <f>Y104+Y105</f>
        <v/>
      </c>
      <c r="Z188" s="86">
        <f>Z104+Z105</f>
        <v/>
      </c>
      <c r="AA188" s="86">
        <f>AA104+AA105</f>
        <v/>
      </c>
      <c r="AB188" s="86">
        <f>AB104+AB105</f>
        <v/>
      </c>
      <c r="AC188" s="86">
        <f>AC104+AC105</f>
        <v/>
      </c>
      <c r="AD188" s="86">
        <f>AD104+AD105</f>
        <v/>
      </c>
      <c r="AE188" s="86">
        <f>AE104+AE105</f>
        <v/>
      </c>
      <c r="AF188" s="86">
        <f>AF104+AF105</f>
        <v/>
      </c>
      <c r="AG188" s="86">
        <f>AG104+AG105</f>
        <v/>
      </c>
      <c r="AH188" s="86">
        <f>AH104+AH105</f>
        <v/>
      </c>
      <c r="AI188" s="86">
        <f>AI104+AI105</f>
        <v/>
      </c>
      <c r="AJ188" s="86">
        <f>AJ104+AJ105</f>
        <v/>
      </c>
      <c r="AK188" s="86">
        <f>AK104+AK105</f>
        <v/>
      </c>
      <c r="AL188" s="86">
        <f>AL104+AL105</f>
        <v/>
      </c>
      <c r="AM188" s="86">
        <f>AM104+AM105</f>
        <v/>
      </c>
      <c r="AN188" s="86">
        <f>AN104+AN105</f>
        <v/>
      </c>
      <c r="AO188" s="86">
        <f>AO104+AO105</f>
        <v/>
      </c>
      <c r="AP188" s="108" t="n"/>
    </row>
    <row r="189">
      <c r="A189" s="105" t="inlineStr">
        <is>
          <t>Gross cash flow</t>
        </is>
      </c>
      <c r="F189" s="108" t="n"/>
      <c r="G189" s="108" t="n"/>
      <c r="H189" s="108" t="n"/>
      <c r="I189" s="108" t="n"/>
      <c r="J189" s="108" t="n"/>
      <c r="K189" s="108" t="n"/>
      <c r="L189" s="108" t="n"/>
      <c r="M189" s="76" t="n"/>
      <c r="N189" s="86">
        <f>N187+N188</f>
        <v/>
      </c>
      <c r="O189" s="86">
        <f>O187+O188</f>
        <v/>
      </c>
      <c r="P189" s="86">
        <f>P187+P188</f>
        <v/>
      </c>
      <c r="Q189" s="86">
        <f>Q187+Q188</f>
        <v/>
      </c>
      <c r="R189" s="86">
        <f>R187+R188</f>
        <v/>
      </c>
      <c r="S189" s="86">
        <f>S187+S188</f>
        <v/>
      </c>
      <c r="T189" s="86">
        <f>T187+T188</f>
        <v/>
      </c>
      <c r="U189" s="86">
        <f>U187+U188</f>
        <v/>
      </c>
      <c r="V189" s="86">
        <f>V187+V188</f>
        <v/>
      </c>
      <c r="W189" s="86">
        <f>W187+W188</f>
        <v/>
      </c>
      <c r="X189" s="86">
        <f>X187+X188</f>
        <v/>
      </c>
      <c r="Y189" s="86">
        <f>Y187+Y188</f>
        <v/>
      </c>
      <c r="Z189" s="86">
        <f>Z187+Z188</f>
        <v/>
      </c>
      <c r="AA189" s="86">
        <f>AA187+AA188</f>
        <v/>
      </c>
      <c r="AB189" s="86">
        <f>AB187+AB188</f>
        <v/>
      </c>
      <c r="AC189" s="86">
        <f>AC187+AC188</f>
        <v/>
      </c>
      <c r="AD189" s="86">
        <f>AD187+AD188</f>
        <v/>
      </c>
      <c r="AE189" s="86">
        <f>AE187+AE188</f>
        <v/>
      </c>
      <c r="AF189" s="86">
        <f>AF187+AF188</f>
        <v/>
      </c>
      <c r="AG189" s="86">
        <f>AG187+AG188</f>
        <v/>
      </c>
      <c r="AH189" s="86">
        <f>AH187+AH188</f>
        <v/>
      </c>
      <c r="AI189" s="86">
        <f>AI187+AI188</f>
        <v/>
      </c>
      <c r="AJ189" s="86">
        <f>AJ187+AJ188</f>
        <v/>
      </c>
      <c r="AK189" s="86">
        <f>AK187+AK188</f>
        <v/>
      </c>
      <c r="AL189" s="86">
        <f>AL187+AL188</f>
        <v/>
      </c>
      <c r="AM189" s="86">
        <f>AM187+AM188</f>
        <v/>
      </c>
      <c r="AN189" s="86">
        <f>AN187+AN188</f>
        <v/>
      </c>
      <c r="AO189" s="86">
        <f>AO187+AO188</f>
        <v/>
      </c>
      <c r="AP189" s="108" t="n"/>
    </row>
    <row r="190">
      <c r="A190" s="105" t="inlineStr">
        <is>
          <t>Gross investment, including</t>
        </is>
      </c>
      <c r="M190" s="31" t="n"/>
      <c r="N190" s="86">
        <f>SUM(N191:N196)</f>
        <v/>
      </c>
      <c r="O190" s="86">
        <f>SUM(O191:O196)</f>
        <v/>
      </c>
      <c r="P190" s="86">
        <f>SUM(P191:P196)</f>
        <v/>
      </c>
      <c r="Q190" s="86">
        <f>SUM(Q191:Q196)</f>
        <v/>
      </c>
      <c r="R190" s="86">
        <f>SUM(R191:R196)</f>
        <v/>
      </c>
      <c r="S190" s="86">
        <f>SUM(S191:S196)</f>
        <v/>
      </c>
      <c r="T190" s="86">
        <f>SUM(T191:T196)</f>
        <v/>
      </c>
      <c r="U190" s="86">
        <f>SUM(U191:U196)</f>
        <v/>
      </c>
      <c r="V190" s="86">
        <f>SUM(V191:V196)</f>
        <v/>
      </c>
      <c r="W190" s="86">
        <f>SUM(W191:W196)</f>
        <v/>
      </c>
      <c r="X190" s="86">
        <f>SUM(X191:X196)</f>
        <v/>
      </c>
      <c r="Y190" s="86">
        <f>SUM(Y191:Y196)</f>
        <v/>
      </c>
      <c r="Z190" s="86">
        <f>SUM(Z191:Z196)</f>
        <v/>
      </c>
      <c r="AA190" s="86">
        <f>SUM(AA191:AA196)</f>
        <v/>
      </c>
      <c r="AB190" s="86">
        <f>SUM(AB191:AB196)</f>
        <v/>
      </c>
      <c r="AC190" s="86">
        <f>SUM(AC191:AC196)</f>
        <v/>
      </c>
      <c r="AD190" s="86">
        <f>SUM(AD191:AD196)</f>
        <v/>
      </c>
      <c r="AE190" s="86">
        <f>SUM(AE191:AE196)</f>
        <v/>
      </c>
      <c r="AF190" s="86">
        <f>SUM(AF191:AF196)</f>
        <v/>
      </c>
      <c r="AG190" s="86">
        <f>SUM(AG191:AG196)</f>
        <v/>
      </c>
      <c r="AH190" s="86">
        <f>SUM(AH191:AH196)</f>
        <v/>
      </c>
      <c r="AI190" s="86">
        <f>SUM(AI191:AI196)</f>
        <v/>
      </c>
      <c r="AJ190" s="86">
        <f>SUM(AJ191:AJ196)</f>
        <v/>
      </c>
      <c r="AK190" s="86">
        <f>SUM(AK191:AK196)</f>
        <v/>
      </c>
      <c r="AL190" s="86">
        <f>SUM(AL191:AL196)</f>
        <v/>
      </c>
      <c r="AM190" s="86">
        <f>SUM(AM191:AM196)</f>
        <v/>
      </c>
      <c r="AN190" s="86">
        <f>SUM(AN191:AN196)</f>
        <v/>
      </c>
      <c r="AO190" s="86">
        <f>SUM(AO191:AO196)</f>
        <v/>
      </c>
      <c r="AP190" s="108" t="n"/>
    </row>
    <row r="191">
      <c r="A191" s="74" t="inlineStr">
        <is>
          <t>Increase in working capital</t>
        </is>
      </c>
      <c r="D191" s="108" t="n"/>
      <c r="E191" s="108" t="n"/>
      <c r="F191" s="108" t="n"/>
      <c r="G191" s="108" t="n"/>
      <c r="H191" s="108" t="n"/>
      <c r="I191" s="108" t="n"/>
      <c r="J191" s="108" t="n"/>
      <c r="K191" s="108" t="n"/>
      <c r="L191" s="108" t="n"/>
      <c r="M191" s="76" t="n"/>
      <c r="N191" s="86">
        <f>-SUM(N111:N115)</f>
        <v/>
      </c>
      <c r="O191" s="86">
        <f>-SUM(O111:O115)</f>
        <v/>
      </c>
      <c r="P191" s="86">
        <f>-SUM(P111:P115)</f>
        <v/>
      </c>
      <c r="Q191" s="86">
        <f>-SUM(Q111:Q115)</f>
        <v/>
      </c>
      <c r="R191" s="86">
        <f>-SUM(R111:R115)</f>
        <v/>
      </c>
      <c r="S191" s="86">
        <f>-SUM(S111:S115)</f>
        <v/>
      </c>
      <c r="T191" s="86">
        <f>-SUM(T111:T115)</f>
        <v/>
      </c>
      <c r="U191" s="86">
        <f>-SUM(U111:U115)</f>
        <v/>
      </c>
      <c r="V191" s="86">
        <f>-SUM(V111:V115)</f>
        <v/>
      </c>
      <c r="W191" s="86">
        <f>-SUM(W111:W115)</f>
        <v/>
      </c>
      <c r="X191" s="86">
        <f>-SUM(X111:X115)</f>
        <v/>
      </c>
      <c r="Y191" s="86">
        <f>-SUM(Y111:Y115)</f>
        <v/>
      </c>
      <c r="Z191" s="86">
        <f>-SUM(Z111:Z115)</f>
        <v/>
      </c>
      <c r="AA191" s="86">
        <f>-SUM(AA111:AA115)</f>
        <v/>
      </c>
      <c r="AB191" s="86">
        <f>-SUM(AB111:AB115)</f>
        <v/>
      </c>
      <c r="AC191" s="86">
        <f>-SUM(AC111:AC115)</f>
        <v/>
      </c>
      <c r="AD191" s="86">
        <f>-SUM(AD111:AD115)</f>
        <v/>
      </c>
      <c r="AE191" s="86">
        <f>-SUM(AE111:AE115)</f>
        <v/>
      </c>
      <c r="AF191" s="86">
        <f>-SUM(AF111:AF115)</f>
        <v/>
      </c>
      <c r="AG191" s="86">
        <f>-SUM(AG111:AG115)</f>
        <v/>
      </c>
      <c r="AH191" s="86">
        <f>-SUM(AH111:AH115)</f>
        <v/>
      </c>
      <c r="AI191" s="86">
        <f>-SUM(AI111:AI115)</f>
        <v/>
      </c>
      <c r="AJ191" s="86">
        <f>-SUM(AJ111:AJ115)</f>
        <v/>
      </c>
      <c r="AK191" s="86">
        <f>-SUM(AK111:AK115)</f>
        <v/>
      </c>
      <c r="AL191" s="86">
        <f>-SUM(AL111:AL115)</f>
        <v/>
      </c>
      <c r="AM191" s="86">
        <f>-SUM(AM111:AM115)</f>
        <v/>
      </c>
      <c r="AN191" s="86">
        <f>-SUM(AN111:AN115)</f>
        <v/>
      </c>
      <c r="AO191" s="86">
        <f>-SUM(AO111:AO115)</f>
        <v/>
      </c>
      <c r="AP191" s="108" t="n"/>
    </row>
    <row r="192">
      <c r="A192" s="74" t="inlineStr">
        <is>
          <t>Increase in working cash</t>
        </is>
      </c>
      <c r="D192" s="108" t="n"/>
      <c r="E192" s="108" t="n"/>
      <c r="F192" s="108" t="n"/>
      <c r="G192" s="108" t="n"/>
      <c r="H192" s="108" t="n"/>
      <c r="I192" s="108" t="n"/>
      <c r="J192" s="108" t="n"/>
      <c r="K192" s="108" t="n"/>
      <c r="L192" s="108" t="n"/>
      <c r="M192" s="76" t="n"/>
      <c r="N192" s="86">
        <f>N158-M158</f>
        <v/>
      </c>
      <c r="O192" s="86">
        <f>O158-N158</f>
        <v/>
      </c>
      <c r="P192" s="86">
        <f>P158-O158</f>
        <v/>
      </c>
      <c r="Q192" s="86">
        <f>Q158-P158</f>
        <v/>
      </c>
      <c r="R192" s="86">
        <f>R158-Q158</f>
        <v/>
      </c>
      <c r="S192" s="86">
        <f>S158-R158</f>
        <v/>
      </c>
      <c r="T192" s="86">
        <f>T158-S158</f>
        <v/>
      </c>
      <c r="U192" s="86">
        <f>U158-T158</f>
        <v/>
      </c>
      <c r="V192" s="86">
        <f>V158-U158</f>
        <v/>
      </c>
      <c r="W192" s="86">
        <f>W158-V158</f>
        <v/>
      </c>
      <c r="X192" s="86">
        <f>X158-W158</f>
        <v/>
      </c>
      <c r="Y192" s="86">
        <f>Y158-X158</f>
        <v/>
      </c>
      <c r="Z192" s="86">
        <f>Z158-Y158</f>
        <v/>
      </c>
      <c r="AA192" s="86">
        <f>AA158-Z158</f>
        <v/>
      </c>
      <c r="AB192" s="86">
        <f>AB158-AA158</f>
        <v/>
      </c>
      <c r="AC192" s="86">
        <f>AC158-AB158</f>
        <v/>
      </c>
      <c r="AD192" s="86">
        <f>AD158-AC158</f>
        <v/>
      </c>
      <c r="AE192" s="86">
        <f>AE158-AD158</f>
        <v/>
      </c>
      <c r="AF192" s="86">
        <f>AF158-AE158</f>
        <v/>
      </c>
      <c r="AG192" s="86">
        <f>AG158-AF158</f>
        <v/>
      </c>
      <c r="AH192" s="86">
        <f>AH158-AG158</f>
        <v/>
      </c>
      <c r="AI192" s="86">
        <f>AI158-AH158</f>
        <v/>
      </c>
      <c r="AJ192" s="86">
        <f>AJ158-AI158</f>
        <v/>
      </c>
      <c r="AK192" s="86">
        <f>AK158-AJ158</f>
        <v/>
      </c>
      <c r="AL192" s="86">
        <f>AL158-AK158</f>
        <v/>
      </c>
      <c r="AM192" s="86">
        <f>AM158-AL158</f>
        <v/>
      </c>
      <c r="AN192" s="86">
        <f>AN158-AM158</f>
        <v/>
      </c>
      <c r="AO192" s="86">
        <f>AO158-AN158</f>
        <v/>
      </c>
      <c r="AP192" s="108" t="n"/>
    </row>
    <row r="193">
      <c r="A193" s="74" t="inlineStr">
        <is>
          <t>Increase in loans receivables</t>
        </is>
      </c>
      <c r="D193" s="108" t="n"/>
      <c r="E193" s="108" t="n"/>
      <c r="F193" s="108" t="n"/>
      <c r="G193" s="108" t="n"/>
      <c r="H193" s="108" t="n"/>
      <c r="I193" s="108" t="n"/>
      <c r="J193" s="108" t="n"/>
      <c r="K193" s="108" t="n"/>
      <c r="L193" s="108" t="n"/>
      <c r="M193" s="76" t="n"/>
      <c r="N193" s="86">
        <f>-N109</f>
        <v/>
      </c>
      <c r="O193" s="86">
        <f>-O109</f>
        <v/>
      </c>
      <c r="P193" s="86">
        <f>-P109</f>
        <v/>
      </c>
      <c r="Q193" s="86">
        <f>-Q109</f>
        <v/>
      </c>
      <c r="R193" s="86">
        <f>-R109</f>
        <v/>
      </c>
      <c r="S193" s="86">
        <f>-S109</f>
        <v/>
      </c>
      <c r="T193" s="86">
        <f>-T109</f>
        <v/>
      </c>
      <c r="U193" s="86">
        <f>-U109</f>
        <v/>
      </c>
      <c r="V193" s="86">
        <f>-V109</f>
        <v/>
      </c>
      <c r="W193" s="86">
        <f>-W109</f>
        <v/>
      </c>
      <c r="X193" s="86">
        <f>-X109</f>
        <v/>
      </c>
      <c r="Y193" s="86">
        <f>-Y109</f>
        <v/>
      </c>
      <c r="Z193" s="86">
        <f>-Z109</f>
        <v/>
      </c>
      <c r="AA193" s="86">
        <f>-AA109</f>
        <v/>
      </c>
      <c r="AB193" s="86">
        <f>-AB109</f>
        <v/>
      </c>
      <c r="AC193" s="86">
        <f>-AC109</f>
        <v/>
      </c>
      <c r="AD193" s="86">
        <f>-AD109</f>
        <v/>
      </c>
      <c r="AE193" s="86">
        <f>-AE109</f>
        <v/>
      </c>
      <c r="AF193" s="86">
        <f>-AF109</f>
        <v/>
      </c>
      <c r="AG193" s="86">
        <f>-AG109</f>
        <v/>
      </c>
      <c r="AH193" s="86">
        <f>-AH109</f>
        <v/>
      </c>
      <c r="AI193" s="86">
        <f>-AI109</f>
        <v/>
      </c>
      <c r="AJ193" s="86">
        <f>-AJ109</f>
        <v/>
      </c>
      <c r="AK193" s="86">
        <f>-AK109</f>
        <v/>
      </c>
      <c r="AL193" s="86">
        <f>-AL109</f>
        <v/>
      </c>
      <c r="AM193" s="86">
        <f>-AM109</f>
        <v/>
      </c>
      <c r="AN193" s="86">
        <f>-AN109</f>
        <v/>
      </c>
      <c r="AO193" s="86">
        <f>-AO109</f>
        <v/>
      </c>
      <c r="AP193" s="108" t="n"/>
    </row>
    <row r="194">
      <c r="A194" s="74" t="inlineStr">
        <is>
          <t>Increase in net tax assets</t>
        </is>
      </c>
      <c r="D194" s="108" t="n"/>
      <c r="E194" s="108" t="n"/>
      <c r="F194" s="108" t="n"/>
      <c r="G194" s="108" t="n"/>
      <c r="H194" s="108" t="n"/>
      <c r="I194" s="108" t="n"/>
      <c r="J194" s="108" t="n"/>
      <c r="K194" s="108" t="n"/>
      <c r="L194" s="108" t="n"/>
      <c r="M194" s="76" t="n"/>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c r="V194" s="86">
        <f>V54-U54-(V75-U75+V65-U65)</f>
        <v/>
      </c>
      <c r="W194" s="86">
        <f>W54-V54-(W75-V75+W65-V65)</f>
        <v/>
      </c>
      <c r="X194" s="86">
        <f>X54-W54-(X75-W75+X65-W65)</f>
        <v/>
      </c>
      <c r="Y194" s="86">
        <f>Y54-X54-(Y75-X75+Y65-X65)</f>
        <v/>
      </c>
      <c r="Z194" s="86">
        <f>Z54-Y54-(Z75-Y75+Z65-Y65)</f>
        <v/>
      </c>
      <c r="AA194" s="86">
        <f>AA54-Z54-(AA75-Z75+AA65-Z65)</f>
        <v/>
      </c>
      <c r="AB194" s="86">
        <f>AB54-AA54-(AB75-AA75+AB65-AA65)</f>
        <v/>
      </c>
      <c r="AC194" s="86">
        <f>AC54-AB54-(AC75-AB75+AC65-AB65)</f>
        <v/>
      </c>
      <c r="AD194" s="86">
        <f>AD54-AC54-(AD75-AC75+AD65-AC65)</f>
        <v/>
      </c>
      <c r="AE194" s="86">
        <f>AE54-AD54-(AE75-AD75+AE65-AD65)</f>
        <v/>
      </c>
      <c r="AF194" s="86">
        <f>AF54-AE54-(AF75-AE75+AF65-AE65)</f>
        <v/>
      </c>
      <c r="AG194" s="86">
        <f>AG54-AF54-(AG75-AF75+AG65-AF65)</f>
        <v/>
      </c>
      <c r="AH194" s="86">
        <f>AH54-AG54-(AH75-AG75+AH65-AG65)</f>
        <v/>
      </c>
      <c r="AI194" s="86">
        <f>AI54-AH54-(AI75-AH75+AI65-AH65)</f>
        <v/>
      </c>
      <c r="AJ194" s="86">
        <f>AJ54-AI54-(AJ75-AI75+AJ65-AI65)</f>
        <v/>
      </c>
      <c r="AK194" s="86">
        <f>AK54-AJ54-(AK75-AJ75+AK65-AJ65)</f>
        <v/>
      </c>
      <c r="AL194" s="86">
        <f>AL54-AK54-(AL75-AK75+AL65-AK65)</f>
        <v/>
      </c>
      <c r="AM194" s="86">
        <f>AM54-AL54-(AM75-AL75+AM65-AL65)</f>
        <v/>
      </c>
      <c r="AN194" s="86">
        <f>AN54-AM54-(AN75-AM75+AN65-AM65)</f>
        <v/>
      </c>
      <c r="AO194" s="86">
        <f>AO54-AN54-(AO75-AN75+AO65-AN65)</f>
        <v/>
      </c>
      <c r="AP194" s="108" t="n"/>
    </row>
    <row r="195">
      <c r="A195" s="74" t="inlineStr">
        <is>
          <t>Increase in investment in JV/Associates</t>
        </is>
      </c>
      <c r="H195" s="86">
        <f>H52-G52</f>
        <v/>
      </c>
      <c r="I195" s="86">
        <f>I52-H52</f>
        <v/>
      </c>
      <c r="J195" s="86">
        <f>J52-I52</f>
        <v/>
      </c>
      <c r="K195" s="86">
        <f>K52-J52</f>
        <v/>
      </c>
      <c r="L195" s="86">
        <f>L52-K52</f>
        <v/>
      </c>
      <c r="M195" s="86" t="n"/>
      <c r="N195" s="166">
        <f>N52-M52</f>
        <v/>
      </c>
      <c r="O195" s="166">
        <f>O52-N52</f>
        <v/>
      </c>
      <c r="P195" s="166">
        <f>P52-O52</f>
        <v/>
      </c>
      <c r="Q195" s="166">
        <f>Q52-P52</f>
        <v/>
      </c>
      <c r="R195" s="166">
        <f>R52-Q52</f>
        <v/>
      </c>
      <c r="S195" s="166">
        <f>S52-R52</f>
        <v/>
      </c>
      <c r="T195" s="166">
        <f>T52-S52</f>
        <v/>
      </c>
      <c r="U195" s="166">
        <f>U52-T52</f>
        <v/>
      </c>
      <c r="V195" s="166">
        <f>V52-U52</f>
        <v/>
      </c>
      <c r="W195" s="166">
        <f>W52-V52</f>
        <v/>
      </c>
      <c r="X195" s="166">
        <f>X52-W52</f>
        <v/>
      </c>
      <c r="Y195" s="166">
        <f>Y52-X52</f>
        <v/>
      </c>
      <c r="Z195" s="166">
        <f>Z52-Y52</f>
        <v/>
      </c>
      <c r="AA195" s="166">
        <f>AA52-Z52</f>
        <v/>
      </c>
      <c r="AB195" s="166">
        <f>AB52-AA52</f>
        <v/>
      </c>
      <c r="AC195" s="166">
        <f>AC52-AB52</f>
        <v/>
      </c>
      <c r="AD195" s="166">
        <f>AD52-AC52</f>
        <v/>
      </c>
      <c r="AE195" s="166">
        <f>AE52-AD52</f>
        <v/>
      </c>
      <c r="AF195" s="166">
        <f>AF52-AE52</f>
        <v/>
      </c>
      <c r="AG195" s="166">
        <f>AG52-AF52</f>
        <v/>
      </c>
      <c r="AH195" s="166">
        <f>AH52-AG52</f>
        <v/>
      </c>
      <c r="AI195" s="166">
        <f>AI52-AH52</f>
        <v/>
      </c>
      <c r="AJ195" s="166">
        <f>AJ52-AI52</f>
        <v/>
      </c>
      <c r="AK195" s="166">
        <f>AK52-AJ52</f>
        <v/>
      </c>
      <c r="AL195" s="166">
        <f>AL52-AK52</f>
        <v/>
      </c>
      <c r="AM195" s="166">
        <f>AM52-AL52</f>
        <v/>
      </c>
      <c r="AN195" s="166">
        <f>AN52-AM52</f>
        <v/>
      </c>
      <c r="AO195" s="166">
        <f>AO52-AN52</f>
        <v/>
      </c>
      <c r="AP195" s="108" t="n"/>
    </row>
    <row r="196">
      <c r="A196" s="74" t="inlineStr">
        <is>
          <t>Capex</t>
        </is>
      </c>
      <c r="D196" s="108" t="n"/>
      <c r="E196" s="108" t="n"/>
      <c r="F196" s="108" t="n"/>
      <c r="G196" s="108" t="n"/>
      <c r="H196" s="108" t="n"/>
      <c r="I196" s="108" t="n"/>
      <c r="J196" s="108" t="n"/>
      <c r="K196" s="108" t="n"/>
      <c r="L196" s="108" t="n"/>
      <c r="M196" s="76" t="n"/>
      <c r="N196" s="86">
        <f>N173</f>
        <v/>
      </c>
      <c r="O196" s="86">
        <f>O173</f>
        <v/>
      </c>
      <c r="P196" s="86">
        <f>P173</f>
        <v/>
      </c>
      <c r="Q196" s="86">
        <f>Q173</f>
        <v/>
      </c>
      <c r="R196" s="86">
        <f>R173</f>
        <v/>
      </c>
      <c r="S196" s="86">
        <f>S173</f>
        <v/>
      </c>
      <c r="T196" s="86">
        <f>T173</f>
        <v/>
      </c>
      <c r="U196" s="86">
        <f>U173</f>
        <v/>
      </c>
      <c r="V196" s="86">
        <f>V173</f>
        <v/>
      </c>
      <c r="W196" s="86">
        <f>W173</f>
        <v/>
      </c>
      <c r="X196" s="86">
        <f>X173</f>
        <v/>
      </c>
      <c r="Y196" s="86">
        <f>Y173</f>
        <v/>
      </c>
      <c r="Z196" s="86">
        <f>Z173</f>
        <v/>
      </c>
      <c r="AA196" s="86">
        <f>AA173</f>
        <v/>
      </c>
      <c r="AB196" s="86">
        <f>AB173</f>
        <v/>
      </c>
      <c r="AC196" s="86">
        <f>AC173</f>
        <v/>
      </c>
      <c r="AD196" s="86">
        <f>AD173</f>
        <v/>
      </c>
      <c r="AE196" s="86">
        <f>AE173</f>
        <v/>
      </c>
      <c r="AF196" s="86">
        <f>AF173</f>
        <v/>
      </c>
      <c r="AG196" s="86">
        <f>AG173</f>
        <v/>
      </c>
      <c r="AH196" s="86">
        <f>AH173</f>
        <v/>
      </c>
      <c r="AI196" s="86">
        <f>AI173</f>
        <v/>
      </c>
      <c r="AJ196" s="86">
        <f>AJ173</f>
        <v/>
      </c>
      <c r="AK196" s="86">
        <f>AK173</f>
        <v/>
      </c>
      <c r="AL196" s="86">
        <f>AL173</f>
        <v/>
      </c>
      <c r="AM196" s="86">
        <f>AM173</f>
        <v/>
      </c>
      <c r="AN196" s="86">
        <f>AN173</f>
        <v/>
      </c>
      <c r="AO196" s="86">
        <f>AO173</f>
        <v/>
      </c>
      <c r="AP196" s="108" t="n"/>
    </row>
    <row r="197">
      <c r="A197" s="40" t="inlineStr">
        <is>
          <t>FCF</t>
        </is>
      </c>
      <c r="B197" s="22" t="n"/>
      <c r="C197" s="22" t="n"/>
      <c r="D197" s="22" t="n"/>
      <c r="E197" s="22" t="n"/>
      <c r="F197" s="128" t="n"/>
      <c r="G197" s="128" t="n"/>
      <c r="H197" s="128" t="n"/>
      <c r="I197" s="128" t="n"/>
      <c r="J197" s="128" t="n"/>
      <c r="K197" s="128" t="n"/>
      <c r="L197" s="128" t="n"/>
      <c r="M197" s="122" t="n"/>
      <c r="N197" s="158">
        <f>N189-N190</f>
        <v/>
      </c>
      <c r="O197" s="158">
        <f>O189-O190</f>
        <v/>
      </c>
      <c r="P197" s="158">
        <f>P189-P190</f>
        <v/>
      </c>
      <c r="Q197" s="158">
        <f>Q189-Q190</f>
        <v/>
      </c>
      <c r="R197" s="158">
        <f>R189-R190</f>
        <v/>
      </c>
      <c r="S197" s="158">
        <f>S189-S190</f>
        <v/>
      </c>
      <c r="T197" s="158">
        <f>T189-T190</f>
        <v/>
      </c>
      <c r="U197" s="158">
        <f>U189-U190</f>
        <v/>
      </c>
      <c r="V197" s="158">
        <f>V189-V190</f>
        <v/>
      </c>
      <c r="W197" s="158">
        <f>W189-W190</f>
        <v/>
      </c>
      <c r="X197" s="158">
        <f>X189-X190</f>
        <v/>
      </c>
      <c r="Y197" s="158">
        <f>Y189-Y190</f>
        <v/>
      </c>
      <c r="Z197" s="158">
        <f>Z189-Z190</f>
        <v/>
      </c>
      <c r="AA197" s="158">
        <f>AA189-AA190</f>
        <v/>
      </c>
      <c r="AB197" s="158">
        <f>AB189-AB190</f>
        <v/>
      </c>
      <c r="AC197" s="158">
        <f>AC189-AC190</f>
        <v/>
      </c>
      <c r="AD197" s="158">
        <f>AD189-AD190</f>
        <v/>
      </c>
      <c r="AE197" s="158">
        <f>AE189-AE190</f>
        <v/>
      </c>
      <c r="AF197" s="158">
        <f>AF189-AF190</f>
        <v/>
      </c>
      <c r="AG197" s="158">
        <f>AG189-AG190</f>
        <v/>
      </c>
      <c r="AH197" s="158">
        <f>AH189-AH190</f>
        <v/>
      </c>
      <c r="AI197" s="158">
        <f>AI189-AI190</f>
        <v/>
      </c>
      <c r="AJ197" s="158">
        <f>AJ189-AJ190</f>
        <v/>
      </c>
      <c r="AK197" s="158">
        <f>AK189-AK190</f>
        <v/>
      </c>
      <c r="AL197" s="158">
        <f>AL189-AL190</f>
        <v/>
      </c>
      <c r="AM197" s="158">
        <f>AM189-AM190</f>
        <v/>
      </c>
      <c r="AN197" s="158">
        <f>AN189-AN190</f>
        <v/>
      </c>
      <c r="AO197" s="158">
        <f>AO189-AO190</f>
        <v/>
      </c>
      <c r="AP197" s="108" t="n"/>
    </row>
    <row r="198" outlineLevel="1">
      <c r="A198" s="106" t="inlineStr">
        <is>
          <t>FCF (alt. NOPLAT - NET CHANGE IN IC)</t>
        </is>
      </c>
      <c r="F198" s="108" t="n"/>
      <c r="G198" s="108" t="n"/>
      <c r="H198" s="108" t="n"/>
      <c r="I198" s="108" t="n"/>
      <c r="J198" s="108" t="n"/>
      <c r="K198" s="108" t="n"/>
      <c r="L198" s="108" t="n"/>
      <c r="M198" s="76" t="n"/>
      <c r="N198" s="159">
        <f>N187-(N182-M182)</f>
        <v/>
      </c>
      <c r="O198" s="159">
        <f>O187-(O182-N182)</f>
        <v/>
      </c>
      <c r="P198" s="159">
        <f>P187-(P182-O182)</f>
        <v/>
      </c>
      <c r="Q198" s="159">
        <f>Q187-(Q182-P182)</f>
        <v/>
      </c>
      <c r="R198" s="159">
        <f>R187-(R182-Q182)</f>
        <v/>
      </c>
      <c r="S198" s="159">
        <f>S187-(S182-R182)</f>
        <v/>
      </c>
      <c r="T198" s="159">
        <f>T187-(T182-S182)</f>
        <v/>
      </c>
      <c r="U198" s="159">
        <f>U187-(U182-T182)</f>
        <v/>
      </c>
      <c r="V198" s="159">
        <f>V187-(V182-U182)</f>
        <v/>
      </c>
      <c r="W198" s="159">
        <f>W187-(W182-V182)</f>
        <v/>
      </c>
      <c r="X198" s="159">
        <f>X187-(X182-W182)</f>
        <v/>
      </c>
      <c r="Y198" s="159">
        <f>Y187-(Y182-X182)</f>
        <v/>
      </c>
      <c r="Z198" s="159">
        <f>Z187-(Z182-Y182)</f>
        <v/>
      </c>
      <c r="AA198" s="159">
        <f>AA187-(AA182-Z182)</f>
        <v/>
      </c>
      <c r="AB198" s="159">
        <f>AB187-(AB182-AA182)</f>
        <v/>
      </c>
      <c r="AC198" s="159">
        <f>AC187-(AC182-AB182)</f>
        <v/>
      </c>
      <c r="AD198" s="159">
        <f>AD187-(AD182-AC182)</f>
        <v/>
      </c>
      <c r="AE198" s="159">
        <f>AE187-(AE182-AD182)</f>
        <v/>
      </c>
      <c r="AF198" s="159">
        <f>AF187-(AF182-AE182)</f>
        <v/>
      </c>
      <c r="AG198" s="159">
        <f>AG187-(AG182-AF182)</f>
        <v/>
      </c>
      <c r="AH198" s="159">
        <f>AH187-(AH182-AG182)</f>
        <v/>
      </c>
      <c r="AI198" s="159">
        <f>AI187-(AI182-AH182)</f>
        <v/>
      </c>
      <c r="AJ198" s="159">
        <f>AJ187-(AJ182-AI182)</f>
        <v/>
      </c>
      <c r="AK198" s="159">
        <f>AK187-(AK182-AJ182)</f>
        <v/>
      </c>
      <c r="AL198" s="159">
        <f>AL187-(AL182-AK182)</f>
        <v/>
      </c>
      <c r="AM198" s="159">
        <f>AM187-(AM182-AL182)</f>
        <v/>
      </c>
      <c r="AN198" s="159">
        <f>AN187-(AN182-AM182)</f>
        <v/>
      </c>
      <c r="AO198" s="159">
        <f>AO187-(AO182-AN182)</f>
        <v/>
      </c>
      <c r="AP198" s="108" t="n"/>
    </row>
    <row r="199" outlineLevel="1">
      <c r="A199" s="22" t="inlineStr">
        <is>
          <t>ROIC including goodwill</t>
        </is>
      </c>
      <c r="M199" s="31" t="n"/>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c r="V199" s="886">
        <f>V187/AVERAGE(U182,V182)*V223</f>
        <v/>
      </c>
      <c r="W199" s="886">
        <f>W187/AVERAGE(V182,W182)*W223</f>
        <v/>
      </c>
      <c r="X199" s="886">
        <f>X187/AVERAGE(W182,X182)*X223</f>
        <v/>
      </c>
      <c r="Y199" s="886">
        <f>Y187/AVERAGE(X182,Y182)*Y223</f>
        <v/>
      </c>
      <c r="Z199" s="886">
        <f>Z187/AVERAGE(Y182,Z182)*Z223</f>
        <v/>
      </c>
      <c r="AA199" s="886">
        <f>AA187/AVERAGE(Z182,AA182)*AA223</f>
        <v/>
      </c>
      <c r="AB199" s="886">
        <f>AB187/AVERAGE(AA182,AB182)*AB223</f>
        <v/>
      </c>
      <c r="AC199" s="886">
        <f>AC187/AVERAGE(AB182,AC182)*AC223</f>
        <v/>
      </c>
      <c r="AD199" s="886">
        <f>AD187/AVERAGE(AC182,AD182)*AD223</f>
        <v/>
      </c>
      <c r="AE199" s="886">
        <f>AE187/AVERAGE(AD182,AE182)*AE223</f>
        <v/>
      </c>
      <c r="AF199" s="886">
        <f>AF187/AVERAGE(AE182,AF182)*AF223</f>
        <v/>
      </c>
      <c r="AG199" s="886">
        <f>AG187/AVERAGE(AF182,AG182)*AG223</f>
        <v/>
      </c>
      <c r="AH199" s="886">
        <f>AH187/AVERAGE(AG182,AH182)*AH223</f>
        <v/>
      </c>
      <c r="AI199" s="886">
        <f>AI187/AVERAGE(AH182,AI182)*AI223</f>
        <v/>
      </c>
      <c r="AJ199" s="886">
        <f>AJ187/AVERAGE(AI182,AJ182)*AJ223</f>
        <v/>
      </c>
      <c r="AK199" s="886">
        <f>AK187/AVERAGE(AJ182,AK182)*AK223</f>
        <v/>
      </c>
      <c r="AL199" s="886">
        <f>AL187/AVERAGE(AK182,AL182)*AL223</f>
        <v/>
      </c>
      <c r="AM199" s="886">
        <f>AM187/AVERAGE(AL182,AM182)*AM223</f>
        <v/>
      </c>
      <c r="AN199" s="886">
        <f>AN187/AVERAGE(AM182,AN182)*AN223</f>
        <v/>
      </c>
      <c r="AO199" s="886">
        <f>AO187/AVERAGE(AN182,AO182)*AO223</f>
        <v/>
      </c>
      <c r="AP199" s="108" t="n"/>
    </row>
    <row r="200" outlineLevel="1">
      <c r="A200" s="22" t="inlineStr">
        <is>
          <t>ROIC excluding goodwill</t>
        </is>
      </c>
      <c r="M200" s="31" t="n"/>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c r="V200" s="887">
        <f>V187/AVERAGE(U183,V183)*V223</f>
        <v/>
      </c>
      <c r="W200" s="887">
        <f>W187/AVERAGE(V183,W183)*W223</f>
        <v/>
      </c>
      <c r="X200" s="887">
        <f>X187/AVERAGE(W183,X183)*X223</f>
        <v/>
      </c>
      <c r="Y200" s="887">
        <f>Y187/AVERAGE(X183,Y183)*Y223</f>
        <v/>
      </c>
      <c r="Z200" s="887">
        <f>Z187/AVERAGE(Y183,Z183)*Z223</f>
        <v/>
      </c>
      <c r="AA200" s="887">
        <f>AA187/AVERAGE(Z183,AA183)*AA223</f>
        <v/>
      </c>
      <c r="AB200" s="887">
        <f>AB187/AVERAGE(AA183,AB183)*AB223</f>
        <v/>
      </c>
      <c r="AC200" s="887">
        <f>AC187/AVERAGE(AB183,AC183)*AC223</f>
        <v/>
      </c>
      <c r="AD200" s="887">
        <f>AD187/AVERAGE(AC183,AD183)*AD223</f>
        <v/>
      </c>
      <c r="AE200" s="887">
        <f>AE187/AVERAGE(AD183,AE183)*AE223</f>
        <v/>
      </c>
      <c r="AF200" s="887">
        <f>AF187/AVERAGE(AE183,AF183)*AF223</f>
        <v/>
      </c>
      <c r="AG200" s="887">
        <f>AG187/AVERAGE(AF183,AG183)*AG223</f>
        <v/>
      </c>
      <c r="AH200" s="887">
        <f>AH187/AVERAGE(AG183,AH183)*AH223</f>
        <v/>
      </c>
      <c r="AI200" s="887">
        <f>AI187/AVERAGE(AH183,AI183)*AI223</f>
        <v/>
      </c>
      <c r="AJ200" s="887">
        <f>AJ187/AVERAGE(AI183,AJ183)*AJ223</f>
        <v/>
      </c>
      <c r="AK200" s="887">
        <f>AK187/AVERAGE(AJ183,AK183)*AK223</f>
        <v/>
      </c>
      <c r="AL200" s="887">
        <f>AL187/AVERAGE(AK183,AL183)*AL223</f>
        <v/>
      </c>
      <c r="AM200" s="887">
        <f>AM187/AVERAGE(AL183,AM183)*AM223</f>
        <v/>
      </c>
      <c r="AN200" s="887">
        <f>AN187/AVERAGE(AM183,AN183)*AN223</f>
        <v/>
      </c>
      <c r="AO200" s="887">
        <f>AO187/AVERAGE(AN183,AO183)*AO223</f>
        <v/>
      </c>
      <c r="AP200" s="108" t="n"/>
    </row>
    <row r="201" outlineLevel="1">
      <c r="A201" s="22" t="inlineStr">
        <is>
          <t>ROE</t>
        </is>
      </c>
      <c r="M201" s="31" t="n"/>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c r="V201" s="882">
        <f>V24/AVERAGE(V92,U92)*V223</f>
        <v/>
      </c>
      <c r="W201" s="882">
        <f>W24/AVERAGE(W92,V92)*W223</f>
        <v/>
      </c>
      <c r="X201" s="882">
        <f>X24/AVERAGE(X92,W92)*X223</f>
        <v/>
      </c>
      <c r="Y201" s="882">
        <f>Y24/AVERAGE(Y92,X92)*Y223</f>
        <v/>
      </c>
      <c r="Z201" s="882">
        <f>Z24/AVERAGE(Z92,Y92)*Z223</f>
        <v/>
      </c>
      <c r="AA201" s="882">
        <f>AA24/AVERAGE(AA92,Z92)*AA223</f>
        <v/>
      </c>
      <c r="AB201" s="882">
        <f>AB24/AVERAGE(AB92,AA92)*AB223</f>
        <v/>
      </c>
      <c r="AC201" s="882">
        <f>AC24/AVERAGE(AC92,AB92)*AC223</f>
        <v/>
      </c>
      <c r="AD201" s="882">
        <f>AD24/AVERAGE(AD92,AC92)*AD223</f>
        <v/>
      </c>
      <c r="AE201" s="882">
        <f>AE24/AVERAGE(AE92,AD92)*AE223</f>
        <v/>
      </c>
      <c r="AF201" s="882">
        <f>AF24/AVERAGE(AF92,AE92)*AF223</f>
        <v/>
      </c>
      <c r="AG201" s="882">
        <f>AG24/AVERAGE(AG92,AF92)*AG223</f>
        <v/>
      </c>
      <c r="AH201" s="882">
        <f>AH24/AVERAGE(AH92,AG92)*AH223</f>
        <v/>
      </c>
      <c r="AI201" s="882">
        <f>AI24/AVERAGE(AI92,AH92)*AI223</f>
        <v/>
      </c>
      <c r="AJ201" s="882">
        <f>AJ24/AVERAGE(AJ92,AI92)*AJ223</f>
        <v/>
      </c>
      <c r="AK201" s="882">
        <f>AK24/AVERAGE(AK92,AJ92)*AK223</f>
        <v/>
      </c>
      <c r="AL201" s="882">
        <f>AL24/AVERAGE(AL92,AK92)*AL223</f>
        <v/>
      </c>
      <c r="AM201" s="882">
        <f>AM24/AVERAGE(AM92,AL92)*AM223</f>
        <v/>
      </c>
      <c r="AN201" s="882">
        <f>AN24/AVERAGE(AN92,AM92)*AN223</f>
        <v/>
      </c>
      <c r="AO201" s="882">
        <f>AO24/AVERAGE(AO92,AN92)*AO223</f>
        <v/>
      </c>
      <c r="AP201" s="108" t="n"/>
    </row>
    <row r="202" outlineLevel="1">
      <c r="A202" s="21" t="inlineStr">
        <is>
          <t>RONIC</t>
        </is>
      </c>
      <c r="M202" s="31" t="n"/>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c r="V202" s="882">
        <f>(V187-U187)/(V182-U182)</f>
        <v/>
      </c>
      <c r="W202" s="882">
        <f>(W187-V187)/(W182-V182)</f>
        <v/>
      </c>
      <c r="X202" s="882">
        <f>(X187-W187)/(X182-W182)</f>
        <v/>
      </c>
      <c r="Y202" s="882">
        <f>(Y187-X187)/(Y182-X182)</f>
        <v/>
      </c>
      <c r="Z202" s="882">
        <f>(Z187-Y187)/(Z182-Y182)</f>
        <v/>
      </c>
      <c r="AA202" s="882">
        <f>(AA187-Z187)/(AA182-Z182)</f>
        <v/>
      </c>
      <c r="AB202" s="882">
        <f>(AB187-AA187)/(AB182-AA182)</f>
        <v/>
      </c>
      <c r="AC202" s="882">
        <f>(AC187-AB187)/(AC182-AB182)</f>
        <v/>
      </c>
      <c r="AD202" s="882">
        <f>(AD187-AC187)/(AD182-AC182)</f>
        <v/>
      </c>
      <c r="AE202" s="882">
        <f>(AE187-AD187)/(AE182-AD182)</f>
        <v/>
      </c>
      <c r="AF202" s="882">
        <f>(AF187-AE187)/(AF182-AE182)</f>
        <v/>
      </c>
      <c r="AG202" s="882">
        <f>(AG187-AF187)/(AG182-AF182)</f>
        <v/>
      </c>
      <c r="AH202" s="882">
        <f>(AH187-AG187)/(AH182-AG182)</f>
        <v/>
      </c>
      <c r="AI202" s="882">
        <f>(AI187-AH187)/(AI182-AH182)</f>
        <v/>
      </c>
      <c r="AJ202" s="882">
        <f>(AJ187-AI187)/(AJ182-AI182)</f>
        <v/>
      </c>
      <c r="AK202" s="882">
        <f>(AK187-AJ187)/(AK182-AJ182)</f>
        <v/>
      </c>
      <c r="AL202" s="882">
        <f>(AL187-AK187)/(AL182-AK182)</f>
        <v/>
      </c>
      <c r="AM202" s="882">
        <f>(AM187-AL187)/(AM182-AL182)</f>
        <v/>
      </c>
      <c r="AN202" s="882">
        <f>(AN187-AM187)/(AN182-AM182)</f>
        <v/>
      </c>
      <c r="AO202" s="882">
        <f>(AO187-AN187)/(AO182-AN182)</f>
        <v/>
      </c>
      <c r="AP202" s="108" t="n"/>
    </row>
    <row r="203" outlineLevel="1">
      <c r="M203" s="31" t="n"/>
      <c r="N203" s="31" t="n"/>
      <c r="O203" s="31" t="n"/>
      <c r="P203" s="31" t="n"/>
      <c r="Q203" s="31" t="n"/>
      <c r="R203" s="31" t="n"/>
      <c r="S203" s="31" t="n"/>
      <c r="T203" s="31" t="n"/>
      <c r="U203" s="31" t="n"/>
      <c r="V203" s="31" t="n"/>
      <c r="W203" s="31" t="n"/>
      <c r="X203" s="31" t="n"/>
      <c r="Y203" s="31" t="n"/>
      <c r="Z203" s="31" t="n"/>
      <c r="AA203" s="31" t="n"/>
      <c r="AB203" s="31" t="n"/>
      <c r="AC203" s="31" t="n"/>
      <c r="AD203" s="31" t="n"/>
      <c r="AE203" s="31" t="n"/>
      <c r="AF203" s="31" t="n"/>
      <c r="AG203" s="31" t="n"/>
      <c r="AH203" s="31" t="n"/>
      <c r="AI203" s="31" t="n"/>
      <c r="AJ203" s="31" t="n"/>
      <c r="AK203" s="31" t="n"/>
      <c r="AL203" s="31" t="n"/>
      <c r="AM203" s="31" t="n"/>
      <c r="AN203" s="31" t="n"/>
      <c r="AO203" s="31" t="n"/>
      <c r="AP203" s="108" t="n"/>
    </row>
    <row r="204" outlineLevel="1">
      <c r="A204" s="105" t="inlineStr">
        <is>
          <t>Working capital</t>
        </is>
      </c>
      <c r="M204" s="31" t="n"/>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c r="V204" s="86">
        <f>V39+V41+V42+V43-V61-V62-V64-V76</f>
        <v/>
      </c>
      <c r="W204" s="86">
        <f>W39+W41+W42+W43-W61-W62-W64-W76</f>
        <v/>
      </c>
      <c r="X204" s="86">
        <f>X39+X41+X42+X43-X61-X62-X64-X76</f>
        <v/>
      </c>
      <c r="Y204" s="86">
        <f>Y39+Y41+Y42+Y43-Y61-Y62-Y64-Y76</f>
        <v/>
      </c>
      <c r="Z204" s="86">
        <f>Z39+Z41+Z42+Z43-Z61-Z62-Z64-Z76</f>
        <v/>
      </c>
      <c r="AA204" s="86">
        <f>AA39+AA41+AA42+AA43-AA61-AA62-AA64-AA76</f>
        <v/>
      </c>
      <c r="AB204" s="86">
        <f>AB39+AB41+AB42+AB43-AB61-AB62-AB64-AB76</f>
        <v/>
      </c>
      <c r="AC204" s="86">
        <f>AC39+AC41+AC42+AC43-AC61-AC62-AC64-AC76</f>
        <v/>
      </c>
      <c r="AD204" s="86">
        <f>AD39+AD41+AD42+AD43-AD61-AD62-AD64-AD76</f>
        <v/>
      </c>
      <c r="AE204" s="86">
        <f>AE39+AE41+AE42+AE43-AE61-AE62-AE64-AE76</f>
        <v/>
      </c>
      <c r="AF204" s="86">
        <f>AF39+AF41+AF42+AF43-AF61-AF62-AF64-AF76</f>
        <v/>
      </c>
      <c r="AG204" s="86">
        <f>AG39+AG41+AG42+AG43-AG61-AG62-AG64-AG76</f>
        <v/>
      </c>
      <c r="AH204" s="86">
        <f>AH39+AH41+AH42+AH43-AH61-AH62-AH64-AH76</f>
        <v/>
      </c>
      <c r="AI204" s="86">
        <f>AI39+AI41+AI42+AI43-AI61-AI62-AI64-AI76</f>
        <v/>
      </c>
      <c r="AJ204" s="86">
        <f>AJ39+AJ41+AJ42+AJ43-AJ61-AJ62-AJ64-AJ76</f>
        <v/>
      </c>
      <c r="AK204" s="86">
        <f>AK39+AK41+AK42+AK43-AK61-AK62-AK64-AK76</f>
        <v/>
      </c>
      <c r="AL204" s="86">
        <f>AL39+AL41+AL42+AL43-AL61-AL62-AL64-AL76</f>
        <v/>
      </c>
      <c r="AM204" s="86">
        <f>AM39+AM41+AM42+AM43-AM61-AM62-AM64-AM76</f>
        <v/>
      </c>
      <c r="AN204" s="86">
        <f>AN39+AN41+AN42+AN43-AN61-AN62-AN64-AN76</f>
        <v/>
      </c>
      <c r="AO204" s="86">
        <f>AO39+AO41+AO42+AO43-AO61-AO62-AO64-AO76</f>
        <v/>
      </c>
      <c r="AP204" s="108" t="n"/>
    </row>
    <row r="205" outlineLevel="1">
      <c r="A205" s="74" t="inlineStr">
        <is>
          <t>% of invested capital excluding goodwill</t>
        </is>
      </c>
      <c r="M205" s="31" t="n"/>
      <c r="N205" s="882">
        <f>N204/N$183</f>
        <v/>
      </c>
      <c r="O205" s="882">
        <f>O204/O$183</f>
        <v/>
      </c>
      <c r="P205" s="882">
        <f>P204/P$183</f>
        <v/>
      </c>
      <c r="Q205" s="882">
        <f>Q204/Q$183</f>
        <v/>
      </c>
      <c r="R205" s="882">
        <f>R204/R$183</f>
        <v/>
      </c>
      <c r="S205" s="882">
        <f>S204/S$183</f>
        <v/>
      </c>
      <c r="T205" s="882">
        <f>T204/T$183</f>
        <v/>
      </c>
      <c r="U205" s="882">
        <f>U204/U$183</f>
        <v/>
      </c>
      <c r="V205" s="882">
        <f>V204/V$183</f>
        <v/>
      </c>
      <c r="W205" s="882">
        <f>W204/W$183</f>
        <v/>
      </c>
      <c r="X205" s="882">
        <f>X204/X$183</f>
        <v/>
      </c>
      <c r="Y205" s="882">
        <f>Y204/Y$183</f>
        <v/>
      </c>
      <c r="Z205" s="882">
        <f>Z204/Z$183</f>
        <v/>
      </c>
      <c r="AA205" s="882">
        <f>AA204/AA$183</f>
        <v/>
      </c>
      <c r="AB205" s="882">
        <f>AB204/AB$183</f>
        <v/>
      </c>
      <c r="AC205" s="882">
        <f>AC204/AC$183</f>
        <v/>
      </c>
      <c r="AD205" s="882">
        <f>AD204/AD$183</f>
        <v/>
      </c>
      <c r="AE205" s="882">
        <f>AE204/AE$183</f>
        <v/>
      </c>
      <c r="AF205" s="882">
        <f>AF204/AF$183</f>
        <v/>
      </c>
      <c r="AG205" s="882">
        <f>AG204/AG$183</f>
        <v/>
      </c>
      <c r="AH205" s="882">
        <f>AH204/AH$183</f>
        <v/>
      </c>
      <c r="AI205" s="882">
        <f>AI204/AI$183</f>
        <v/>
      </c>
      <c r="AJ205" s="882">
        <f>AJ204/AJ$183</f>
        <v/>
      </c>
      <c r="AK205" s="882">
        <f>AK204/AK$183</f>
        <v/>
      </c>
      <c r="AL205" s="882">
        <f>AL204/AL$183</f>
        <v/>
      </c>
      <c r="AM205" s="882">
        <f>AM204/AM$183</f>
        <v/>
      </c>
      <c r="AN205" s="882">
        <f>AN204/AN$183</f>
        <v/>
      </c>
      <c r="AO205" s="882">
        <f>AO204/AO$183</f>
        <v/>
      </c>
      <c r="AP205" s="108" t="n"/>
    </row>
    <row r="206" outlineLevel="1">
      <c r="A206" s="105" t="inlineStr">
        <is>
          <t>PPE</t>
        </is>
      </c>
      <c r="M206" s="31" t="n"/>
      <c r="N206" s="86">
        <f>N48</f>
        <v/>
      </c>
      <c r="O206" s="86">
        <f>O48</f>
        <v/>
      </c>
      <c r="P206" s="86">
        <f>P48</f>
        <v/>
      </c>
      <c r="Q206" s="86">
        <f>Q48</f>
        <v/>
      </c>
      <c r="R206" s="86">
        <f>R48</f>
        <v/>
      </c>
      <c r="S206" s="86">
        <f>S48</f>
        <v/>
      </c>
      <c r="T206" s="86">
        <f>T48</f>
        <v/>
      </c>
      <c r="U206" s="86">
        <f>U48</f>
        <v/>
      </c>
      <c r="V206" s="86">
        <f>V48</f>
        <v/>
      </c>
      <c r="W206" s="86">
        <f>W48</f>
        <v/>
      </c>
      <c r="X206" s="86">
        <f>X48</f>
        <v/>
      </c>
      <c r="Y206" s="86">
        <f>Y48</f>
        <v/>
      </c>
      <c r="Z206" s="86">
        <f>Z48</f>
        <v/>
      </c>
      <c r="AA206" s="86">
        <f>AA48</f>
        <v/>
      </c>
      <c r="AB206" s="86">
        <f>AB48</f>
        <v/>
      </c>
      <c r="AC206" s="86">
        <f>AC48</f>
        <v/>
      </c>
      <c r="AD206" s="86">
        <f>AD48</f>
        <v/>
      </c>
      <c r="AE206" s="86">
        <f>AE48</f>
        <v/>
      </c>
      <c r="AF206" s="86">
        <f>AF48</f>
        <v/>
      </c>
      <c r="AG206" s="86">
        <f>AG48</f>
        <v/>
      </c>
      <c r="AH206" s="86">
        <f>AH48</f>
        <v/>
      </c>
      <c r="AI206" s="86">
        <f>AI48</f>
        <v/>
      </c>
      <c r="AJ206" s="86">
        <f>AJ48</f>
        <v/>
      </c>
      <c r="AK206" s="86">
        <f>AK48</f>
        <v/>
      </c>
      <c r="AL206" s="86">
        <f>AL48</f>
        <v/>
      </c>
      <c r="AM206" s="86">
        <f>AM48</f>
        <v/>
      </c>
      <c r="AN206" s="86">
        <f>AN48</f>
        <v/>
      </c>
      <c r="AO206" s="86">
        <f>AO48</f>
        <v/>
      </c>
      <c r="AP206" s="108" t="n"/>
    </row>
    <row r="207" outlineLevel="1">
      <c r="A207" s="74" t="inlineStr">
        <is>
          <t>% of invested capital excluding goodwill</t>
        </is>
      </c>
      <c r="M207" s="31" t="n"/>
      <c r="N207" s="882">
        <f>N206/N$183</f>
        <v/>
      </c>
      <c r="O207" s="882">
        <f>O206/O$183</f>
        <v/>
      </c>
      <c r="P207" s="882">
        <f>P206/P$183</f>
        <v/>
      </c>
      <c r="Q207" s="882">
        <f>Q206/Q$183</f>
        <v/>
      </c>
      <c r="R207" s="882">
        <f>R206/R$183</f>
        <v/>
      </c>
      <c r="S207" s="882">
        <f>S206/S$183</f>
        <v/>
      </c>
      <c r="T207" s="882">
        <f>T206/T$183</f>
        <v/>
      </c>
      <c r="U207" s="882">
        <f>U206/U$183</f>
        <v/>
      </c>
      <c r="V207" s="882">
        <f>V206/V$183</f>
        <v/>
      </c>
      <c r="W207" s="882">
        <f>W206/W$183</f>
        <v/>
      </c>
      <c r="X207" s="882">
        <f>X206/X$183</f>
        <v/>
      </c>
      <c r="Y207" s="882">
        <f>Y206/Y$183</f>
        <v/>
      </c>
      <c r="Z207" s="882">
        <f>Z206/Z$183</f>
        <v/>
      </c>
      <c r="AA207" s="882">
        <f>AA206/AA$183</f>
        <v/>
      </c>
      <c r="AB207" s="882">
        <f>AB206/AB$183</f>
        <v/>
      </c>
      <c r="AC207" s="882">
        <f>AC206/AC$183</f>
        <v/>
      </c>
      <c r="AD207" s="882">
        <f>AD206/AD$183</f>
        <v/>
      </c>
      <c r="AE207" s="882">
        <f>AE206/AE$183</f>
        <v/>
      </c>
      <c r="AF207" s="882">
        <f>AF206/AF$183</f>
        <v/>
      </c>
      <c r="AG207" s="882">
        <f>AG206/AG$183</f>
        <v/>
      </c>
      <c r="AH207" s="882">
        <f>AH206/AH$183</f>
        <v/>
      </c>
      <c r="AI207" s="882">
        <f>AI206/AI$183</f>
        <v/>
      </c>
      <c r="AJ207" s="882">
        <f>AJ206/AJ$183</f>
        <v/>
      </c>
      <c r="AK207" s="882">
        <f>AK206/AK$183</f>
        <v/>
      </c>
      <c r="AL207" s="882">
        <f>AL206/AL$183</f>
        <v/>
      </c>
      <c r="AM207" s="882">
        <f>AM206/AM$183</f>
        <v/>
      </c>
      <c r="AN207" s="882">
        <f>AN206/AN$183</f>
        <v/>
      </c>
      <c r="AO207" s="882">
        <f>AO206/AO$183</f>
        <v/>
      </c>
      <c r="AP207" s="108" t="n"/>
    </row>
    <row r="208" outlineLevel="1">
      <c r="A208" s="105" t="inlineStr">
        <is>
          <t>Prepaid land lease and other intangible</t>
        </is>
      </c>
      <c r="M208" s="31" t="n"/>
      <c r="N208" s="86">
        <f>N51+N49</f>
        <v/>
      </c>
      <c r="O208" s="86">
        <f>O51+O49</f>
        <v/>
      </c>
      <c r="P208" s="86">
        <f>P51+P49</f>
        <v/>
      </c>
      <c r="Q208" s="86">
        <f>Q51+Q49</f>
        <v/>
      </c>
      <c r="R208" s="86">
        <f>R51+R49</f>
        <v/>
      </c>
      <c r="S208" s="86">
        <f>S51+S49</f>
        <v/>
      </c>
      <c r="T208" s="86">
        <f>T51+T49</f>
        <v/>
      </c>
      <c r="U208" s="86">
        <f>U51+U49</f>
        <v/>
      </c>
      <c r="V208" s="86">
        <f>V51+V49</f>
        <v/>
      </c>
      <c r="W208" s="86">
        <f>W51+W49</f>
        <v/>
      </c>
      <c r="X208" s="86">
        <f>X51+X49</f>
        <v/>
      </c>
      <c r="Y208" s="86">
        <f>Y51+Y49</f>
        <v/>
      </c>
      <c r="Z208" s="86">
        <f>Z51+Z49</f>
        <v/>
      </c>
      <c r="AA208" s="86">
        <f>AA51+AA49</f>
        <v/>
      </c>
      <c r="AB208" s="86">
        <f>AB51+AB49</f>
        <v/>
      </c>
      <c r="AC208" s="86">
        <f>AC51+AC49</f>
        <v/>
      </c>
      <c r="AD208" s="86">
        <f>AD51+AD49</f>
        <v/>
      </c>
      <c r="AE208" s="86">
        <f>AE51+AE49</f>
        <v/>
      </c>
      <c r="AF208" s="86">
        <f>AF51+AF49</f>
        <v/>
      </c>
      <c r="AG208" s="86">
        <f>AG51+AG49</f>
        <v/>
      </c>
      <c r="AH208" s="86">
        <f>AH51+AH49</f>
        <v/>
      </c>
      <c r="AI208" s="86">
        <f>AI51+AI49</f>
        <v/>
      </c>
      <c r="AJ208" s="86">
        <f>AJ51+AJ49</f>
        <v/>
      </c>
      <c r="AK208" s="86">
        <f>AK51+AK49</f>
        <v/>
      </c>
      <c r="AL208" s="86">
        <f>AL51+AL49</f>
        <v/>
      </c>
      <c r="AM208" s="86">
        <f>AM51+AM49</f>
        <v/>
      </c>
      <c r="AN208" s="86">
        <f>AN51+AN49</f>
        <v/>
      </c>
      <c r="AO208" s="86">
        <f>AO51+AO49</f>
        <v/>
      </c>
      <c r="AP208" s="108" t="n"/>
    </row>
    <row r="209" outlineLevel="1">
      <c r="A209" s="74" t="inlineStr">
        <is>
          <t>% of invested capital excluding goodwill</t>
        </is>
      </c>
      <c r="M209" s="31" t="n"/>
      <c r="N209" s="882">
        <f>N208/N$183</f>
        <v/>
      </c>
      <c r="O209" s="882">
        <f>O208/O$183</f>
        <v/>
      </c>
      <c r="P209" s="882">
        <f>P208/P$183</f>
        <v/>
      </c>
      <c r="Q209" s="882">
        <f>Q208/Q$183</f>
        <v/>
      </c>
      <c r="R209" s="882">
        <f>R208/R$183</f>
        <v/>
      </c>
      <c r="S209" s="882">
        <f>S208/S$183</f>
        <v/>
      </c>
      <c r="T209" s="882">
        <f>T208/T$183</f>
        <v/>
      </c>
      <c r="U209" s="882">
        <f>U208/U$183</f>
        <v/>
      </c>
      <c r="V209" s="882">
        <f>V208/V$183</f>
        <v/>
      </c>
      <c r="W209" s="882">
        <f>W208/W$183</f>
        <v/>
      </c>
      <c r="X209" s="882">
        <f>X208/X$183</f>
        <v/>
      </c>
      <c r="Y209" s="882">
        <f>Y208/Y$183</f>
        <v/>
      </c>
      <c r="Z209" s="882">
        <f>Z208/Z$183</f>
        <v/>
      </c>
      <c r="AA209" s="882">
        <f>AA208/AA$183</f>
        <v/>
      </c>
      <c r="AB209" s="882">
        <f>AB208/AB$183</f>
        <v/>
      </c>
      <c r="AC209" s="882">
        <f>AC208/AC$183</f>
        <v/>
      </c>
      <c r="AD209" s="882">
        <f>AD208/AD$183</f>
        <v/>
      </c>
      <c r="AE209" s="882">
        <f>AE208/AE$183</f>
        <v/>
      </c>
      <c r="AF209" s="882">
        <f>AF208/AF$183</f>
        <v/>
      </c>
      <c r="AG209" s="882">
        <f>AG208/AG$183</f>
        <v/>
      </c>
      <c r="AH209" s="882">
        <f>AH208/AH$183</f>
        <v/>
      </c>
      <c r="AI209" s="882">
        <f>AI208/AI$183</f>
        <v/>
      </c>
      <c r="AJ209" s="882">
        <f>AJ208/AJ$183</f>
        <v/>
      </c>
      <c r="AK209" s="882">
        <f>AK208/AK$183</f>
        <v/>
      </c>
      <c r="AL209" s="882">
        <f>AL208/AL$183</f>
        <v/>
      </c>
      <c r="AM209" s="882">
        <f>AM208/AM$183</f>
        <v/>
      </c>
      <c r="AN209" s="882">
        <f>AN208/AN$183</f>
        <v/>
      </c>
      <c r="AO209" s="882">
        <f>AO208/AO$183</f>
        <v/>
      </c>
      <c r="AP209" s="108" t="n"/>
    </row>
    <row r="210" outlineLevel="1">
      <c r="A210" s="105" t="inlineStr">
        <is>
          <t>Working cash</t>
        </is>
      </c>
      <c r="M210" s="31" t="n"/>
      <c r="N210" s="86">
        <f>N158+N53</f>
        <v/>
      </c>
      <c r="O210" s="86">
        <f>O158+O53</f>
        <v/>
      </c>
      <c r="P210" s="86">
        <f>P158+P53</f>
        <v/>
      </c>
      <c r="Q210" s="86">
        <f>Q158+Q53</f>
        <v/>
      </c>
      <c r="R210" s="86">
        <f>R158+R53</f>
        <v/>
      </c>
      <c r="S210" s="86">
        <f>S158+S53</f>
        <v/>
      </c>
      <c r="T210" s="86">
        <f>T158+T53</f>
        <v/>
      </c>
      <c r="U210" s="86">
        <f>U158+U53</f>
        <v/>
      </c>
      <c r="V210" s="86">
        <f>V158+V53</f>
        <v/>
      </c>
      <c r="W210" s="86">
        <f>W158+W53</f>
        <v/>
      </c>
      <c r="X210" s="86">
        <f>X158+X53</f>
        <v/>
      </c>
      <c r="Y210" s="86">
        <f>Y158+Y53</f>
        <v/>
      </c>
      <c r="Z210" s="86">
        <f>Z158+Z53</f>
        <v/>
      </c>
      <c r="AA210" s="86">
        <f>AA158+AA53</f>
        <v/>
      </c>
      <c r="AB210" s="86">
        <f>AB158+AB53</f>
        <v/>
      </c>
      <c r="AC210" s="86">
        <f>AC158+AC53</f>
        <v/>
      </c>
      <c r="AD210" s="86">
        <f>AD158+AD53</f>
        <v/>
      </c>
      <c r="AE210" s="86">
        <f>AE158+AE53</f>
        <v/>
      </c>
      <c r="AF210" s="86">
        <f>AF158+AF53</f>
        <v/>
      </c>
      <c r="AG210" s="86">
        <f>AG158+AG53</f>
        <v/>
      </c>
      <c r="AH210" s="86">
        <f>AH158+AH53</f>
        <v/>
      </c>
      <c r="AI210" s="86">
        <f>AI158+AI53</f>
        <v/>
      </c>
      <c r="AJ210" s="86">
        <f>AJ158+AJ53</f>
        <v/>
      </c>
      <c r="AK210" s="86">
        <f>AK158+AK53</f>
        <v/>
      </c>
      <c r="AL210" s="86">
        <f>AL158+AL53</f>
        <v/>
      </c>
      <c r="AM210" s="86">
        <f>AM158+AM53</f>
        <v/>
      </c>
      <c r="AN210" s="86">
        <f>AN158+AN53</f>
        <v/>
      </c>
      <c r="AO210" s="86">
        <f>AO158+AO53</f>
        <v/>
      </c>
      <c r="AP210" s="108" t="n"/>
    </row>
    <row r="211" outlineLevel="1">
      <c r="A211" s="74" t="inlineStr">
        <is>
          <t>% of invested capital excluding goodwill</t>
        </is>
      </c>
      <c r="M211" s="31" t="n"/>
      <c r="N211" s="882">
        <f>N210/N$183</f>
        <v/>
      </c>
      <c r="O211" s="882">
        <f>O210/O$183</f>
        <v/>
      </c>
      <c r="P211" s="882">
        <f>P210/P$183</f>
        <v/>
      </c>
      <c r="Q211" s="882">
        <f>Q210/Q$183</f>
        <v/>
      </c>
      <c r="R211" s="882">
        <f>R210/R$183</f>
        <v/>
      </c>
      <c r="S211" s="882">
        <f>S210/S$183</f>
        <v/>
      </c>
      <c r="T211" s="882">
        <f>T210/T$183</f>
        <v/>
      </c>
      <c r="U211" s="882">
        <f>U210/U$183</f>
        <v/>
      </c>
      <c r="V211" s="882">
        <f>V210/V$183</f>
        <v/>
      </c>
      <c r="W211" s="882">
        <f>W210/W$183</f>
        <v/>
      </c>
      <c r="X211" s="882">
        <f>X210/X$183</f>
        <v/>
      </c>
      <c r="Y211" s="882">
        <f>Y210/Y$183</f>
        <v/>
      </c>
      <c r="Z211" s="882">
        <f>Z210/Z$183</f>
        <v/>
      </c>
      <c r="AA211" s="882">
        <f>AA210/AA$183</f>
        <v/>
      </c>
      <c r="AB211" s="882">
        <f>AB210/AB$183</f>
        <v/>
      </c>
      <c r="AC211" s="882">
        <f>AC210/AC$183</f>
        <v/>
      </c>
      <c r="AD211" s="882">
        <f>AD210/AD$183</f>
        <v/>
      </c>
      <c r="AE211" s="882">
        <f>AE210/AE$183</f>
        <v/>
      </c>
      <c r="AF211" s="882">
        <f>AF210/AF$183</f>
        <v/>
      </c>
      <c r="AG211" s="882">
        <f>AG210/AG$183</f>
        <v/>
      </c>
      <c r="AH211" s="882">
        <f>AH210/AH$183</f>
        <v/>
      </c>
      <c r="AI211" s="882">
        <f>AI210/AI$183</f>
        <v/>
      </c>
      <c r="AJ211" s="882">
        <f>AJ210/AJ$183</f>
        <v/>
      </c>
      <c r="AK211" s="882">
        <f>AK210/AK$183</f>
        <v/>
      </c>
      <c r="AL211" s="882">
        <f>AL210/AL$183</f>
        <v/>
      </c>
      <c r="AM211" s="882">
        <f>AM210/AM$183</f>
        <v/>
      </c>
      <c r="AN211" s="882">
        <f>AN210/AN$183</f>
        <v/>
      </c>
      <c r="AO211" s="882">
        <f>AO210/AO$183</f>
        <v/>
      </c>
      <c r="AP211" s="108" t="n"/>
    </row>
    <row r="212" outlineLevel="1">
      <c r="A212" s="105" t="inlineStr">
        <is>
          <t>Others</t>
        </is>
      </c>
      <c r="M212" s="31" t="n"/>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c r="V212" s="883">
        <f>1-V205-V207-V209-V211</f>
        <v/>
      </c>
      <c r="W212" s="883">
        <f>1-W205-W207-W209-W211</f>
        <v/>
      </c>
      <c r="X212" s="883">
        <f>1-X205-X207-X209-X211</f>
        <v/>
      </c>
      <c r="Y212" s="883">
        <f>1-Y205-Y207-Y209-Y211</f>
        <v/>
      </c>
      <c r="Z212" s="883">
        <f>1-Z205-Z207-Z209-Z211</f>
        <v/>
      </c>
      <c r="AA212" s="883">
        <f>1-AA205-AA207-AA209-AA211</f>
        <v/>
      </c>
      <c r="AB212" s="883">
        <f>1-AB205-AB207-AB209-AB211</f>
        <v/>
      </c>
      <c r="AC212" s="883">
        <f>1-AC205-AC207-AC209-AC211</f>
        <v/>
      </c>
      <c r="AD212" s="883">
        <f>1-AD205-AD207-AD209-AD211</f>
        <v/>
      </c>
      <c r="AE212" s="883">
        <f>1-AE205-AE207-AE209-AE211</f>
        <v/>
      </c>
      <c r="AF212" s="883">
        <f>1-AF205-AF207-AF209-AF211</f>
        <v/>
      </c>
      <c r="AG212" s="883">
        <f>1-AG205-AG207-AG209-AG211</f>
        <v/>
      </c>
      <c r="AH212" s="883">
        <f>1-AH205-AH207-AH209-AH211</f>
        <v/>
      </c>
      <c r="AI212" s="883">
        <f>1-AI205-AI207-AI209-AI211</f>
        <v/>
      </c>
      <c r="AJ212" s="883">
        <f>1-AJ205-AJ207-AJ209-AJ211</f>
        <v/>
      </c>
      <c r="AK212" s="883">
        <f>1-AK205-AK207-AK209-AK211</f>
        <v/>
      </c>
      <c r="AL212" s="883">
        <f>1-AL205-AL207-AL209-AL211</f>
        <v/>
      </c>
      <c r="AM212" s="883">
        <f>1-AM205-AM207-AM209-AM211</f>
        <v/>
      </c>
      <c r="AN212" s="883">
        <f>1-AN205-AN207-AN209-AN211</f>
        <v/>
      </c>
      <c r="AO212" s="883">
        <f>1-AO205-AO207-AO209-AO211</f>
        <v/>
      </c>
      <c r="AP212" s="108" t="n"/>
    </row>
    <row r="213" outlineLevel="1">
      <c r="M213" s="31" t="n"/>
      <c r="N213" s="31" t="n"/>
      <c r="O213" s="31" t="n"/>
      <c r="P213" s="31" t="n"/>
      <c r="Q213" s="31" t="n"/>
      <c r="R213" s="31" t="n"/>
      <c r="S213" s="31" t="n"/>
      <c r="T213" s="31" t="n"/>
      <c r="U213" s="31" t="n"/>
      <c r="V213" s="31" t="n"/>
      <c r="W213" s="31" t="n"/>
      <c r="X213" s="31" t="n"/>
      <c r="Y213" s="31" t="n"/>
      <c r="Z213" s="31" t="n"/>
      <c r="AA213" s="31" t="n"/>
      <c r="AB213" s="31" t="n"/>
      <c r="AC213" s="31" t="n"/>
      <c r="AD213" s="31" t="n"/>
      <c r="AE213" s="31" t="n"/>
      <c r="AF213" s="31" t="n"/>
      <c r="AG213" s="31" t="n"/>
      <c r="AH213" s="31" t="n"/>
      <c r="AI213" s="31" t="n"/>
      <c r="AJ213" s="31" t="n"/>
      <c r="AK213" s="31" t="n"/>
      <c r="AL213" s="31" t="n"/>
      <c r="AM213" s="31" t="n"/>
      <c r="AN213" s="31" t="n"/>
      <c r="AO213" s="31" t="n"/>
    </row>
    <row r="214" outlineLevel="1">
      <c r="M214" s="31" t="n"/>
      <c r="N214" s="31" t="n"/>
      <c r="O214" s="31" t="n"/>
      <c r="P214" s="31" t="n"/>
      <c r="Q214" s="31" t="n"/>
      <c r="R214" s="31" t="n"/>
      <c r="S214" s="31" t="n"/>
      <c r="T214" s="31" t="n"/>
      <c r="U214" s="31" t="n"/>
      <c r="V214" s="31" t="n"/>
      <c r="W214" s="31" t="n"/>
      <c r="X214" s="31" t="n"/>
      <c r="Y214" s="31" t="n"/>
      <c r="Z214" s="31" t="n"/>
      <c r="AA214" s="31" t="n"/>
      <c r="AB214" s="31" t="n"/>
      <c r="AC214" s="31" t="n"/>
      <c r="AD214" s="31" t="n"/>
      <c r="AE214" s="31" t="n"/>
      <c r="AF214" s="31" t="n"/>
      <c r="AG214" s="31" t="n"/>
      <c r="AH214" s="31" t="n"/>
      <c r="AI214" s="31" t="n"/>
      <c r="AJ214" s="31" t="n"/>
      <c r="AK214" s="31" t="n"/>
      <c r="AL214" s="31" t="n"/>
      <c r="AM214" s="31" t="n"/>
      <c r="AN214" s="31" t="n"/>
      <c r="AO214" s="31" t="n"/>
    </row>
    <row r="215" outlineLevel="1">
      <c r="M215" s="31" t="n"/>
      <c r="N215" s="31" t="n"/>
      <c r="O215" s="31" t="n"/>
      <c r="P215" s="31" t="n"/>
      <c r="Q215" s="31" t="n"/>
      <c r="R215" s="31" t="n"/>
      <c r="S215" s="31" t="n"/>
      <c r="T215" s="31" t="n"/>
      <c r="U215" s="31" t="n"/>
      <c r="V215" s="31" t="n"/>
      <c r="W215" s="31" t="n"/>
      <c r="X215" s="31" t="n"/>
      <c r="Y215" s="31" t="n"/>
      <c r="Z215" s="31" t="n"/>
      <c r="AA215" s="31" t="n"/>
      <c r="AB215" s="31" t="n"/>
      <c r="AC215" s="31" t="n"/>
      <c r="AD215" s="31" t="n"/>
      <c r="AE215" s="31" t="n"/>
      <c r="AF215" s="31" t="n"/>
      <c r="AG215" s="31" t="n"/>
      <c r="AH215" s="31" t="n"/>
      <c r="AI215" s="31" t="n"/>
      <c r="AJ215" s="31" t="n"/>
      <c r="AK215" s="31" t="n"/>
      <c r="AL215" s="31" t="n"/>
      <c r="AM215" s="31" t="n"/>
      <c r="AN215" s="31" t="n"/>
      <c r="AO215" s="31" t="n"/>
    </row>
    <row r="216" outlineLevel="1">
      <c r="A216" s="81" t="inlineStr">
        <is>
          <t>Annualization - Half</t>
        </is>
      </c>
      <c r="M216" s="31" t="n"/>
      <c r="N216" s="31" t="n"/>
      <c r="O216" s="31" t="n"/>
      <c r="P216" s="31" t="n"/>
      <c r="Q216" s="31" t="n"/>
      <c r="R216" s="31" t="n"/>
      <c r="S216" s="31" t="n"/>
      <c r="T216" s="31" t="n"/>
      <c r="U216" s="31" t="n"/>
      <c r="V216" s="31" t="n"/>
      <c r="W216" s="31" t="n"/>
      <c r="X216" s="31" t="n"/>
      <c r="Y216" s="31" t="n"/>
      <c r="Z216" s="31" t="n"/>
      <c r="AA216" s="31" t="n"/>
      <c r="AB216" s="31" t="n"/>
      <c r="AC216" s="31" t="n"/>
      <c r="AD216" s="31" t="n"/>
      <c r="AE216" s="31" t="n"/>
      <c r="AF216" s="31" t="n"/>
      <c r="AG216" s="31" t="n"/>
      <c r="AH216" s="31" t="n"/>
      <c r="AI216" s="31" t="n"/>
      <c r="AJ216" s="31" t="n"/>
      <c r="AK216" s="31" t="n"/>
      <c r="AL216" s="31" t="n"/>
      <c r="AM216" s="31" t="n"/>
      <c r="AN216" s="31" t="n"/>
      <c r="AO216" s="31" t="n"/>
    </row>
    <row r="217" outlineLevel="1">
      <c r="A217" s="44" t="inlineStr">
        <is>
          <t>Period Start</t>
        </is>
      </c>
      <c r="B217" s="46">
        <f>DATE(Assumption!#REF!,1,1)</f>
        <v/>
      </c>
      <c r="C217" s="46">
        <f>+B218+1</f>
        <v/>
      </c>
      <c r="D217" s="46">
        <f>+C218+1</f>
        <v/>
      </c>
      <c r="E217" s="46">
        <f>+D218+1</f>
        <v/>
      </c>
      <c r="F217" s="46">
        <f>+E218+1</f>
        <v/>
      </c>
      <c r="G217" s="46">
        <f>+F218+1</f>
        <v/>
      </c>
      <c r="H217" s="46">
        <f>+G218+1</f>
        <v/>
      </c>
      <c r="I217" s="46">
        <f>+H218+1</f>
        <v/>
      </c>
      <c r="J217" s="46">
        <f>+I218+1</f>
        <v/>
      </c>
      <c r="K217" s="46">
        <f>+J218+1</f>
        <v/>
      </c>
      <c r="L217" s="46">
        <f>+K218+1</f>
        <v/>
      </c>
      <c r="M217" s="162">
        <f>+L218+1</f>
        <v/>
      </c>
      <c r="N217" s="162">
        <f>+M218+1</f>
        <v/>
      </c>
      <c r="O217" s="162">
        <f>+N218+1</f>
        <v/>
      </c>
      <c r="P217" s="162">
        <f>+O218+1</f>
        <v/>
      </c>
      <c r="Q217" s="162">
        <f>+P218+1</f>
        <v/>
      </c>
      <c r="R217" s="162">
        <f>+Q218+1</f>
        <v/>
      </c>
      <c r="S217" s="162">
        <f>+R218+1</f>
        <v/>
      </c>
      <c r="T217" s="162">
        <f>+S218+1</f>
        <v/>
      </c>
      <c r="U217" s="162">
        <f>+T218+1</f>
        <v/>
      </c>
      <c r="V217" s="162">
        <f>+U218+1</f>
        <v/>
      </c>
      <c r="W217" s="162">
        <f>+V218+1</f>
        <v/>
      </c>
      <c r="X217" s="162">
        <f>+W218+1</f>
        <v/>
      </c>
      <c r="Y217" s="162">
        <f>+X218+1</f>
        <v/>
      </c>
      <c r="Z217" s="162">
        <f>+Y218+1</f>
        <v/>
      </c>
      <c r="AA217" s="162">
        <f>+Z218+1</f>
        <v/>
      </c>
      <c r="AB217" s="162">
        <f>+AA218+1</f>
        <v/>
      </c>
      <c r="AC217" s="162">
        <f>+AB218+1</f>
        <v/>
      </c>
      <c r="AD217" s="162">
        <f>+AC218+1</f>
        <v/>
      </c>
      <c r="AE217" s="162">
        <f>+AD218+1</f>
        <v/>
      </c>
      <c r="AF217" s="162">
        <f>+AE218+1</f>
        <v/>
      </c>
      <c r="AG217" s="162">
        <f>+AF218+1</f>
        <v/>
      </c>
      <c r="AH217" s="162">
        <f>+AG218+1</f>
        <v/>
      </c>
      <c r="AI217" s="162">
        <f>+AH218+1</f>
        <v/>
      </c>
      <c r="AJ217" s="162">
        <f>+AI218+1</f>
        <v/>
      </c>
      <c r="AK217" s="162">
        <f>+AJ218+1</f>
        <v/>
      </c>
      <c r="AL217" s="162">
        <f>+AK218+1</f>
        <v/>
      </c>
      <c r="AM217" s="162">
        <f>+AL218+1</f>
        <v/>
      </c>
      <c r="AN217" s="162">
        <f>+AM218+1</f>
        <v/>
      </c>
      <c r="AO217" s="162">
        <f>+AN218+1</f>
        <v/>
      </c>
    </row>
    <row r="218" outlineLevel="1">
      <c r="A218" s="44" t="inlineStr">
        <is>
          <t>Period Ends</t>
        </is>
      </c>
      <c r="B218" s="46">
        <f>EOMONTH(B217,5)</f>
        <v/>
      </c>
      <c r="C218" s="46">
        <f>EOMONTH(C217,5)</f>
        <v/>
      </c>
      <c r="D218" s="46">
        <f>EOMONTH(D217,5)</f>
        <v/>
      </c>
      <c r="E218" s="46">
        <f>EOMONTH(E217,5)</f>
        <v/>
      </c>
      <c r="F218" s="46">
        <f>EOMONTH(F217,5)</f>
        <v/>
      </c>
      <c r="G218" s="46">
        <f>EOMONTH(G217,5)</f>
        <v/>
      </c>
      <c r="H218" s="46">
        <f>EOMONTH(H217,5)</f>
        <v/>
      </c>
      <c r="I218" s="46">
        <f>EOMONTH(I217,5)</f>
        <v/>
      </c>
      <c r="J218" s="46">
        <f>EOMONTH(J217,5)</f>
        <v/>
      </c>
      <c r="K218" s="46">
        <f>EOMONTH(K217,5)</f>
        <v/>
      </c>
      <c r="L218" s="46">
        <f>EOMONTH(L217,5)</f>
        <v/>
      </c>
      <c r="M218" s="162">
        <f>EOMONTH(M217,5)</f>
        <v/>
      </c>
      <c r="N218" s="162">
        <f>EOMONTH(N217,5)</f>
        <v/>
      </c>
      <c r="O218" s="162">
        <f>EOMONTH(O217,5)</f>
        <v/>
      </c>
      <c r="P218" s="162">
        <f>EOMONTH(P217,5)</f>
        <v/>
      </c>
      <c r="Q218" s="162">
        <f>EOMONTH(Q217,5)</f>
        <v/>
      </c>
      <c r="R218" s="162">
        <f>EOMONTH(R217,5)</f>
        <v/>
      </c>
      <c r="S218" s="162">
        <f>EOMONTH(S217,5)</f>
        <v/>
      </c>
      <c r="T218" s="162">
        <f>EOMONTH(T217,5)</f>
        <v/>
      </c>
      <c r="U218" s="162">
        <f>EOMONTH(U217,5)</f>
        <v/>
      </c>
      <c r="V218" s="162">
        <f>EOMONTH(V217,5)</f>
        <v/>
      </c>
      <c r="W218" s="162">
        <f>EOMONTH(W217,5)</f>
        <v/>
      </c>
      <c r="X218" s="162">
        <f>EOMONTH(X217,5)</f>
        <v/>
      </c>
      <c r="Y218" s="162">
        <f>EOMONTH(Y217,5)</f>
        <v/>
      </c>
      <c r="Z218" s="162">
        <f>EOMONTH(Z217,5)</f>
        <v/>
      </c>
      <c r="AA218" s="162">
        <f>EOMONTH(AA217,5)</f>
        <v/>
      </c>
      <c r="AB218" s="162">
        <f>EOMONTH(AB217,5)</f>
        <v/>
      </c>
      <c r="AC218" s="162">
        <f>EOMONTH(AC217,5)</f>
        <v/>
      </c>
      <c r="AD218" s="162">
        <f>EOMONTH(AD217,5)</f>
        <v/>
      </c>
      <c r="AE218" s="162">
        <f>EOMONTH(AE217,5)</f>
        <v/>
      </c>
      <c r="AF218" s="162">
        <f>EOMONTH(AF217,5)</f>
        <v/>
      </c>
      <c r="AG218" s="162">
        <f>EOMONTH(AG217,5)</f>
        <v/>
      </c>
      <c r="AH218" s="162">
        <f>EOMONTH(AH217,5)</f>
        <v/>
      </c>
      <c r="AI218" s="162">
        <f>EOMONTH(AI217,5)</f>
        <v/>
      </c>
      <c r="AJ218" s="162">
        <f>EOMONTH(AJ217,5)</f>
        <v/>
      </c>
      <c r="AK218" s="162">
        <f>EOMONTH(AK217,5)</f>
        <v/>
      </c>
      <c r="AL218" s="162">
        <f>EOMONTH(AL217,5)</f>
        <v/>
      </c>
      <c r="AM218" s="162">
        <f>EOMONTH(AM217,5)</f>
        <v/>
      </c>
      <c r="AN218" s="162">
        <f>EOMONTH(AN217,5)</f>
        <v/>
      </c>
      <c r="AO218" s="162">
        <f>EOMONTH(AO217,5)</f>
        <v/>
      </c>
    </row>
    <row r="219" outlineLevel="1">
      <c r="A219" s="44" t="inlineStr">
        <is>
          <t>Year Starts</t>
        </is>
      </c>
      <c r="B219" s="46">
        <f>DATE(Assumption!#REF!,1,1)</f>
        <v/>
      </c>
      <c r="C219" s="46">
        <f>DATE(Assumption!#REF!,1,1)</f>
        <v/>
      </c>
      <c r="D219" s="46">
        <f>DATE(Assumption!#REF!,1,1)</f>
        <v/>
      </c>
      <c r="E219" s="46">
        <f>DATE(Assumption!#REF!,1,1)</f>
        <v/>
      </c>
      <c r="F219" s="46">
        <f>DATE(Assumption!#REF!,1,1)</f>
        <v/>
      </c>
      <c r="G219" s="46">
        <f>DATE(Assumption!#REF!,1,1)</f>
        <v/>
      </c>
      <c r="H219" s="46">
        <f>DATE(Assumption!#REF!,1,1)</f>
        <v/>
      </c>
      <c r="I219" s="46">
        <f>DATE(Assumption!#REF!,1,1)</f>
        <v/>
      </c>
      <c r="J219" s="46">
        <f>DATE(Assumption!#REF!,1,1)</f>
        <v/>
      </c>
      <c r="K219" s="46">
        <f>DATE(Assumption!#REF!,1,1)</f>
        <v/>
      </c>
      <c r="L219" s="46">
        <f>DATE(Assumption!#REF!,1,1)</f>
        <v/>
      </c>
      <c r="M219" s="163">
        <f>DATE(Assumption!#REF!,1,1)</f>
        <v/>
      </c>
      <c r="N219" s="163">
        <f>DATE(Assumption!#REF!,1,1)</f>
        <v/>
      </c>
      <c r="O219" s="163">
        <f>DATE(Assumption!#REF!,1,1)</f>
        <v/>
      </c>
      <c r="P219" s="163">
        <f>DATE(Assumption!#REF!,1,1)</f>
        <v/>
      </c>
      <c r="Q219" s="163">
        <f>DATE(Assumption!#REF!,1,1)</f>
        <v/>
      </c>
      <c r="R219" s="163">
        <f>DATE(Assumption!#REF!,1,1)</f>
        <v/>
      </c>
      <c r="S219" s="163">
        <f>DATE(Assumption!#REF!,1,1)</f>
        <v/>
      </c>
      <c r="T219" s="163">
        <f>DATE(Assumption!#REF!,1,1)</f>
        <v/>
      </c>
      <c r="U219" s="163">
        <f>DATE(Assumption!#REF!,1,1)</f>
        <v/>
      </c>
      <c r="V219" s="163">
        <f>DATE(Assumption!#REF!,1,1)</f>
        <v/>
      </c>
      <c r="W219" s="163">
        <f>DATE(Assumption!#REF!,1,1)</f>
        <v/>
      </c>
      <c r="X219" s="163">
        <f>DATE(Assumption!B1,1,1)</f>
        <v/>
      </c>
      <c r="Y219" s="163">
        <f>DATE(Assumption!C1,1,1)</f>
        <v/>
      </c>
      <c r="Z219" s="163">
        <f>DATE(Assumption!D1,1,1)</f>
        <v/>
      </c>
      <c r="AA219" s="163">
        <f>DATE(Assumption!E1,1,1)</f>
        <v/>
      </c>
      <c r="AB219" s="163">
        <f>DATE(Assumption!F1,1,1)</f>
        <v/>
      </c>
      <c r="AC219" s="163">
        <f>DATE(Assumption!G1,1,1)</f>
        <v/>
      </c>
      <c r="AD219" s="163">
        <f>DATE(Assumption!H1,1,1)</f>
        <v/>
      </c>
      <c r="AE219" s="163">
        <f>DATE(Assumption!I1,1,1)</f>
        <v/>
      </c>
      <c r="AF219" s="163">
        <f>DATE(Assumption!J1,1,1)</f>
        <v/>
      </c>
      <c r="AG219" s="163">
        <f>DATE(Assumption!K1,1,1)</f>
        <v/>
      </c>
      <c r="AH219" s="163">
        <f>DATE(Assumption!L1,1,1)</f>
        <v/>
      </c>
      <c r="AI219" s="163">
        <f>DATE(Assumption!M1,1,1)</f>
        <v/>
      </c>
      <c r="AJ219" s="163">
        <f>DATE(Assumption!N1,1,1)</f>
        <v/>
      </c>
      <c r="AK219" s="163">
        <f>DATE(Assumption!O1,1,1)</f>
        <v/>
      </c>
      <c r="AL219" s="163">
        <f>DATE(Assumption!P1,1,1)</f>
        <v/>
      </c>
      <c r="AM219" s="163">
        <f>DATE(Assumption!Q1,1,1)</f>
        <v/>
      </c>
      <c r="AN219" s="163">
        <f>DATE(Assumption!R1,1,1)</f>
        <v/>
      </c>
      <c r="AO219" s="163">
        <f>DATE(Assumption!S1,1,1)</f>
        <v/>
      </c>
    </row>
    <row r="220" outlineLevel="1">
      <c r="A220" s="44" t="inlineStr">
        <is>
          <t>Year Ends</t>
        </is>
      </c>
      <c r="B220" s="46">
        <f>EOMONTH(B219,11)</f>
        <v/>
      </c>
      <c r="C220" s="46">
        <f>EOMONTH(C219,11)</f>
        <v/>
      </c>
      <c r="D220" s="46">
        <f>EOMONTH(D219,11)</f>
        <v/>
      </c>
      <c r="E220" s="46">
        <f>EOMONTH(E219,11)</f>
        <v/>
      </c>
      <c r="F220" s="46">
        <f>EOMONTH(F219,11)</f>
        <v/>
      </c>
      <c r="G220" s="46">
        <f>EOMONTH(G219,11)</f>
        <v/>
      </c>
      <c r="H220" s="46">
        <f>EOMONTH(H219,11)</f>
        <v/>
      </c>
      <c r="I220" s="46">
        <f>EOMONTH(I219,11)</f>
        <v/>
      </c>
      <c r="J220" s="46">
        <f>EOMONTH(J219,11)</f>
        <v/>
      </c>
      <c r="K220" s="46">
        <f>EOMONTH(K219,11)</f>
        <v/>
      </c>
      <c r="L220" s="46">
        <f>EOMONTH(L219,11)</f>
        <v/>
      </c>
      <c r="M220" s="162">
        <f>EOMONTH(M219,11)</f>
        <v/>
      </c>
      <c r="N220" s="162">
        <f>EOMONTH(N219,11)</f>
        <v/>
      </c>
      <c r="O220" s="162">
        <f>EOMONTH(O219,11)</f>
        <v/>
      </c>
      <c r="P220" s="162">
        <f>EOMONTH(P219,11)</f>
        <v/>
      </c>
      <c r="Q220" s="162">
        <f>EOMONTH(Q219,11)</f>
        <v/>
      </c>
      <c r="R220" s="162">
        <f>EOMONTH(R219,11)</f>
        <v/>
      </c>
      <c r="S220" s="162">
        <f>EOMONTH(S219,11)</f>
        <v/>
      </c>
      <c r="T220" s="162">
        <f>EOMONTH(T219,11)</f>
        <v/>
      </c>
      <c r="U220" s="162">
        <f>EOMONTH(U219,11)</f>
        <v/>
      </c>
      <c r="V220" s="162">
        <f>EOMONTH(V219,11)</f>
        <v/>
      </c>
      <c r="W220" s="162">
        <f>EOMONTH(W219,11)</f>
        <v/>
      </c>
      <c r="X220" s="162">
        <f>EOMONTH(X219,11)</f>
        <v/>
      </c>
      <c r="Y220" s="162">
        <f>EOMONTH(Y219,11)</f>
        <v/>
      </c>
      <c r="Z220" s="162">
        <f>EOMONTH(Z219,11)</f>
        <v/>
      </c>
      <c r="AA220" s="162">
        <f>EOMONTH(AA219,11)</f>
        <v/>
      </c>
      <c r="AB220" s="162">
        <f>EOMONTH(AB219,11)</f>
        <v/>
      </c>
      <c r="AC220" s="162">
        <f>EOMONTH(AC219,11)</f>
        <v/>
      </c>
      <c r="AD220" s="162">
        <f>EOMONTH(AD219,11)</f>
        <v/>
      </c>
      <c r="AE220" s="162">
        <f>EOMONTH(AE219,11)</f>
        <v/>
      </c>
      <c r="AF220" s="162">
        <f>EOMONTH(AF219,11)</f>
        <v/>
      </c>
      <c r="AG220" s="162">
        <f>EOMONTH(AG219,11)</f>
        <v/>
      </c>
      <c r="AH220" s="162">
        <f>EOMONTH(AH219,11)</f>
        <v/>
      </c>
      <c r="AI220" s="162">
        <f>EOMONTH(AI219,11)</f>
        <v/>
      </c>
      <c r="AJ220" s="162">
        <f>EOMONTH(AJ219,11)</f>
        <v/>
      </c>
      <c r="AK220" s="162">
        <f>EOMONTH(AK219,11)</f>
        <v/>
      </c>
      <c r="AL220" s="162">
        <f>EOMONTH(AL219,11)</f>
        <v/>
      </c>
      <c r="AM220" s="162">
        <f>EOMONTH(AM219,11)</f>
        <v/>
      </c>
      <c r="AN220" s="162">
        <f>EOMONTH(AN219,11)</f>
        <v/>
      </c>
      <c r="AO220" s="162">
        <f>EOMONTH(AO219,11)</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c r="V221" s="82">
        <f>V218-V217+1</f>
        <v/>
      </c>
      <c r="W221" s="82">
        <f>W218-W217+1</f>
        <v/>
      </c>
      <c r="X221" s="82">
        <f>X218-X217+1</f>
        <v/>
      </c>
      <c r="Y221" s="82">
        <f>Y218-Y217+1</f>
        <v/>
      </c>
      <c r="Z221" s="82">
        <f>Z218-Z217+1</f>
        <v/>
      </c>
      <c r="AA221" s="82">
        <f>AA218-AA217+1</f>
        <v/>
      </c>
      <c r="AB221" s="82">
        <f>AB218-AB217+1</f>
        <v/>
      </c>
      <c r="AC221" s="82">
        <f>AC218-AC217+1</f>
        <v/>
      </c>
      <c r="AD221" s="82">
        <f>AD218-AD217+1</f>
        <v/>
      </c>
      <c r="AE221" s="82">
        <f>AE218-AE217+1</f>
        <v/>
      </c>
      <c r="AF221" s="82">
        <f>AF218-AF217+1</f>
        <v/>
      </c>
      <c r="AG221" s="82">
        <f>AG218-AG217+1</f>
        <v/>
      </c>
      <c r="AH221" s="82">
        <f>AH218-AH217+1</f>
        <v/>
      </c>
      <c r="AI221" s="82">
        <f>AI218-AI217+1</f>
        <v/>
      </c>
      <c r="AJ221" s="82">
        <f>AJ218-AJ217+1</f>
        <v/>
      </c>
      <c r="AK221" s="82">
        <f>AK218-AK217+1</f>
        <v/>
      </c>
      <c r="AL221" s="82">
        <f>AL218-AL217+1</f>
        <v/>
      </c>
      <c r="AM221" s="82">
        <f>AM218-AM217+1</f>
        <v/>
      </c>
      <c r="AN221" s="82">
        <f>AN218-AN217+1</f>
        <v/>
      </c>
      <c r="AO221" s="82">
        <f>AO218-AO217+1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c r="V222" s="82">
        <f>V220-V219+1</f>
        <v/>
      </c>
      <c r="W222" s="82">
        <f>W220-W219+1</f>
        <v/>
      </c>
      <c r="X222" s="82">
        <f>X220-X219+1</f>
        <v/>
      </c>
      <c r="Y222" s="82">
        <f>Y220-Y219+1</f>
        <v/>
      </c>
      <c r="Z222" s="82">
        <f>Z220-Z219+1</f>
        <v/>
      </c>
      <c r="AA222" s="82">
        <f>AA220-AA219+1</f>
        <v/>
      </c>
      <c r="AB222" s="82">
        <f>AB220-AB219+1</f>
        <v/>
      </c>
      <c r="AC222" s="82">
        <f>AC220-AC219+1</f>
        <v/>
      </c>
      <c r="AD222" s="82">
        <f>AD220-AD219+1</f>
        <v/>
      </c>
      <c r="AE222" s="82">
        <f>AE220-AE219+1</f>
        <v/>
      </c>
      <c r="AF222" s="82">
        <f>AF220-AF219+1</f>
        <v/>
      </c>
      <c r="AG222" s="82">
        <f>AG220-AG219+1</f>
        <v/>
      </c>
      <c r="AH222" s="82">
        <f>AH220-AH219+1</f>
        <v/>
      </c>
      <c r="AI222" s="82">
        <f>AI220-AI219+1</f>
        <v/>
      </c>
      <c r="AJ222" s="82">
        <f>AJ220-AJ219+1</f>
        <v/>
      </c>
      <c r="AK222" s="82">
        <f>AK220-AK219+1</f>
        <v/>
      </c>
      <c r="AL222" s="82">
        <f>AL220-AL219+1</f>
        <v/>
      </c>
      <c r="AM222" s="82">
        <f>AM220-AM219+1</f>
        <v/>
      </c>
      <c r="AN222" s="82">
        <f>AN220-AN219+1</f>
        <v/>
      </c>
      <c r="AO222" s="82">
        <f>AO220-AO219+1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164">
        <f>+M222/M221</f>
        <v/>
      </c>
      <c r="N223" s="164">
        <f>+N222/N221</f>
        <v/>
      </c>
      <c r="O223" s="164">
        <f>+O222/O221</f>
        <v/>
      </c>
      <c r="P223" s="164">
        <f>+P222/P221</f>
        <v/>
      </c>
      <c r="Q223" s="164">
        <f>+Q222/Q221</f>
        <v/>
      </c>
      <c r="R223" s="164">
        <f>+R222/R221</f>
        <v/>
      </c>
      <c r="S223" s="164">
        <f>+S222/S221</f>
        <v/>
      </c>
      <c r="T223" s="164">
        <f>+T222/T221</f>
        <v/>
      </c>
      <c r="U223" s="164">
        <f>+U222/U221</f>
        <v/>
      </c>
      <c r="V223" s="164">
        <f>+V222/V221</f>
        <v/>
      </c>
      <c r="W223" s="164">
        <f>+W222/W221</f>
        <v/>
      </c>
      <c r="X223" s="164">
        <f>+X222/X221</f>
        <v/>
      </c>
      <c r="Y223" s="164">
        <f>+Y222/Y221</f>
        <v/>
      </c>
      <c r="Z223" s="164">
        <f>+Z222/Z221</f>
        <v/>
      </c>
      <c r="AA223" s="164">
        <f>+AA222/AA221</f>
        <v/>
      </c>
      <c r="AB223" s="164">
        <f>+AB222/AB221</f>
        <v/>
      </c>
      <c r="AC223" s="164">
        <f>+AC222/AC221</f>
        <v/>
      </c>
      <c r="AD223" s="164">
        <f>+AD222/AD221</f>
        <v/>
      </c>
      <c r="AE223" s="164">
        <f>+AE222/AE221</f>
        <v/>
      </c>
      <c r="AF223" s="164">
        <f>+AF222/AF221</f>
        <v/>
      </c>
      <c r="AG223" s="164">
        <f>+AG222/AG221</f>
        <v/>
      </c>
      <c r="AH223" s="164">
        <f>+AH222/AH221</f>
        <v/>
      </c>
      <c r="AI223" s="164">
        <f>+AI222/AI221</f>
        <v/>
      </c>
      <c r="AJ223" s="164">
        <f>+AJ222/AJ221</f>
        <v/>
      </c>
      <c r="AK223" s="164">
        <f>+AK222/AK221</f>
        <v/>
      </c>
      <c r="AL223" s="164">
        <f>+AL222/AL221</f>
        <v/>
      </c>
      <c r="AM223" s="164">
        <f>+AM222/AM221</f>
        <v/>
      </c>
      <c r="AN223" s="164">
        <f>+AN222/AN221</f>
        <v/>
      </c>
      <c r="AO223" s="164">
        <f>+AO222/AO221</f>
        <v/>
      </c>
    </row>
    <row r="224" outlineLevel="1">
      <c r="M224" s="31" t="n"/>
      <c r="N224" s="31" t="n"/>
      <c r="O224" s="31" t="n"/>
      <c r="P224" s="31" t="n"/>
      <c r="Q224" s="31" t="n"/>
      <c r="R224" s="31" t="n"/>
      <c r="S224" s="31" t="n"/>
      <c r="T224" s="31" t="n"/>
      <c r="U224" s="31" t="n"/>
      <c r="V224" s="31" t="n"/>
      <c r="W224" s="31" t="n"/>
      <c r="X224" s="31" t="n"/>
      <c r="Y224" s="31" t="n"/>
      <c r="Z224" s="31" t="n"/>
      <c r="AA224" s="31" t="n"/>
      <c r="AB224" s="31" t="n"/>
      <c r="AC224" s="31" t="n"/>
      <c r="AD224" s="31" t="n"/>
      <c r="AE224" s="31" t="n"/>
      <c r="AF224" s="31" t="n"/>
      <c r="AG224" s="31" t="n"/>
      <c r="AH224" s="31" t="n"/>
      <c r="AI224" s="31" t="n"/>
      <c r="AJ224" s="31" t="n"/>
      <c r="AK224" s="31" t="n"/>
      <c r="AL224" s="31" t="n"/>
      <c r="AM224" s="31" t="n"/>
      <c r="AN224" s="31" t="n"/>
      <c r="AO224" s="31" t="n"/>
    </row>
    <row r="225" outlineLevel="1">
      <c r="A225" s="81" t="inlineStr">
        <is>
          <t>FX Rate</t>
        </is>
      </c>
      <c r="M225" s="31" t="n"/>
      <c r="N225" s="31" t="n"/>
      <c r="O225" s="31" t="n"/>
      <c r="P225" s="31" t="n"/>
      <c r="Q225" s="31" t="n"/>
      <c r="R225" s="31" t="n"/>
      <c r="S225" s="31" t="n"/>
      <c r="T225" s="31" t="n"/>
      <c r="U225" s="31" t="n"/>
      <c r="V225" s="31" t="n"/>
      <c r="W225" s="31" t="n"/>
      <c r="X225" s="31" t="n"/>
      <c r="Y225" s="31" t="n"/>
      <c r="Z225" s="31" t="n"/>
      <c r="AA225" s="31" t="n"/>
      <c r="AB225" s="31" t="n"/>
      <c r="AC225" s="31" t="n"/>
      <c r="AD225" s="31" t="n"/>
      <c r="AE225" s="31" t="n"/>
      <c r="AF225" s="31" t="n"/>
      <c r="AG225" s="31" t="n"/>
      <c r="AH225" s="31" t="n"/>
      <c r="AI225" s="31" t="n"/>
      <c r="AJ225" s="31" t="n"/>
      <c r="AK225" s="31" t="n"/>
      <c r="AL225" s="31" t="n"/>
      <c r="AM225" s="31" t="n"/>
      <c r="AN225" s="31" t="n"/>
      <c r="AO225" s="31" t="n"/>
    </row>
    <row r="226" outlineLevel="1">
      <c r="A226" s="44">
        <f>Assumption!A250</f>
        <v/>
      </c>
      <c r="B226" s="892">
        <f>Assumption!#REF!</f>
        <v/>
      </c>
      <c r="C226" s="892">
        <f>Assumption!#REF!</f>
        <v/>
      </c>
      <c r="D226" s="892">
        <f>Assumption!#REF!</f>
        <v/>
      </c>
      <c r="E226" s="892">
        <f>Assumption!#REF!</f>
        <v/>
      </c>
      <c r="F226" s="892">
        <f>Assumption!#REF!</f>
        <v/>
      </c>
      <c r="G226" s="892">
        <f>Assumption!#REF!</f>
        <v/>
      </c>
      <c r="H226" s="892">
        <f>Assumption!#REF!</f>
        <v/>
      </c>
      <c r="I226" s="892">
        <f>Assumption!#REF!</f>
        <v/>
      </c>
      <c r="J226" s="892">
        <f>Assumption!#REF!</f>
        <v/>
      </c>
      <c r="K226" s="892">
        <f>Assumption!#REF!</f>
        <v/>
      </c>
      <c r="L226" s="892">
        <f>Assumption!#REF!</f>
        <v/>
      </c>
      <c r="M226" s="893">
        <f>Assumption!#REF!</f>
        <v/>
      </c>
      <c r="N226" s="893">
        <f>Assumption!#REF!</f>
        <v/>
      </c>
      <c r="O226" s="893">
        <f>Assumption!#REF!</f>
        <v/>
      </c>
      <c r="P226" s="893">
        <f>Assumption!#REF!</f>
        <v/>
      </c>
      <c r="Q226" s="893">
        <f>Assumption!#REF!</f>
        <v/>
      </c>
      <c r="R226" s="893">
        <f>Assumption!#REF!</f>
        <v/>
      </c>
      <c r="S226" s="893">
        <f>Assumption!#REF!</f>
        <v/>
      </c>
      <c r="T226" s="893">
        <f>Assumption!#REF!</f>
        <v/>
      </c>
      <c r="U226" s="893">
        <f>Assumption!#REF!</f>
        <v/>
      </c>
      <c r="V226" s="893">
        <f>Assumption!#REF!</f>
        <v/>
      </c>
      <c r="W226" s="893">
        <f>Assumption!#REF!</f>
        <v/>
      </c>
      <c r="X226" s="893">
        <f>Assumption!B250</f>
        <v/>
      </c>
      <c r="Y226" s="893">
        <f>Assumption!C250</f>
        <v/>
      </c>
      <c r="Z226" s="893">
        <f>Assumption!D250</f>
        <v/>
      </c>
      <c r="AA226" s="893">
        <f>Assumption!E250</f>
        <v/>
      </c>
      <c r="AB226" s="893">
        <f>Assumption!F250</f>
        <v/>
      </c>
      <c r="AC226" s="893">
        <f>Assumption!G250</f>
        <v/>
      </c>
      <c r="AD226" s="893">
        <f>Assumption!H250</f>
        <v/>
      </c>
      <c r="AE226" s="893">
        <f>Assumption!I250</f>
        <v/>
      </c>
      <c r="AF226" s="893">
        <f>Assumption!J250</f>
        <v/>
      </c>
      <c r="AG226" s="893">
        <f>Assumption!K250</f>
        <v/>
      </c>
      <c r="AH226" s="893">
        <f>Assumption!L250</f>
        <v/>
      </c>
      <c r="AI226" s="893">
        <f>Assumption!M250</f>
        <v/>
      </c>
      <c r="AJ226" s="893">
        <f>Assumption!N250</f>
        <v/>
      </c>
      <c r="AK226" s="893">
        <f>Assumption!O250</f>
        <v/>
      </c>
      <c r="AL226" s="893">
        <f>Assumption!P250</f>
        <v/>
      </c>
      <c r="AM226" s="893">
        <f>Assumption!Q250</f>
        <v/>
      </c>
      <c r="AN226" s="893">
        <f>Assumption!R250</f>
        <v/>
      </c>
      <c r="AO226" s="893">
        <f>Assumption!S250</f>
        <v/>
      </c>
    </row>
    <row r="227"/>
    <row r="228"/>
    <row r="229"/>
    <row r="230"/>
    <row r="231"/>
    <row r="232"/>
    <row r="233"/>
    <row r="234"/>
    <row r="235"/>
    <row r="236"/>
    <row r="237"/>
    <row r="238"/>
    <row r="239"/>
    <row r="240"/>
    <row r="241"/>
    <row r="242"/>
    <row r="243"/>
    <row r="244"/>
    <row r="245"/>
    <row r="246"/>
  </sheetData>
  <pageMargins left="0.7" right="0.7" top="0.75" bottom="0.75" header="0.3" footer="0.3"/>
  <pageSetup orientation="portrait" paperSize="9" scale="17" fitToHeight="0" horizontalDpi="300" verticalDpi="300"/>
</worksheet>
</file>

<file path=xl/worksheets/sheet5.xml><?xml version="1.0" encoding="utf-8"?>
<worksheet xmlns="http://schemas.openxmlformats.org/spreadsheetml/2006/main">
  <sheetPr codeName="Sheet11">
    <tabColor theme="1"/>
    <outlinePr summaryBelow="1" summaryRight="1"/>
    <pageSetUpPr fitToPage="1"/>
  </sheetPr>
  <dimension ref="A1:T111"/>
  <sheetViews>
    <sheetView topLeftCell="A71" zoomScale="85" zoomScaleNormal="85" workbookViewId="0">
      <selection activeCell="M125" sqref="M125"/>
    </sheetView>
  </sheetViews>
  <sheetFormatPr baseColWidth="10" defaultColWidth="9.33203125" defaultRowHeight="13" outlineLevelRow="1"/>
  <cols>
    <col width="47.5" bestFit="1" customWidth="1" style="56" min="1" max="1"/>
    <col hidden="1" outlineLevel="2" width="10.6640625" customWidth="1" style="20" min="2" max="6"/>
    <col hidden="1" outlineLevel="1" width="10.6640625" customWidth="1" style="20" min="7" max="7"/>
    <col hidden="1" collapsed="1" width="10.6640625" customWidth="1" style="20" min="8" max="8"/>
    <col hidden="1" width="10.6640625" customWidth="1" style="20" min="9" max="10"/>
    <col width="10.6640625" customWidth="1" style="20" min="11" max="14"/>
    <col width="11.6640625" customWidth="1" style="20" min="15" max="17"/>
    <col width="11.6640625" customWidth="1" min="18" max="20"/>
  </cols>
  <sheetData>
    <row r="1" customFormat="1" s="20">
      <c r="A1" s="21">
        <f>FS_Y!A1</f>
        <v/>
      </c>
      <c r="B1" s="549">
        <f>B6</f>
        <v/>
      </c>
      <c r="C1" s="549">
        <f>B1+1</f>
        <v/>
      </c>
      <c r="D1" s="549">
        <f>C1+1</f>
        <v/>
      </c>
      <c r="E1" s="549">
        <f>D1+1</f>
        <v/>
      </c>
      <c r="F1" s="549">
        <f>E1+1</f>
        <v/>
      </c>
      <c r="G1" s="549">
        <f>F1+1</f>
        <v/>
      </c>
      <c r="H1" s="549">
        <f>G1+1</f>
        <v/>
      </c>
      <c r="I1" s="549">
        <f>H1+1</f>
        <v/>
      </c>
      <c r="J1" s="549">
        <f>I1+1</f>
        <v/>
      </c>
      <c r="K1" s="549">
        <f>J1+1</f>
        <v/>
      </c>
      <c r="L1" s="549">
        <f>K1+1</f>
        <v/>
      </c>
      <c r="M1" s="549">
        <f>L1+1</f>
        <v/>
      </c>
      <c r="N1" s="549">
        <f>M1+1</f>
        <v/>
      </c>
      <c r="O1" s="549">
        <f>N1+1</f>
        <v/>
      </c>
      <c r="P1" s="549">
        <f>O1+1</f>
        <v/>
      </c>
    </row>
    <row r="2" customFormat="1" s="20">
      <c r="A2" s="20" t="inlineStr">
        <is>
          <t>Summary financials</t>
        </is>
      </c>
    </row>
    <row r="3" customFormat="1" s="20">
      <c r="A3" s="56" t="n"/>
    </row>
    <row r="4" customFormat="1" s="20">
      <c r="A4" s="313" t="inlineStr">
        <is>
          <t>Income Statement</t>
        </is>
      </c>
    </row>
    <row r="5">
      <c r="B5" s="395" t="n"/>
      <c r="C5" s="395" t="n"/>
      <c r="D5" s="395" t="n"/>
      <c r="E5" s="395" t="n"/>
      <c r="F5" s="395" t="n"/>
      <c r="G5" s="395" t="n"/>
      <c r="H5" s="395" t="n"/>
      <c r="R5" s="20" t="n"/>
      <c r="S5" s="20" t="n"/>
      <c r="T5" s="20" t="n"/>
    </row>
    <row r="6">
      <c r="A6" s="337" t="inlineStr">
        <is>
          <t>in '000 USD</t>
        </is>
      </c>
      <c r="B6" s="336">
        <f>FS_Y!E8</f>
        <v/>
      </c>
      <c r="C6" s="336">
        <f>FS_Y!F8</f>
        <v/>
      </c>
      <c r="D6" s="336">
        <f>FS_Y!G8</f>
        <v/>
      </c>
      <c r="E6" s="336">
        <f>FS_Y!H8</f>
        <v/>
      </c>
      <c r="F6" s="336">
        <f>FS_Y!I8</f>
        <v/>
      </c>
      <c r="G6" s="336">
        <f>FS_Y!J8</f>
        <v/>
      </c>
      <c r="H6" s="336">
        <f>FS_Y!K8</f>
        <v/>
      </c>
      <c r="I6" s="336">
        <f>FS_Y!L8</f>
        <v/>
      </c>
      <c r="J6" s="336">
        <f>FS_Y!M8</f>
        <v/>
      </c>
      <c r="K6" s="336">
        <f>FS_Y!N8</f>
        <v/>
      </c>
      <c r="L6" s="336">
        <f>FS_Y!O8</f>
        <v/>
      </c>
      <c r="M6" s="336">
        <f>FS_Y!P8</f>
        <v/>
      </c>
      <c r="N6" s="336">
        <f>FS_Y!Q8</f>
        <v/>
      </c>
      <c r="O6" s="336">
        <f>FS_Y!R8</f>
        <v/>
      </c>
      <c r="P6" s="336">
        <f>FS_Y!S8</f>
        <v/>
      </c>
      <c r="Q6" s="336">
        <f>FS_Y!T8</f>
        <v/>
      </c>
      <c r="R6" s="336">
        <f>FS_Y!U8</f>
        <v/>
      </c>
      <c r="S6" s="336">
        <f>FS_Y!V8</f>
        <v/>
      </c>
      <c r="T6" s="336">
        <f>FS_Y!W8</f>
        <v/>
      </c>
    </row>
    <row r="7" outlineLevel="1">
      <c r="A7" s="56">
        <f>Assumption!A14</f>
        <v/>
      </c>
      <c r="B7" s="894" t="inlineStr">
        <is>
          <t>n.a.</t>
        </is>
      </c>
      <c r="C7" s="894" t="inlineStr">
        <is>
          <t>n.a.</t>
        </is>
      </c>
      <c r="D7" s="894" t="inlineStr">
        <is>
          <t>n.a.</t>
        </is>
      </c>
      <c r="E7" s="464">
        <f>Assumption!DD14</f>
        <v/>
      </c>
      <c r="F7" s="464">
        <f>Assumption!DE14</f>
        <v/>
      </c>
      <c r="G7" s="464">
        <f>Assumption!DF14</f>
        <v/>
      </c>
      <c r="H7" s="464">
        <f>Assumption!DG14</f>
        <v/>
      </c>
      <c r="I7" s="464">
        <f>Assumption!DH14</f>
        <v/>
      </c>
      <c r="J7" s="464">
        <f>Assumption!DI14</f>
        <v/>
      </c>
      <c r="K7" s="464">
        <f>Assumption!DJ14</f>
        <v/>
      </c>
      <c r="L7" s="464">
        <f>Assumption!DK14</f>
        <v/>
      </c>
      <c r="M7" s="464">
        <f>Assumption!DL14</f>
        <v/>
      </c>
      <c r="N7" s="464">
        <f>Assumption!DM14</f>
        <v/>
      </c>
      <c r="O7" s="464">
        <f>Assumption!DN14</f>
        <v/>
      </c>
      <c r="P7" s="464">
        <f>Assumption!DO14</f>
        <v/>
      </c>
      <c r="Q7" s="464">
        <f>Assumption!DP14</f>
        <v/>
      </c>
      <c r="R7" s="464">
        <f>Assumption!DQ14</f>
        <v/>
      </c>
      <c r="S7" s="464">
        <f>Assumption!DR14</f>
        <v/>
      </c>
      <c r="T7" s="464">
        <f>Assumption!DS14</f>
        <v/>
      </c>
    </row>
    <row r="8" outlineLevel="1">
      <c r="A8" s="56">
        <f>Assumption!A15</f>
        <v/>
      </c>
      <c r="B8" s="894" t="inlineStr">
        <is>
          <t>n.a.</t>
        </is>
      </c>
      <c r="C8" s="894" t="inlineStr">
        <is>
          <t>n.a.</t>
        </is>
      </c>
      <c r="D8" s="894" t="inlineStr">
        <is>
          <t>n.a.</t>
        </is>
      </c>
      <c r="E8" s="464">
        <f>Assumption!DD15</f>
        <v/>
      </c>
      <c r="F8" s="464">
        <f>Assumption!DE15</f>
        <v/>
      </c>
      <c r="G8" s="464">
        <f>Assumption!DF15</f>
        <v/>
      </c>
      <c r="H8" s="464">
        <f>Assumption!DG15</f>
        <v/>
      </c>
      <c r="I8" s="464">
        <f>Assumption!DH15</f>
        <v/>
      </c>
      <c r="J8" s="464">
        <f>Assumption!DI15</f>
        <v/>
      </c>
      <c r="K8" s="464">
        <f>Assumption!DJ15</f>
        <v/>
      </c>
      <c r="L8" s="464">
        <f>Assumption!DK15</f>
        <v/>
      </c>
      <c r="M8" s="464">
        <f>Assumption!DL15</f>
        <v/>
      </c>
      <c r="N8" s="464">
        <f>Assumption!DM15</f>
        <v/>
      </c>
      <c r="O8" s="464">
        <f>Assumption!DN15</f>
        <v/>
      </c>
      <c r="P8" s="464">
        <f>Assumption!DO15</f>
        <v/>
      </c>
      <c r="Q8" s="464">
        <f>Assumption!DP15</f>
        <v/>
      </c>
      <c r="R8" s="464">
        <f>Assumption!DQ15</f>
        <v/>
      </c>
      <c r="S8" s="464">
        <f>Assumption!DR15</f>
        <v/>
      </c>
      <c r="T8" s="464">
        <f>Assumption!DS15</f>
        <v/>
      </c>
    </row>
    <row r="9" outlineLevel="1">
      <c r="A9" s="56">
        <f>Assumption!A16</f>
        <v/>
      </c>
      <c r="B9" s="894" t="inlineStr">
        <is>
          <t>n.a.</t>
        </is>
      </c>
      <c r="C9" s="894" t="inlineStr">
        <is>
          <t>n.a.</t>
        </is>
      </c>
      <c r="D9" s="894" t="inlineStr">
        <is>
          <t>n.a.</t>
        </is>
      </c>
      <c r="E9" s="464">
        <f>Assumption!DD16</f>
        <v/>
      </c>
      <c r="F9" s="464">
        <f>Assumption!DE16</f>
        <v/>
      </c>
      <c r="G9" s="464">
        <f>Assumption!DF16</f>
        <v/>
      </c>
      <c r="H9" s="464">
        <f>Assumption!DG16</f>
        <v/>
      </c>
      <c r="I9" s="464">
        <f>Assumption!DH16</f>
        <v/>
      </c>
      <c r="J9" s="464">
        <f>Assumption!DI16</f>
        <v/>
      </c>
      <c r="K9" s="464">
        <f>Assumption!DJ16</f>
        <v/>
      </c>
      <c r="L9" s="464">
        <f>Assumption!DK16</f>
        <v/>
      </c>
      <c r="M9" s="464">
        <f>Assumption!DL16</f>
        <v/>
      </c>
      <c r="N9" s="464">
        <f>Assumption!DM16</f>
        <v/>
      </c>
      <c r="O9" s="464">
        <f>Assumption!DN16</f>
        <v/>
      </c>
      <c r="P9" s="464">
        <f>Assumption!DO16</f>
        <v/>
      </c>
      <c r="Q9" s="464">
        <f>Assumption!DP16</f>
        <v/>
      </c>
      <c r="R9" s="464">
        <f>Assumption!DQ16</f>
        <v/>
      </c>
      <c r="S9" s="464">
        <f>Assumption!DR16</f>
        <v/>
      </c>
      <c r="T9" s="464">
        <f>Assumption!DS16</f>
        <v/>
      </c>
    </row>
    <row r="10" outlineLevel="1">
      <c r="A10" s="56">
        <f>Assumption!A17</f>
        <v/>
      </c>
      <c r="B10" s="894" t="inlineStr">
        <is>
          <t>n.a.</t>
        </is>
      </c>
      <c r="C10" s="894" t="inlineStr">
        <is>
          <t>n.a.</t>
        </is>
      </c>
      <c r="D10" s="894" t="inlineStr">
        <is>
          <t>n.a.</t>
        </is>
      </c>
      <c r="E10" s="464">
        <f>Assumption!DD17</f>
        <v/>
      </c>
      <c r="F10" s="464">
        <f>Assumption!DE17</f>
        <v/>
      </c>
      <c r="G10" s="464">
        <f>Assumption!DF17</f>
        <v/>
      </c>
      <c r="H10" s="464">
        <f>Assumption!DG17</f>
        <v/>
      </c>
      <c r="I10" s="464">
        <f>Assumption!DH17</f>
        <v/>
      </c>
      <c r="J10" s="464">
        <f>Assumption!DI17</f>
        <v/>
      </c>
      <c r="K10" s="464">
        <f>Assumption!DJ17</f>
        <v/>
      </c>
      <c r="L10" s="464">
        <f>Assumption!DK17</f>
        <v/>
      </c>
      <c r="M10" s="464">
        <f>Assumption!DL17</f>
        <v/>
      </c>
      <c r="N10" s="464">
        <f>Assumption!DM17</f>
        <v/>
      </c>
      <c r="O10" s="464">
        <f>Assumption!DN17</f>
        <v/>
      </c>
      <c r="P10" s="464">
        <f>Assumption!DO17</f>
        <v/>
      </c>
      <c r="Q10" s="464">
        <f>Assumption!DP17</f>
        <v/>
      </c>
      <c r="R10" s="464">
        <f>Assumption!DQ17</f>
        <v/>
      </c>
      <c r="S10" s="464">
        <f>Assumption!DR17</f>
        <v/>
      </c>
      <c r="T10" s="464">
        <f>Assumption!DS17</f>
        <v/>
      </c>
    </row>
    <row r="11" outlineLevel="1">
      <c r="A11" s="56">
        <f>Assumption!A18</f>
        <v/>
      </c>
      <c r="B11" s="894" t="inlineStr">
        <is>
          <t>n.a.</t>
        </is>
      </c>
      <c r="C11" s="894" t="inlineStr">
        <is>
          <t>n.a.</t>
        </is>
      </c>
      <c r="D11" s="894" t="inlineStr">
        <is>
          <t>n.a.</t>
        </is>
      </c>
      <c r="E11" s="464">
        <f>Assumption!DD18</f>
        <v/>
      </c>
      <c r="F11" s="464">
        <f>Assumption!DE18</f>
        <v/>
      </c>
      <c r="G11" s="464">
        <f>Assumption!DF18</f>
        <v/>
      </c>
      <c r="H11" s="464">
        <f>Assumption!DG18</f>
        <v/>
      </c>
      <c r="I11" s="464">
        <f>Assumption!DH18</f>
        <v/>
      </c>
      <c r="J11" s="464">
        <f>Assumption!DI18</f>
        <v/>
      </c>
      <c r="K11" s="464">
        <f>Assumption!DJ18</f>
        <v/>
      </c>
      <c r="L11" s="464">
        <f>Assumption!DK18</f>
        <v/>
      </c>
      <c r="M11" s="464">
        <f>Assumption!DL18</f>
        <v/>
      </c>
      <c r="N11" s="464">
        <f>Assumption!DM18</f>
        <v/>
      </c>
      <c r="O11" s="464">
        <f>Assumption!DN18</f>
        <v/>
      </c>
      <c r="P11" s="464">
        <f>Assumption!DO18</f>
        <v/>
      </c>
      <c r="Q11" s="464">
        <f>Assumption!DP18</f>
        <v/>
      </c>
      <c r="R11" s="464">
        <f>Assumption!DQ18</f>
        <v/>
      </c>
      <c r="S11" s="464">
        <f>Assumption!DR18</f>
        <v/>
      </c>
      <c r="T11" s="464">
        <f>Assumption!DS18</f>
        <v/>
      </c>
    </row>
    <row r="12" outlineLevel="1">
      <c r="A12" s="56">
        <f>Assumption!A19</f>
        <v/>
      </c>
      <c r="B12" s="894" t="inlineStr">
        <is>
          <t>n.a.</t>
        </is>
      </c>
      <c r="C12" s="894" t="inlineStr">
        <is>
          <t>n.a.</t>
        </is>
      </c>
      <c r="D12" s="894" t="inlineStr">
        <is>
          <t>n.a.</t>
        </is>
      </c>
      <c r="E12" s="464">
        <f>Assumption!DD19</f>
        <v/>
      </c>
      <c r="F12" s="464">
        <f>Assumption!DE19</f>
        <v/>
      </c>
      <c r="G12" s="464">
        <f>Assumption!DF19</f>
        <v/>
      </c>
      <c r="H12" s="464">
        <f>Assumption!DG19</f>
        <v/>
      </c>
      <c r="I12" s="464">
        <f>Assumption!DH19</f>
        <v/>
      </c>
      <c r="J12" s="464">
        <f>Assumption!DI19</f>
        <v/>
      </c>
      <c r="K12" s="464">
        <f>Assumption!DJ19</f>
        <v/>
      </c>
      <c r="L12" s="464">
        <f>Assumption!DK19</f>
        <v/>
      </c>
      <c r="M12" s="464">
        <f>Assumption!DL19</f>
        <v/>
      </c>
      <c r="N12" s="464">
        <f>Assumption!DM19</f>
        <v/>
      </c>
      <c r="O12" s="464">
        <f>Assumption!DN19</f>
        <v/>
      </c>
      <c r="P12" s="464">
        <f>Assumption!DO19</f>
        <v/>
      </c>
      <c r="Q12" s="464">
        <f>Assumption!DP19</f>
        <v/>
      </c>
      <c r="R12" s="464">
        <f>Assumption!DQ19</f>
        <v/>
      </c>
      <c r="S12" s="464">
        <f>Assumption!DR19</f>
        <v/>
      </c>
      <c r="T12" s="464">
        <f>Assumption!DS19</f>
        <v/>
      </c>
    </row>
    <row r="13" customFormat="1" s="22">
      <c r="A13" s="335" t="inlineStr">
        <is>
          <t>Revenue</t>
        </is>
      </c>
      <c r="B13" s="334">
        <f>FS_Y!E11</f>
        <v/>
      </c>
      <c r="C13" s="551">
        <f>FS_Y!F11</f>
        <v/>
      </c>
      <c r="D13" s="551">
        <f>FS_Y!G11</f>
        <v/>
      </c>
      <c r="E13" s="551">
        <f>FS_Y!H11</f>
        <v/>
      </c>
      <c r="F13" s="551">
        <f>FS_Y!I11</f>
        <v/>
      </c>
      <c r="G13" s="551">
        <f>FS_Y!J11</f>
        <v/>
      </c>
      <c r="H13" s="551">
        <f>FS_Y!K11</f>
        <v/>
      </c>
      <c r="I13" s="551">
        <f>FS_Y!L11</f>
        <v/>
      </c>
      <c r="J13" s="551">
        <f>FS_Y!M11</f>
        <v/>
      </c>
      <c r="K13" s="551">
        <f>FS_Y!N11</f>
        <v/>
      </c>
      <c r="L13" s="551">
        <f>FS_Y!O11</f>
        <v/>
      </c>
      <c r="M13" s="551">
        <f>FS_Y!P11</f>
        <v/>
      </c>
      <c r="N13" s="551">
        <f>FS_Y!Q11</f>
        <v/>
      </c>
      <c r="O13" s="551">
        <f>FS_Y!R11</f>
        <v/>
      </c>
      <c r="P13" s="551">
        <f>FS_Y!S11</f>
        <v/>
      </c>
      <c r="Q13" s="551">
        <f>FS_Y!T11</f>
        <v/>
      </c>
      <c r="R13" s="551">
        <f>FS_Y!U11</f>
        <v/>
      </c>
      <c r="S13" s="551">
        <f>FS_Y!V11</f>
        <v/>
      </c>
      <c r="T13" s="551">
        <f>FS_Y!W11</f>
        <v/>
      </c>
    </row>
    <row r="14">
      <c r="A14" s="56" t="inlineStr">
        <is>
          <t>Cost of Goods Sold</t>
        </is>
      </c>
      <c r="B14" s="64">
        <f>FS_Y!E12</f>
        <v/>
      </c>
      <c r="C14" s="464">
        <f>FS_Y!F12</f>
        <v/>
      </c>
      <c r="D14" s="464">
        <f>FS_Y!G12</f>
        <v/>
      </c>
      <c r="E14" s="464">
        <f>FS_Y!H12</f>
        <v/>
      </c>
      <c r="F14" s="464">
        <f>FS_Y!I12</f>
        <v/>
      </c>
      <c r="G14" s="464">
        <f>FS_Y!J12</f>
        <v/>
      </c>
      <c r="H14" s="464">
        <f>FS_Y!K12</f>
        <v/>
      </c>
      <c r="I14" s="464">
        <f>FS_Y!L12</f>
        <v/>
      </c>
      <c r="J14" s="464">
        <f>FS_Y!M12</f>
        <v/>
      </c>
      <c r="K14" s="464">
        <f>FS_Y!N12</f>
        <v/>
      </c>
      <c r="L14" s="464">
        <f>FS_Y!O12</f>
        <v/>
      </c>
      <c r="M14" s="464">
        <f>FS_Y!P12</f>
        <v/>
      </c>
      <c r="N14" s="464">
        <f>FS_Y!Q12</f>
        <v/>
      </c>
      <c r="O14" s="464">
        <f>FS_Y!R12</f>
        <v/>
      </c>
      <c r="P14" s="464">
        <f>FS_Y!S12</f>
        <v/>
      </c>
      <c r="Q14" s="464">
        <f>FS_Y!T12</f>
        <v/>
      </c>
      <c r="R14" s="464">
        <f>FS_Y!U12</f>
        <v/>
      </c>
      <c r="S14" s="464">
        <f>FS_Y!V12</f>
        <v/>
      </c>
      <c r="T14" s="464">
        <f>FS_Y!W12</f>
        <v/>
      </c>
    </row>
    <row r="15" customFormat="1" s="22">
      <c r="A15" s="335" t="inlineStr">
        <is>
          <t>Gross profit</t>
        </is>
      </c>
      <c r="B15" s="334">
        <f>FS_Y!E13</f>
        <v/>
      </c>
      <c r="C15" s="551">
        <f>FS_Y!F13</f>
        <v/>
      </c>
      <c r="D15" s="551">
        <f>FS_Y!G13</f>
        <v/>
      </c>
      <c r="E15" s="551">
        <f>FS_Y!H13</f>
        <v/>
      </c>
      <c r="F15" s="551">
        <f>FS_Y!I13</f>
        <v/>
      </c>
      <c r="G15" s="551">
        <f>FS_Y!J13</f>
        <v/>
      </c>
      <c r="H15" s="551">
        <f>FS_Y!K13</f>
        <v/>
      </c>
      <c r="I15" s="551">
        <f>FS_Y!L13</f>
        <v/>
      </c>
      <c r="J15" s="551">
        <f>FS_Y!M13</f>
        <v/>
      </c>
      <c r="K15" s="551">
        <f>FS_Y!N13</f>
        <v/>
      </c>
      <c r="L15" s="551">
        <f>FS_Y!O13</f>
        <v/>
      </c>
      <c r="M15" s="551">
        <f>FS_Y!P13</f>
        <v/>
      </c>
      <c r="N15" s="551">
        <f>FS_Y!Q13</f>
        <v/>
      </c>
      <c r="O15" s="551">
        <f>FS_Y!R13</f>
        <v/>
      </c>
      <c r="P15" s="551">
        <f>FS_Y!S13</f>
        <v/>
      </c>
      <c r="Q15" s="551">
        <f>FS_Y!T13</f>
        <v/>
      </c>
      <c r="R15" s="551">
        <f>FS_Y!U13</f>
        <v/>
      </c>
      <c r="S15" s="551">
        <f>FS_Y!V13</f>
        <v/>
      </c>
      <c r="T15" s="551">
        <f>FS_Y!W13</f>
        <v/>
      </c>
    </row>
    <row r="16">
      <c r="A16" s="64" t="inlineStr">
        <is>
          <t>Operating expenses</t>
        </is>
      </c>
      <c r="B16" s="64">
        <f>FS_Y!E18</f>
        <v/>
      </c>
      <c r="C16" s="464">
        <f>FS_Y!F18</f>
        <v/>
      </c>
      <c r="D16" s="464">
        <f>FS_Y!G18</f>
        <v/>
      </c>
      <c r="E16" s="464">
        <f>FS_Y!H18</f>
        <v/>
      </c>
      <c r="F16" s="464">
        <f>FS_Y!I18</f>
        <v/>
      </c>
      <c r="G16" s="464">
        <f>FS_Y!J18</f>
        <v/>
      </c>
      <c r="H16" s="464">
        <f>FS_Y!K18</f>
        <v/>
      </c>
      <c r="I16" s="464">
        <f>FS_Y!L18</f>
        <v/>
      </c>
      <c r="J16" s="464">
        <f>FS_Y!M18</f>
        <v/>
      </c>
      <c r="K16" s="464">
        <f>FS_Y!N18</f>
        <v/>
      </c>
      <c r="L16" s="464">
        <f>FS_Y!O18</f>
        <v/>
      </c>
      <c r="M16" s="464">
        <f>FS_Y!P18</f>
        <v/>
      </c>
      <c r="N16" s="464">
        <f>FS_Y!Q18</f>
        <v/>
      </c>
      <c r="O16" s="464">
        <f>FS_Y!R18</f>
        <v/>
      </c>
      <c r="P16" s="464">
        <f>FS_Y!S18</f>
        <v/>
      </c>
      <c r="Q16" s="464">
        <f>FS_Y!T18</f>
        <v/>
      </c>
      <c r="R16" s="464">
        <f>FS_Y!U18</f>
        <v/>
      </c>
      <c r="S16" s="464">
        <f>FS_Y!V18</f>
        <v/>
      </c>
      <c r="T16" s="464">
        <f>FS_Y!W18</f>
        <v/>
      </c>
    </row>
    <row r="17" customFormat="1" s="22">
      <c r="A17" s="335" t="inlineStr">
        <is>
          <t>EBIT</t>
        </is>
      </c>
      <c r="B17" s="334">
        <f>FS_Y!E19</f>
        <v/>
      </c>
      <c r="C17" s="551">
        <f>FS_Y!F19</f>
        <v/>
      </c>
      <c r="D17" s="551">
        <f>FS_Y!G19</f>
        <v/>
      </c>
      <c r="E17" s="551">
        <f>FS_Y!H19</f>
        <v/>
      </c>
      <c r="F17" s="551">
        <f>FS_Y!I19</f>
        <v/>
      </c>
      <c r="G17" s="551">
        <f>FS_Y!J19</f>
        <v/>
      </c>
      <c r="H17" s="551">
        <f>FS_Y!K19</f>
        <v/>
      </c>
      <c r="I17" s="551">
        <f>FS_Y!L19</f>
        <v/>
      </c>
      <c r="J17" s="551">
        <f>FS_Y!M19</f>
        <v/>
      </c>
      <c r="K17" s="551">
        <f>FS_Y!N19</f>
        <v/>
      </c>
      <c r="L17" s="551">
        <f>FS_Y!O19</f>
        <v/>
      </c>
      <c r="M17" s="551">
        <f>FS_Y!P19</f>
        <v/>
      </c>
      <c r="N17" s="551">
        <f>FS_Y!Q19</f>
        <v/>
      </c>
      <c r="O17" s="551">
        <f>FS_Y!R19</f>
        <v/>
      </c>
      <c r="P17" s="551">
        <f>FS_Y!S19</f>
        <v/>
      </c>
      <c r="Q17" s="551">
        <f>FS_Y!T19</f>
        <v/>
      </c>
      <c r="R17" s="551">
        <f>FS_Y!U19</f>
        <v/>
      </c>
      <c r="S17" s="551">
        <f>FS_Y!V19</f>
        <v/>
      </c>
      <c r="T17" s="551">
        <f>FS_Y!W19</f>
        <v/>
      </c>
    </row>
    <row r="18">
      <c r="A18" s="56" t="inlineStr">
        <is>
          <t>Net Finance income / (costs)</t>
        </is>
      </c>
      <c r="B18" s="64">
        <f>FS_Y!E20</f>
        <v/>
      </c>
      <c r="C18" s="464">
        <f>FS_Y!F20</f>
        <v/>
      </c>
      <c r="D18" s="464">
        <f>FS_Y!G20</f>
        <v/>
      </c>
      <c r="E18" s="464">
        <f>FS_Y!H20</f>
        <v/>
      </c>
      <c r="F18" s="464">
        <f>FS_Y!I20</f>
        <v/>
      </c>
      <c r="G18" s="464">
        <f>FS_Y!J20</f>
        <v/>
      </c>
      <c r="H18" s="464">
        <f>FS_Y!K20</f>
        <v/>
      </c>
      <c r="I18" s="464">
        <f>FS_Y!L20</f>
        <v/>
      </c>
      <c r="J18" s="464">
        <f>FS_Y!M20</f>
        <v/>
      </c>
      <c r="K18" s="464">
        <f>FS_Y!N20</f>
        <v/>
      </c>
      <c r="L18" s="464">
        <f>FS_Y!O20</f>
        <v/>
      </c>
      <c r="M18" s="464">
        <f>FS_Y!P20</f>
        <v/>
      </c>
      <c r="N18" s="464">
        <f>FS_Y!Q20</f>
        <v/>
      </c>
      <c r="O18" s="464">
        <f>FS_Y!R20</f>
        <v/>
      </c>
      <c r="P18" s="464">
        <f>FS_Y!S20</f>
        <v/>
      </c>
      <c r="Q18" s="464">
        <f>FS_Y!T20</f>
        <v/>
      </c>
      <c r="R18" s="464">
        <f>FS_Y!U20</f>
        <v/>
      </c>
      <c r="S18" s="464">
        <f>FS_Y!V20</f>
        <v/>
      </c>
      <c r="T18" s="464">
        <f>FS_Y!W20</f>
        <v/>
      </c>
    </row>
    <row r="19">
      <c r="A19" s="56" t="inlineStr">
        <is>
          <t>Other income / (costs)</t>
        </is>
      </c>
      <c r="B19" s="64">
        <f>FS_Y!E21</f>
        <v/>
      </c>
      <c r="C19" s="464">
        <f>FS_Y!F21</f>
        <v/>
      </c>
      <c r="D19" s="464">
        <f>FS_Y!G21</f>
        <v/>
      </c>
      <c r="E19" s="464">
        <f>FS_Y!H21</f>
        <v/>
      </c>
      <c r="F19" s="464">
        <f>FS_Y!I21</f>
        <v/>
      </c>
      <c r="G19" s="464">
        <f>FS_Y!J21</f>
        <v/>
      </c>
      <c r="H19" s="464">
        <f>FS_Y!K21</f>
        <v/>
      </c>
      <c r="I19" s="464">
        <f>FS_Y!L21</f>
        <v/>
      </c>
      <c r="J19" s="464">
        <f>FS_Y!M21</f>
        <v/>
      </c>
      <c r="K19" s="464">
        <f>FS_Y!N21</f>
        <v/>
      </c>
      <c r="L19" s="464">
        <f>FS_Y!O21</f>
        <v/>
      </c>
      <c r="M19" s="464">
        <f>FS_Y!P21</f>
        <v/>
      </c>
      <c r="N19" s="464">
        <f>FS_Y!Q21</f>
        <v/>
      </c>
      <c r="O19" s="464">
        <f>FS_Y!R21</f>
        <v/>
      </c>
      <c r="P19" s="464">
        <f>FS_Y!S21</f>
        <v/>
      </c>
      <c r="Q19" s="464">
        <f>FS_Y!T21</f>
        <v/>
      </c>
      <c r="R19" s="464">
        <f>FS_Y!U21</f>
        <v/>
      </c>
      <c r="S19" s="464">
        <f>FS_Y!V21</f>
        <v/>
      </c>
      <c r="T19" s="464">
        <f>FS_Y!W21</f>
        <v/>
      </c>
    </row>
    <row r="20" customFormat="1" s="22">
      <c r="A20" s="335" t="inlineStr">
        <is>
          <t>Profit before tax</t>
        </is>
      </c>
      <c r="B20" s="334">
        <f>FS_Y!E23</f>
        <v/>
      </c>
      <c r="C20" s="551">
        <f>FS_Y!F23</f>
        <v/>
      </c>
      <c r="D20" s="551">
        <f>FS_Y!G23</f>
        <v/>
      </c>
      <c r="E20" s="551">
        <f>FS_Y!H23</f>
        <v/>
      </c>
      <c r="F20" s="551">
        <f>FS_Y!I23</f>
        <v/>
      </c>
      <c r="G20" s="551">
        <f>FS_Y!J23</f>
        <v/>
      </c>
      <c r="H20" s="551">
        <f>FS_Y!K23</f>
        <v/>
      </c>
      <c r="I20" s="551">
        <f>FS_Y!L23</f>
        <v/>
      </c>
      <c r="J20" s="551">
        <f>FS_Y!M23</f>
        <v/>
      </c>
      <c r="K20" s="551">
        <f>FS_Y!N23</f>
        <v/>
      </c>
      <c r="L20" s="551">
        <f>FS_Y!O23</f>
        <v/>
      </c>
      <c r="M20" s="551">
        <f>FS_Y!P23</f>
        <v/>
      </c>
      <c r="N20" s="551">
        <f>FS_Y!Q23</f>
        <v/>
      </c>
      <c r="O20" s="551">
        <f>FS_Y!R23</f>
        <v/>
      </c>
      <c r="P20" s="551">
        <f>FS_Y!S23</f>
        <v/>
      </c>
      <c r="Q20" s="551">
        <f>FS_Y!T23</f>
        <v/>
      </c>
      <c r="R20" s="551">
        <f>FS_Y!U23</f>
        <v/>
      </c>
      <c r="S20" s="551">
        <f>FS_Y!V23</f>
        <v/>
      </c>
      <c r="T20" s="551">
        <f>FS_Y!W23</f>
        <v/>
      </c>
    </row>
    <row r="21">
      <c r="A21" s="56" t="inlineStr">
        <is>
          <t>Income tax expense</t>
        </is>
      </c>
      <c r="B21" s="64">
        <f>FS_Y!E24</f>
        <v/>
      </c>
      <c r="C21" s="464">
        <f>FS_Y!F24</f>
        <v/>
      </c>
      <c r="D21" s="464">
        <f>FS_Y!G24</f>
        <v/>
      </c>
      <c r="E21" s="464">
        <f>FS_Y!H24</f>
        <v/>
      </c>
      <c r="F21" s="464">
        <f>FS_Y!I24</f>
        <v/>
      </c>
      <c r="G21" s="464">
        <f>FS_Y!J24</f>
        <v/>
      </c>
      <c r="H21" s="464">
        <f>FS_Y!K24</f>
        <v/>
      </c>
      <c r="I21" s="464">
        <f>FS_Y!L24</f>
        <v/>
      </c>
      <c r="J21" s="464">
        <f>FS_Y!M24</f>
        <v/>
      </c>
      <c r="K21" s="464">
        <f>FS_Y!N24</f>
        <v/>
      </c>
      <c r="L21" s="464">
        <f>FS_Y!O24</f>
        <v/>
      </c>
      <c r="M21" s="464">
        <f>FS_Y!P24</f>
        <v/>
      </c>
      <c r="N21" s="464">
        <f>FS_Y!Q24</f>
        <v/>
      </c>
      <c r="O21" s="464">
        <f>FS_Y!R24</f>
        <v/>
      </c>
      <c r="P21" s="464">
        <f>FS_Y!S24</f>
        <v/>
      </c>
      <c r="Q21" s="464">
        <f>FS_Y!T24</f>
        <v/>
      </c>
      <c r="R21" s="464">
        <f>FS_Y!U24</f>
        <v/>
      </c>
      <c r="S21" s="464">
        <f>FS_Y!V24</f>
        <v/>
      </c>
      <c r="T21" s="464">
        <f>FS_Y!W24</f>
        <v/>
      </c>
    </row>
    <row r="22" customFormat="1" s="22">
      <c r="A22" s="32" t="inlineStr">
        <is>
          <t xml:space="preserve">Net income </t>
        </is>
      </c>
      <c r="B22" s="66">
        <f>FS_Y!E27</f>
        <v/>
      </c>
      <c r="C22" s="552">
        <f>FS_Y!F27</f>
        <v/>
      </c>
      <c r="D22" s="552">
        <f>FS_Y!G27</f>
        <v/>
      </c>
      <c r="E22" s="552">
        <f>FS_Y!H25</f>
        <v/>
      </c>
      <c r="F22" s="552">
        <f>FS_Y!I25</f>
        <v/>
      </c>
      <c r="G22" s="552">
        <f>FS_Y!J25</f>
        <v/>
      </c>
      <c r="H22" s="552">
        <f>FS_Y!K25</f>
        <v/>
      </c>
      <c r="I22" s="552">
        <f>FS_Y!L25</f>
        <v/>
      </c>
      <c r="J22" s="552">
        <f>FS_Y!M25</f>
        <v/>
      </c>
      <c r="K22" s="552">
        <f>FS_Y!N25</f>
        <v/>
      </c>
      <c r="L22" s="552">
        <f>FS_Y!O25</f>
        <v/>
      </c>
      <c r="M22" s="552">
        <f>FS_Y!P25</f>
        <v/>
      </c>
      <c r="N22" s="552">
        <f>FS_Y!Q25</f>
        <v/>
      </c>
      <c r="O22" s="552">
        <f>FS_Y!R25</f>
        <v/>
      </c>
      <c r="P22" s="552">
        <f>FS_Y!S25</f>
        <v/>
      </c>
      <c r="Q22" s="552">
        <f>FS_Y!T25</f>
        <v/>
      </c>
      <c r="R22" s="552">
        <f>FS_Y!U25</f>
        <v/>
      </c>
      <c r="S22" s="552">
        <f>FS_Y!V25</f>
        <v/>
      </c>
      <c r="T22" s="552">
        <f>FS_Y!W25</f>
        <v/>
      </c>
    </row>
    <row r="23">
      <c r="A23" s="71" t="inlineStr">
        <is>
          <t>Basic EPS (USD)</t>
        </is>
      </c>
      <c r="B23" s="330">
        <f>FS_Y!E29</f>
        <v/>
      </c>
      <c r="C23" s="330">
        <f>FS_Y!F29</f>
        <v/>
      </c>
      <c r="D23" s="330">
        <f>FS_Y!G29</f>
        <v/>
      </c>
      <c r="E23" s="330">
        <f>FS_Y!H29</f>
        <v/>
      </c>
      <c r="F23" s="330">
        <f>FS_Y!I29</f>
        <v/>
      </c>
      <c r="G23" s="330">
        <f>FS_Y!J29</f>
        <v/>
      </c>
      <c r="H23" s="330">
        <f>FS_Y!K29</f>
        <v/>
      </c>
      <c r="I23" s="330">
        <f>FS_Y!L29</f>
        <v/>
      </c>
      <c r="J23" s="330">
        <f>FS_Y!M29</f>
        <v/>
      </c>
      <c r="K23" s="330">
        <f>FS_Y!N29</f>
        <v/>
      </c>
      <c r="L23" s="330">
        <f>FS_Y!O29</f>
        <v/>
      </c>
      <c r="M23" s="330">
        <f>FS_Y!P29</f>
        <v/>
      </c>
      <c r="N23" s="330">
        <f>FS_Y!Q29</f>
        <v/>
      </c>
      <c r="O23" s="330">
        <f>FS_Y!R29</f>
        <v/>
      </c>
      <c r="P23" s="330">
        <f>FS_Y!S29</f>
        <v/>
      </c>
      <c r="Q23" s="330">
        <f>FS_Y!T29</f>
        <v/>
      </c>
      <c r="R23" s="330">
        <f>FS_Y!U29</f>
        <v/>
      </c>
      <c r="S23" s="330">
        <f>FS_Y!V29</f>
        <v/>
      </c>
      <c r="T23" s="330">
        <f>FS_Y!W29</f>
        <v/>
      </c>
    </row>
    <row r="24">
      <c r="A24" s="339" t="inlineStr">
        <is>
          <t>Diluted EPS (USD)</t>
        </is>
      </c>
      <c r="B24" s="338">
        <f>FS_Y!E30</f>
        <v/>
      </c>
      <c r="C24" s="338">
        <f>FS_Y!F30</f>
        <v/>
      </c>
      <c r="D24" s="338">
        <f>FS_Y!G30</f>
        <v/>
      </c>
      <c r="E24" s="338">
        <f>FS_Y!H30</f>
        <v/>
      </c>
      <c r="F24" s="338">
        <f>FS_Y!I30</f>
        <v/>
      </c>
      <c r="G24" s="338">
        <f>FS_Y!J30</f>
        <v/>
      </c>
      <c r="H24" s="338">
        <f>FS_Y!K30</f>
        <v/>
      </c>
      <c r="I24" s="338">
        <f>FS_Y!L30</f>
        <v/>
      </c>
      <c r="J24" s="338">
        <f>FS_Y!M30</f>
        <v/>
      </c>
      <c r="K24" s="338">
        <f>FS_Y!N30</f>
        <v/>
      </c>
      <c r="L24" s="338">
        <f>FS_Y!O30</f>
        <v/>
      </c>
      <c r="M24" s="338">
        <f>FS_Y!P30</f>
        <v/>
      </c>
      <c r="N24" s="338">
        <f>FS_Y!Q30</f>
        <v/>
      </c>
      <c r="O24" s="338">
        <f>FS_Y!R30</f>
        <v/>
      </c>
      <c r="P24" s="338">
        <f>FS_Y!S30</f>
        <v/>
      </c>
      <c r="Q24" s="338">
        <f>FS_Y!T30</f>
        <v/>
      </c>
      <c r="R24" s="338">
        <f>FS_Y!U30</f>
        <v/>
      </c>
      <c r="S24" s="338">
        <f>FS_Y!V30</f>
        <v/>
      </c>
      <c r="T24" s="338">
        <f>FS_Y!W30</f>
        <v/>
      </c>
    </row>
    <row r="25" customFormat="1" s="20">
      <c r="A25" s="56" t="n"/>
    </row>
    <row r="26" customFormat="1" s="20">
      <c r="A26" s="56" t="n"/>
    </row>
    <row r="27" customFormat="1" s="20">
      <c r="A27" s="56" t="n"/>
    </row>
    <row r="28" customFormat="1" s="20">
      <c r="A28" s="313" t="inlineStr">
        <is>
          <t>Key Ratios</t>
        </is>
      </c>
    </row>
    <row r="29">
      <c r="R29" s="20" t="n"/>
      <c r="S29" s="20" t="n"/>
      <c r="T29" s="20" t="n"/>
    </row>
    <row r="30" customFormat="1" s="20">
      <c r="A30" s="337" t="n"/>
      <c r="B30" s="336">
        <f>B$6</f>
        <v/>
      </c>
      <c r="C30" s="336">
        <f>C$6</f>
        <v/>
      </c>
      <c r="D30" s="336">
        <f>D$6</f>
        <v/>
      </c>
      <c r="E30" s="336">
        <f>E$6</f>
        <v/>
      </c>
      <c r="F30" s="336">
        <f>F$6</f>
        <v/>
      </c>
      <c r="G30" s="336">
        <f>G$6</f>
        <v/>
      </c>
      <c r="H30" s="336">
        <f>H$6</f>
        <v/>
      </c>
      <c r="I30" s="336">
        <f>I$6</f>
        <v/>
      </c>
      <c r="J30" s="336">
        <f>J$6</f>
        <v/>
      </c>
      <c r="K30" s="336">
        <f>K$6</f>
        <v/>
      </c>
      <c r="L30" s="336">
        <f>L$6</f>
        <v/>
      </c>
      <c r="M30" s="336">
        <f>M$6</f>
        <v/>
      </c>
      <c r="N30" s="336">
        <f>N$6</f>
        <v/>
      </c>
      <c r="O30" s="336">
        <f>O$6</f>
        <v/>
      </c>
      <c r="P30" s="336">
        <f>P$6</f>
        <v/>
      </c>
      <c r="Q30" s="336">
        <f>Q$6</f>
        <v/>
      </c>
      <c r="R30" s="336">
        <f>R$6</f>
        <v/>
      </c>
      <c r="S30" s="336">
        <f>S$6</f>
        <v/>
      </c>
      <c r="T30" s="336">
        <f>T$6</f>
        <v/>
      </c>
    </row>
    <row r="31" customFormat="1" s="20">
      <c r="A31" s="32" t="inlineStr">
        <is>
          <t>Growth Rate</t>
        </is>
      </c>
    </row>
    <row r="32" customFormat="1" s="20">
      <c r="A32" s="56" t="inlineStr">
        <is>
          <t>Revenue</t>
        </is>
      </c>
      <c r="B32" s="861" t="n"/>
      <c r="C32" s="895">
        <f>C13/B13-1</f>
        <v/>
      </c>
      <c r="D32" s="895">
        <f>D13/C13-1</f>
        <v/>
      </c>
      <c r="E32" s="895">
        <f>E13/D13-1</f>
        <v/>
      </c>
      <c r="F32" s="895">
        <f>F13/E13-1</f>
        <v/>
      </c>
      <c r="G32" s="895">
        <f>G13/F13-1</f>
        <v/>
      </c>
      <c r="H32" s="894">
        <f>H13/G13-1</f>
        <v/>
      </c>
      <c r="I32" s="894">
        <f>I13/H13-1</f>
        <v/>
      </c>
      <c r="J32" s="894">
        <f>J13/I13-1</f>
        <v/>
      </c>
      <c r="K32" s="894">
        <f>K13/J13-1</f>
        <v/>
      </c>
      <c r="L32" s="894">
        <f>L13/K13-1</f>
        <v/>
      </c>
      <c r="M32" s="894">
        <f>M13/L13-1</f>
        <v/>
      </c>
      <c r="N32" s="894">
        <f>N13/M13-1</f>
        <v/>
      </c>
      <c r="O32" s="894">
        <f>O13/N13-1</f>
        <v/>
      </c>
      <c r="P32" s="894">
        <f>P13/O13-1</f>
        <v/>
      </c>
      <c r="Q32" s="894">
        <f>Q13/P13-1</f>
        <v/>
      </c>
      <c r="R32" s="894">
        <f>R13/Q13-1</f>
        <v/>
      </c>
      <c r="S32" s="894">
        <f>S13/R13-1</f>
        <v/>
      </c>
      <c r="T32" s="894">
        <f>T13/S13-1</f>
        <v/>
      </c>
    </row>
    <row r="33" outlineLevel="1" ht="13.25" customFormat="1" customHeight="1" s="20">
      <c r="A33" s="89">
        <f>A7</f>
        <v/>
      </c>
      <c r="B33" s="861" t="n"/>
      <c r="C33" s="895" t="inlineStr">
        <is>
          <t>n.a.</t>
        </is>
      </c>
      <c r="D33" s="895" t="inlineStr">
        <is>
          <t>n.a.</t>
        </is>
      </c>
      <c r="E33" s="895" t="inlineStr">
        <is>
          <t>n.a.</t>
        </is>
      </c>
      <c r="F33" s="895" t="inlineStr">
        <is>
          <t>n.a.</t>
        </is>
      </c>
      <c r="G33" s="895" t="inlineStr">
        <is>
          <t>n.a.</t>
        </is>
      </c>
      <c r="H33" s="861">
        <f>H7/G7-1</f>
        <v/>
      </c>
      <c r="I33" s="861">
        <f>I7/H7-1</f>
        <v/>
      </c>
      <c r="J33" s="861">
        <f>J7/I7-1</f>
        <v/>
      </c>
      <c r="K33" s="861">
        <f>K7/J7-1</f>
        <v/>
      </c>
      <c r="L33" s="861">
        <f>L7/K7-1</f>
        <v/>
      </c>
      <c r="M33" s="861">
        <f>M7/L7-1</f>
        <v/>
      </c>
      <c r="N33" s="861">
        <f>N7/M7-1</f>
        <v/>
      </c>
      <c r="O33" s="861">
        <f>O7/N7-1</f>
        <v/>
      </c>
      <c r="P33" s="861">
        <f>P7/O7-1</f>
        <v/>
      </c>
      <c r="Q33" s="861">
        <f>Q7/P7-1</f>
        <v/>
      </c>
      <c r="R33" s="861">
        <f>R7/Q7-1</f>
        <v/>
      </c>
      <c r="S33" s="861">
        <f>S7/R7-1</f>
        <v/>
      </c>
      <c r="T33" s="861">
        <f>T7/S7-1</f>
        <v/>
      </c>
    </row>
    <row r="34" outlineLevel="1" ht="13.25" customFormat="1" customHeight="1" s="20">
      <c r="A34" s="89">
        <f>A8</f>
        <v/>
      </c>
      <c r="B34" s="861" t="n"/>
      <c r="C34" s="895" t="inlineStr">
        <is>
          <t>n.a.</t>
        </is>
      </c>
      <c r="D34" s="895" t="inlineStr">
        <is>
          <t>n.a.</t>
        </is>
      </c>
      <c r="E34" s="895" t="inlineStr">
        <is>
          <t>n.a.</t>
        </is>
      </c>
      <c r="F34" s="895" t="inlineStr">
        <is>
          <t>n.a.</t>
        </is>
      </c>
      <c r="G34" s="895" t="inlineStr">
        <is>
          <t>n.a.</t>
        </is>
      </c>
      <c r="H34" s="861">
        <f>H8/G8-1</f>
        <v/>
      </c>
      <c r="I34" s="861">
        <f>I8/H8-1</f>
        <v/>
      </c>
      <c r="J34" s="861">
        <f>J8/I8-1</f>
        <v/>
      </c>
      <c r="K34" s="861">
        <f>K8/J8-1</f>
        <v/>
      </c>
      <c r="L34" s="861">
        <f>L8/K8-1</f>
        <v/>
      </c>
      <c r="M34" s="861">
        <f>M8/L8-1</f>
        <v/>
      </c>
      <c r="N34" s="861">
        <f>N8/M8-1</f>
        <v/>
      </c>
      <c r="O34" s="861">
        <f>O8/N8-1</f>
        <v/>
      </c>
      <c r="P34" s="861">
        <f>P8/O8-1</f>
        <v/>
      </c>
      <c r="Q34" s="861">
        <f>Q8/P8-1</f>
        <v/>
      </c>
      <c r="R34" s="861">
        <f>R8/Q8-1</f>
        <v/>
      </c>
      <c r="S34" s="861">
        <f>S8/R8-1</f>
        <v/>
      </c>
      <c r="T34" s="861">
        <f>T8/S8-1</f>
        <v/>
      </c>
    </row>
    <row r="35" outlineLevel="1" ht="13.25" customFormat="1" customHeight="1" s="20">
      <c r="A35" s="89">
        <f>A9</f>
        <v/>
      </c>
      <c r="B35" s="861" t="n"/>
      <c r="C35" s="895" t="inlineStr">
        <is>
          <t>n.a.</t>
        </is>
      </c>
      <c r="D35" s="895" t="inlineStr">
        <is>
          <t>n.a.</t>
        </is>
      </c>
      <c r="E35" s="895" t="inlineStr">
        <is>
          <t>n.a.</t>
        </is>
      </c>
      <c r="F35" s="895" t="inlineStr">
        <is>
          <t>n.a.</t>
        </is>
      </c>
      <c r="G35" s="895" t="inlineStr">
        <is>
          <t>n.a.</t>
        </is>
      </c>
      <c r="H35" s="861">
        <f>H9/G9-1</f>
        <v/>
      </c>
      <c r="I35" s="861">
        <f>I9/H9-1</f>
        <v/>
      </c>
      <c r="J35" s="861">
        <f>J9/I9-1</f>
        <v/>
      </c>
      <c r="K35" s="861">
        <f>K9/J9-1</f>
        <v/>
      </c>
      <c r="L35" s="861">
        <f>L9/K9-1</f>
        <v/>
      </c>
      <c r="M35" s="861">
        <f>M9/L9-1</f>
        <v/>
      </c>
      <c r="N35" s="861">
        <f>N9/M9-1</f>
        <v/>
      </c>
      <c r="O35" s="861">
        <f>O9/N9-1</f>
        <v/>
      </c>
      <c r="P35" s="861">
        <f>P9/O9-1</f>
        <v/>
      </c>
      <c r="Q35" s="861">
        <f>Q9/P9-1</f>
        <v/>
      </c>
      <c r="R35" s="861">
        <f>R9/Q9-1</f>
        <v/>
      </c>
      <c r="S35" s="861">
        <f>S9/R9-1</f>
        <v/>
      </c>
      <c r="T35" s="861">
        <f>T9/S9-1</f>
        <v/>
      </c>
    </row>
    <row r="36" outlineLevel="1" ht="13.25" customFormat="1" customHeight="1" s="20">
      <c r="A36" s="89">
        <f>A10</f>
        <v/>
      </c>
      <c r="B36" s="861" t="n"/>
      <c r="C36" s="895" t="inlineStr">
        <is>
          <t>n.a.</t>
        </is>
      </c>
      <c r="D36" s="895" t="inlineStr">
        <is>
          <t>n.a.</t>
        </is>
      </c>
      <c r="E36" s="895" t="inlineStr">
        <is>
          <t>n.a.</t>
        </is>
      </c>
      <c r="F36" s="895" t="inlineStr">
        <is>
          <t>n.a.</t>
        </is>
      </c>
      <c r="G36" s="895" t="inlineStr">
        <is>
          <t>n.a.</t>
        </is>
      </c>
      <c r="H36" s="861">
        <f>H10/G10-1</f>
        <v/>
      </c>
      <c r="I36" s="861">
        <f>I10/H10-1</f>
        <v/>
      </c>
      <c r="J36" s="861">
        <f>J10/I10-1</f>
        <v/>
      </c>
      <c r="K36" s="861">
        <f>K10/J10-1</f>
        <v/>
      </c>
      <c r="L36" s="861">
        <f>L10/K10-1</f>
        <v/>
      </c>
      <c r="M36" s="861">
        <f>M10/L10-1</f>
        <v/>
      </c>
      <c r="N36" s="861">
        <f>N10/M10-1</f>
        <v/>
      </c>
      <c r="O36" s="861">
        <f>O10/N10-1</f>
        <v/>
      </c>
      <c r="P36" s="861">
        <f>P10/O10-1</f>
        <v/>
      </c>
      <c r="Q36" s="861">
        <f>Q10/P10-1</f>
        <v/>
      </c>
      <c r="R36" s="861">
        <f>R10/Q10-1</f>
        <v/>
      </c>
      <c r="S36" s="861">
        <f>S10/R10-1</f>
        <v/>
      </c>
      <c r="T36" s="861">
        <f>T10/S10-1</f>
        <v/>
      </c>
    </row>
    <row r="37" outlineLevel="1" ht="13.25" customFormat="1" customHeight="1" s="20">
      <c r="A37" s="89">
        <f>A11</f>
        <v/>
      </c>
      <c r="B37" s="861" t="n"/>
      <c r="C37" s="895" t="inlineStr">
        <is>
          <t>n.a.</t>
        </is>
      </c>
      <c r="D37" s="895" t="inlineStr">
        <is>
          <t>n.a.</t>
        </is>
      </c>
      <c r="E37" s="895" t="inlineStr">
        <is>
          <t>n.a.</t>
        </is>
      </c>
      <c r="F37" s="895" t="inlineStr">
        <is>
          <t>n.a.</t>
        </is>
      </c>
      <c r="G37" s="895" t="inlineStr">
        <is>
          <t>n.a.</t>
        </is>
      </c>
      <c r="H37" s="861">
        <f>H11/G11-1</f>
        <v/>
      </c>
      <c r="I37" s="861">
        <f>I11/H11-1</f>
        <v/>
      </c>
      <c r="J37" s="861">
        <f>J11/I11-1</f>
        <v/>
      </c>
      <c r="K37" s="861">
        <f>K11/J11-1</f>
        <v/>
      </c>
      <c r="L37" s="861">
        <f>L11/K11-1</f>
        <v/>
      </c>
      <c r="M37" s="861">
        <f>M11/L11-1</f>
        <v/>
      </c>
      <c r="N37" s="861">
        <f>N11/M11-1</f>
        <v/>
      </c>
      <c r="O37" s="861">
        <f>O11/N11-1</f>
        <v/>
      </c>
      <c r="P37" s="861">
        <f>P11/O11-1</f>
        <v/>
      </c>
      <c r="Q37" s="861">
        <f>Q11/P11-1</f>
        <v/>
      </c>
      <c r="R37" s="861">
        <f>R11/Q11-1</f>
        <v/>
      </c>
      <c r="S37" s="861">
        <f>S11/R11-1</f>
        <v/>
      </c>
      <c r="T37" s="861">
        <f>T11/S11-1</f>
        <v/>
      </c>
    </row>
    <row r="38" outlineLevel="1" ht="13.25" customFormat="1" customHeight="1" s="20">
      <c r="A38" s="89">
        <f>A12</f>
        <v/>
      </c>
      <c r="B38" s="861" t="n"/>
      <c r="C38" s="895" t="inlineStr">
        <is>
          <t>n.a.</t>
        </is>
      </c>
      <c r="D38" s="895" t="inlineStr">
        <is>
          <t>n.a.</t>
        </is>
      </c>
      <c r="E38" s="895" t="inlineStr">
        <is>
          <t>n.a.</t>
        </is>
      </c>
      <c r="F38" s="895" t="inlineStr">
        <is>
          <t>n.a.</t>
        </is>
      </c>
      <c r="G38" s="895" t="inlineStr">
        <is>
          <t>n.a.</t>
        </is>
      </c>
      <c r="H38" s="861">
        <f>H12/G12-1</f>
        <v/>
      </c>
      <c r="I38" s="861">
        <f>I12/H12-1</f>
        <v/>
      </c>
      <c r="J38" s="861">
        <f>J12/I12-1</f>
        <v/>
      </c>
      <c r="K38" s="861">
        <f>K12/J12-1</f>
        <v/>
      </c>
      <c r="L38" s="861">
        <f>L12/K12-1</f>
        <v/>
      </c>
      <c r="M38" s="861">
        <f>M12/L12-1</f>
        <v/>
      </c>
      <c r="N38" s="861">
        <f>N12/M12-1</f>
        <v/>
      </c>
      <c r="O38" s="861">
        <f>O12/N12-1</f>
        <v/>
      </c>
      <c r="P38" s="861">
        <f>P12/O12-1</f>
        <v/>
      </c>
      <c r="Q38" s="861">
        <f>Q12/P12-1</f>
        <v/>
      </c>
      <c r="R38" s="861">
        <f>R12/Q12-1</f>
        <v/>
      </c>
      <c r="S38" s="861">
        <f>S12/R12-1</f>
        <v/>
      </c>
      <c r="T38" s="861">
        <f>T12/S12-1</f>
        <v/>
      </c>
    </row>
    <row r="39" customFormat="1" s="20">
      <c r="A39" s="56" t="inlineStr">
        <is>
          <t>Gross Profit</t>
        </is>
      </c>
      <c r="B39" s="861" t="n"/>
      <c r="C39" s="895">
        <f>C15/B15-1</f>
        <v/>
      </c>
      <c r="D39" s="895">
        <f>D15/C15-1</f>
        <v/>
      </c>
      <c r="E39" s="895">
        <f>E15/D15-1</f>
        <v/>
      </c>
      <c r="F39" s="895">
        <f>F15/E15-1</f>
        <v/>
      </c>
      <c r="G39" s="895">
        <f>G15/F15-1</f>
        <v/>
      </c>
      <c r="H39" s="894">
        <f>H15/G15-1</f>
        <v/>
      </c>
      <c r="I39" s="894">
        <f>I15/H15-1</f>
        <v/>
      </c>
      <c r="J39" s="894">
        <f>J15/I15-1</f>
        <v/>
      </c>
      <c r="K39" s="894">
        <f>K15/J15-1</f>
        <v/>
      </c>
      <c r="L39" s="894">
        <f>L15/K15-1</f>
        <v/>
      </c>
      <c r="M39" s="894">
        <f>M15/L15-1</f>
        <v/>
      </c>
      <c r="N39" s="894">
        <f>N15/M15-1</f>
        <v/>
      </c>
      <c r="O39" s="894">
        <f>O15/N15-1</f>
        <v/>
      </c>
      <c r="P39" s="894">
        <f>P15/O15-1</f>
        <v/>
      </c>
      <c r="Q39" s="894">
        <f>Q15/P15-1</f>
        <v/>
      </c>
      <c r="R39" s="894">
        <f>R15/Q15-1</f>
        <v/>
      </c>
      <c r="S39" s="894">
        <f>S15/R15-1</f>
        <v/>
      </c>
      <c r="T39" s="894">
        <f>T15/S15-1</f>
        <v/>
      </c>
    </row>
    <row r="40" customFormat="1" s="20">
      <c r="A40" s="56" t="inlineStr">
        <is>
          <t>EBIT</t>
        </is>
      </c>
      <c r="B40" s="861" t="n"/>
      <c r="C40" s="895">
        <f>C17/B17-1</f>
        <v/>
      </c>
      <c r="D40" s="895">
        <f>D17/C17-1</f>
        <v/>
      </c>
      <c r="E40" s="895">
        <f>E17/D17-1</f>
        <v/>
      </c>
      <c r="F40" s="895">
        <f>F17/E17-1</f>
        <v/>
      </c>
      <c r="G40" s="895">
        <f>G17/F17-1</f>
        <v/>
      </c>
      <c r="H40" s="894">
        <f>H17/G17-1</f>
        <v/>
      </c>
      <c r="I40" s="894">
        <f>I17/H17-1</f>
        <v/>
      </c>
      <c r="J40" s="894">
        <f>J17/I17-1</f>
        <v/>
      </c>
      <c r="K40" s="894">
        <f>K17/J17-1</f>
        <v/>
      </c>
      <c r="L40" s="894">
        <f>L17/K17-1</f>
        <v/>
      </c>
      <c r="M40" s="894">
        <f>M17/L17-1</f>
        <v/>
      </c>
      <c r="N40" s="894">
        <f>N17/M17-1</f>
        <v/>
      </c>
      <c r="O40" s="894">
        <f>O17/N17-1</f>
        <v/>
      </c>
      <c r="P40" s="894">
        <f>P17/O17-1</f>
        <v/>
      </c>
      <c r="Q40" s="894">
        <f>Q17/P17-1</f>
        <v/>
      </c>
      <c r="R40" s="894">
        <f>R17/Q17-1</f>
        <v/>
      </c>
      <c r="S40" s="894">
        <f>S17/R17-1</f>
        <v/>
      </c>
      <c r="T40" s="894">
        <f>T17/S17-1</f>
        <v/>
      </c>
    </row>
    <row r="41" customFormat="1" s="20">
      <c r="A41" s="56" t="inlineStr">
        <is>
          <t>Net Profit (Attributable)</t>
        </is>
      </c>
      <c r="B41" s="861" t="n"/>
      <c r="C41" s="895">
        <f>C22/B22-1</f>
        <v/>
      </c>
      <c r="D41" s="895">
        <f>D22/C22-1</f>
        <v/>
      </c>
      <c r="E41" s="895">
        <f>E22/D22-1</f>
        <v/>
      </c>
      <c r="F41" s="895">
        <f>F22/E22-1</f>
        <v/>
      </c>
      <c r="G41" s="895">
        <f>G22/F22-1</f>
        <v/>
      </c>
      <c r="H41" s="894">
        <f>H22/G22-1</f>
        <v/>
      </c>
      <c r="I41" s="894">
        <f>I22/H22-1</f>
        <v/>
      </c>
      <c r="J41" s="894">
        <f>J22/I22-1</f>
        <v/>
      </c>
      <c r="K41" s="894">
        <f>K22/J22-1</f>
        <v/>
      </c>
      <c r="L41" s="894">
        <f>L22/K22-1</f>
        <v/>
      </c>
      <c r="M41" s="894">
        <f>M22/L22-1</f>
        <v/>
      </c>
      <c r="N41" s="894">
        <f>N22/M22-1</f>
        <v/>
      </c>
      <c r="O41" s="894">
        <f>O22/N22-1</f>
        <v/>
      </c>
      <c r="P41" s="894">
        <f>P22/O22-1</f>
        <v/>
      </c>
      <c r="Q41" s="894">
        <f>Q22/P22-1</f>
        <v/>
      </c>
      <c r="R41" s="894">
        <f>R22/Q22-1</f>
        <v/>
      </c>
      <c r="S41" s="894">
        <f>S22/R22-1</f>
        <v/>
      </c>
      <c r="T41" s="894">
        <f>T22/S22-1</f>
        <v/>
      </c>
    </row>
    <row r="42" customFormat="1" s="20">
      <c r="A42" s="56" t="inlineStr">
        <is>
          <t xml:space="preserve">EPS (Basic) </t>
        </is>
      </c>
      <c r="B42" s="861" t="n"/>
      <c r="C42" s="895">
        <f>C23/B23-1</f>
        <v/>
      </c>
      <c r="D42" s="895">
        <f>D23/C23-1</f>
        <v/>
      </c>
      <c r="E42" s="895">
        <f>E23/D23-1</f>
        <v/>
      </c>
      <c r="F42" s="895">
        <f>F23/E23-1</f>
        <v/>
      </c>
      <c r="G42" s="895">
        <f>G23/F23-1</f>
        <v/>
      </c>
      <c r="H42" s="894">
        <f>H23/G23-1</f>
        <v/>
      </c>
      <c r="I42" s="894">
        <f>I23/H23-1</f>
        <v/>
      </c>
      <c r="J42" s="894">
        <f>J23/I23-1</f>
        <v/>
      </c>
      <c r="K42" s="894">
        <f>K23/J23-1</f>
        <v/>
      </c>
      <c r="L42" s="894">
        <f>L23/K23-1</f>
        <v/>
      </c>
      <c r="M42" s="894">
        <f>M23/L23-1</f>
        <v/>
      </c>
      <c r="N42" s="894">
        <f>N23/M23-1</f>
        <v/>
      </c>
      <c r="O42" s="894">
        <f>O23/N23-1</f>
        <v/>
      </c>
      <c r="P42" s="894">
        <f>P23/O23-1</f>
        <v/>
      </c>
      <c r="Q42" s="894">
        <f>Q23/P23-1</f>
        <v/>
      </c>
      <c r="R42" s="894">
        <f>R23/Q23-1</f>
        <v/>
      </c>
      <c r="S42" s="894">
        <f>S23/R23-1</f>
        <v/>
      </c>
      <c r="T42" s="894">
        <f>T23/S23-1</f>
        <v/>
      </c>
    </row>
    <row r="43" customFormat="1" s="20">
      <c r="A43" s="89" t="n"/>
      <c r="B43" s="861" t="n"/>
      <c r="C43" s="861" t="n"/>
      <c r="D43" s="861" t="n"/>
      <c r="E43" s="861" t="n"/>
      <c r="F43" s="861" t="n"/>
      <c r="G43" s="861" t="n"/>
      <c r="H43" s="861" t="n"/>
      <c r="I43" s="861" t="n"/>
      <c r="J43" s="861" t="n"/>
      <c r="K43" s="861" t="n"/>
      <c r="L43" s="861" t="n"/>
      <c r="M43" s="861" t="n"/>
      <c r="N43" s="861" t="n"/>
      <c r="O43" s="861" t="n"/>
      <c r="P43" s="861" t="n"/>
      <c r="Q43" s="861" t="n"/>
      <c r="R43" s="861" t="n"/>
      <c r="S43" s="861" t="n"/>
      <c r="T43" s="861" t="n"/>
    </row>
    <row r="44" customFormat="1" s="20">
      <c r="A44" s="32" t="inlineStr">
        <is>
          <t>Margin</t>
        </is>
      </c>
    </row>
    <row r="45" customFormat="1" s="20">
      <c r="A45" s="56" t="inlineStr">
        <is>
          <t>Gross Margin</t>
        </is>
      </c>
      <c r="B45" s="861" t="n"/>
      <c r="C45" s="861">
        <f>+C15/C13</f>
        <v/>
      </c>
      <c r="D45" s="861">
        <f>+D15/D13</f>
        <v/>
      </c>
      <c r="E45" s="861">
        <f>+E15/E13</f>
        <v/>
      </c>
      <c r="F45" s="861">
        <f>+F15/F13</f>
        <v/>
      </c>
      <c r="G45" s="861">
        <f>+G15/G13</f>
        <v/>
      </c>
      <c r="H45" s="861">
        <f>+H15/H13</f>
        <v/>
      </c>
      <c r="I45" s="861">
        <f>+I15/I13</f>
        <v/>
      </c>
      <c r="J45" s="861">
        <f>+J15/J13</f>
        <v/>
      </c>
      <c r="K45" s="861">
        <f>+K15/K13</f>
        <v/>
      </c>
      <c r="L45" s="861">
        <f>+L15/L13</f>
        <v/>
      </c>
      <c r="M45" s="861">
        <f>+M15/M13</f>
        <v/>
      </c>
      <c r="N45" s="861">
        <f>+N15/N13</f>
        <v/>
      </c>
      <c r="O45" s="861">
        <f>+O15/O13</f>
        <v/>
      </c>
      <c r="P45" s="861">
        <f>+P15/P13</f>
        <v/>
      </c>
      <c r="Q45" s="861">
        <f>+Q15/Q13</f>
        <v/>
      </c>
      <c r="R45" s="861">
        <f>+R15/R13</f>
        <v/>
      </c>
      <c r="S45" s="861">
        <f>+S15/S13</f>
        <v/>
      </c>
      <c r="T45" s="861">
        <f>+T15/T13</f>
        <v/>
      </c>
    </row>
    <row r="46" hidden="1" customFormat="1" s="20">
      <c r="A46" s="89">
        <f>INDEX(Assumption!A:A,Financials!#REF!-1)</f>
        <v/>
      </c>
      <c r="B46" s="861" t="n"/>
      <c r="C46" s="861" t="n"/>
      <c r="D46" s="861" t="n"/>
      <c r="E46" s="861" t="n"/>
      <c r="F46" s="861" t="n"/>
      <c r="G46" s="861" t="n"/>
      <c r="H46" s="861" t="n"/>
      <c r="I46" s="861" t="n"/>
      <c r="J46" s="861" t="n"/>
      <c r="K46" s="861" t="n"/>
      <c r="L46" s="861" t="n"/>
      <c r="M46" s="861" t="n"/>
      <c r="N46" s="861" t="n"/>
      <c r="O46" s="861" t="n"/>
      <c r="P46" s="861" t="n"/>
      <c r="Q46" s="861" t="n"/>
      <c r="R46" s="861" t="n"/>
      <c r="S46" s="861" t="n"/>
      <c r="T46" s="861" t="n"/>
    </row>
    <row r="47" hidden="1" customFormat="1" s="20">
      <c r="A47" s="89">
        <f>INDEX(Assumption!A:A,Financials!#REF!-1)</f>
        <v/>
      </c>
      <c r="B47" s="861" t="n"/>
      <c r="C47" s="861" t="n"/>
      <c r="D47" s="861" t="n"/>
      <c r="E47" s="861" t="n"/>
      <c r="F47" s="861" t="n"/>
      <c r="G47" s="861" t="n"/>
      <c r="H47" s="861" t="n"/>
      <c r="I47" s="861" t="n"/>
      <c r="J47" s="861" t="n"/>
      <c r="K47" s="861" t="n"/>
      <c r="L47" s="861" t="n"/>
      <c r="M47" s="861" t="n"/>
      <c r="N47" s="861" t="n"/>
      <c r="O47" s="861" t="n"/>
      <c r="P47" s="861" t="n"/>
      <c r="Q47" s="861" t="n"/>
      <c r="R47" s="861" t="n"/>
      <c r="S47" s="861" t="n"/>
      <c r="T47" s="861" t="n"/>
    </row>
    <row r="48" hidden="1" customFormat="1" s="20">
      <c r="A48" s="89">
        <f>INDEX(Assumption!A:A,Financials!#REF!-1)</f>
        <v/>
      </c>
      <c r="B48" s="895" t="n"/>
      <c r="C48" s="895" t="n"/>
      <c r="D48" s="895" t="n"/>
      <c r="E48" s="895" t="n"/>
      <c r="F48" s="895" t="n"/>
      <c r="G48" s="895" t="n"/>
      <c r="H48" s="894" t="n"/>
      <c r="I48" s="894" t="n"/>
      <c r="J48" s="894" t="n"/>
      <c r="K48" s="894" t="n"/>
      <c r="L48" s="894" t="n"/>
      <c r="M48" s="894" t="n"/>
      <c r="N48" s="894" t="n"/>
      <c r="O48" s="894" t="n"/>
      <c r="P48" s="894" t="n"/>
      <c r="Q48" s="894" t="n"/>
      <c r="R48" s="894" t="n"/>
      <c r="S48" s="894" t="n"/>
      <c r="T48" s="894" t="n"/>
    </row>
    <row r="49" hidden="1" customFormat="1" s="20">
      <c r="A49" s="89">
        <f>INDEX(Assumption!A:A,Financials!#REF!-1)</f>
        <v/>
      </c>
      <c r="B49" s="895" t="n"/>
      <c r="C49" s="895" t="n"/>
      <c r="D49" s="895" t="n"/>
      <c r="E49" s="895" t="n"/>
      <c r="F49" s="895" t="n"/>
      <c r="G49" s="895" t="n"/>
      <c r="H49" s="894" t="n"/>
      <c r="I49" s="894" t="n"/>
      <c r="J49" s="894" t="n"/>
      <c r="K49" s="894" t="n"/>
      <c r="L49" s="894" t="n"/>
      <c r="M49" s="894" t="n"/>
      <c r="N49" s="894" t="n"/>
      <c r="O49" s="894" t="n"/>
      <c r="P49" s="894" t="n"/>
      <c r="Q49" s="894" t="n"/>
      <c r="R49" s="894" t="n"/>
      <c r="S49" s="894" t="n"/>
      <c r="T49" s="894" t="n"/>
    </row>
    <row r="50" customFormat="1" s="20">
      <c r="A50" s="56" t="inlineStr">
        <is>
          <t>Operating Margin</t>
        </is>
      </c>
      <c r="B50" s="861" t="n"/>
      <c r="C50" s="861">
        <f>+C17/C13</f>
        <v/>
      </c>
      <c r="D50" s="861">
        <f>+D17/D13</f>
        <v/>
      </c>
      <c r="E50" s="861">
        <f>+E17/E13</f>
        <v/>
      </c>
      <c r="F50" s="861">
        <f>+F17/F13</f>
        <v/>
      </c>
      <c r="G50" s="861">
        <f>+G17/G13</f>
        <v/>
      </c>
      <c r="H50" s="861">
        <f>+H17/H13</f>
        <v/>
      </c>
      <c r="I50" s="861">
        <f>+I17/I13</f>
        <v/>
      </c>
      <c r="J50" s="861">
        <f>+J17/J13</f>
        <v/>
      </c>
      <c r="K50" s="861">
        <f>+K17/K13</f>
        <v/>
      </c>
      <c r="L50" s="861">
        <f>+L17/L13</f>
        <v/>
      </c>
      <c r="M50" s="861">
        <f>+M17/M13</f>
        <v/>
      </c>
      <c r="N50" s="861">
        <f>+N17/N13</f>
        <v/>
      </c>
      <c r="O50" s="861">
        <f>+O17/O13</f>
        <v/>
      </c>
      <c r="P50" s="861">
        <f>+P17/P13</f>
        <v/>
      </c>
      <c r="Q50" s="861">
        <f>+Q17/Q13</f>
        <v/>
      </c>
      <c r="R50" s="861">
        <f>+R17/R13</f>
        <v/>
      </c>
      <c r="S50" s="861">
        <f>+S17/S13</f>
        <v/>
      </c>
      <c r="T50" s="861">
        <f>+T17/T13</f>
        <v/>
      </c>
    </row>
    <row r="51" customFormat="1" s="20">
      <c r="A51" s="56" t="inlineStr">
        <is>
          <t>Pre-tax Margin</t>
        </is>
      </c>
      <c r="B51" s="861" t="n"/>
      <c r="C51" s="861">
        <f>+C20/C13</f>
        <v/>
      </c>
      <c r="D51" s="861">
        <f>+D20/D13</f>
        <v/>
      </c>
      <c r="E51" s="861">
        <f>+E20/E13</f>
        <v/>
      </c>
      <c r="F51" s="861">
        <f>+F20/F13</f>
        <v/>
      </c>
      <c r="G51" s="861">
        <f>+G20/G13</f>
        <v/>
      </c>
      <c r="H51" s="861">
        <f>+H20/H13</f>
        <v/>
      </c>
      <c r="I51" s="861">
        <f>+I20/I13</f>
        <v/>
      </c>
      <c r="J51" s="861">
        <f>+J20/J13</f>
        <v/>
      </c>
      <c r="K51" s="861">
        <f>+K20/K13</f>
        <v/>
      </c>
      <c r="L51" s="861">
        <f>+L20/L13</f>
        <v/>
      </c>
      <c r="M51" s="861">
        <f>+M20/M13</f>
        <v/>
      </c>
      <c r="N51" s="861">
        <f>+N20/N13</f>
        <v/>
      </c>
      <c r="O51" s="861">
        <f>+O20/O13</f>
        <v/>
      </c>
      <c r="P51" s="861">
        <f>+P20/P13</f>
        <v/>
      </c>
      <c r="Q51" s="861">
        <f>+Q20/Q13</f>
        <v/>
      </c>
      <c r="R51" s="861">
        <f>+R20/R13</f>
        <v/>
      </c>
      <c r="S51" s="861">
        <f>+S20/S13</f>
        <v/>
      </c>
      <c r="T51" s="861">
        <f>+T20/T13</f>
        <v/>
      </c>
    </row>
    <row r="52" customFormat="1" s="20">
      <c r="A52" s="56" t="inlineStr">
        <is>
          <t>Net Margin</t>
        </is>
      </c>
      <c r="B52" s="861" t="n"/>
      <c r="C52" s="861">
        <f>+C22/C13</f>
        <v/>
      </c>
      <c r="D52" s="861">
        <f>+D22/D13</f>
        <v/>
      </c>
      <c r="E52" s="861">
        <f>+E22/E13</f>
        <v/>
      </c>
      <c r="F52" s="861">
        <f>+F22/F13</f>
        <v/>
      </c>
      <c r="G52" s="861">
        <f>+G22/G13</f>
        <v/>
      </c>
      <c r="H52" s="861">
        <f>+H22/H13</f>
        <v/>
      </c>
      <c r="I52" s="861">
        <f>+I22/I13</f>
        <v/>
      </c>
      <c r="J52" s="861">
        <f>+J22/J13</f>
        <v/>
      </c>
      <c r="K52" s="861">
        <f>+K22/K13</f>
        <v/>
      </c>
      <c r="L52" s="861">
        <f>+L22/L13</f>
        <v/>
      </c>
      <c r="M52" s="861">
        <f>+M22/M13</f>
        <v/>
      </c>
      <c r="N52" s="861">
        <f>+N22/N13</f>
        <v/>
      </c>
      <c r="O52" s="861">
        <f>+O22/O13</f>
        <v/>
      </c>
      <c r="P52" s="861">
        <f>+P22/P13</f>
        <v/>
      </c>
      <c r="Q52" s="861">
        <f>+Q22/Q13</f>
        <v/>
      </c>
      <c r="R52" s="861">
        <f>+R22/R13</f>
        <v/>
      </c>
      <c r="S52" s="861">
        <f>+S22/S13</f>
        <v/>
      </c>
      <c r="T52" s="861">
        <f>+T22/T13</f>
        <v/>
      </c>
    </row>
    <row r="53" customFormat="1" s="20">
      <c r="A53" s="89" t="n"/>
      <c r="B53" s="861" t="n"/>
      <c r="C53" s="861" t="n"/>
      <c r="D53" s="861" t="n"/>
      <c r="E53" s="861" t="n"/>
      <c r="F53" s="861" t="n"/>
      <c r="G53" s="861" t="n"/>
      <c r="H53" s="861" t="n"/>
      <c r="I53" s="861" t="n"/>
      <c r="J53" s="861" t="n"/>
      <c r="K53" s="861" t="n"/>
      <c r="L53" s="861" t="n"/>
      <c r="M53" s="861" t="n"/>
      <c r="N53" s="861" t="n"/>
      <c r="O53" s="861" t="n"/>
      <c r="P53" s="861" t="n"/>
      <c r="Q53" s="861" t="n"/>
      <c r="R53" s="861" t="n"/>
      <c r="S53" s="861" t="n"/>
      <c r="T53" s="861" t="n"/>
    </row>
    <row r="54" customFormat="1" s="20">
      <c r="A54" s="32" t="inlineStr">
        <is>
          <t>Ratio</t>
        </is>
      </c>
    </row>
    <row r="55" customFormat="1" s="20">
      <c r="A55" s="56" t="inlineStr">
        <is>
          <t>ROIC</t>
        </is>
      </c>
      <c r="B55" s="861" t="n"/>
      <c r="C55" s="861">
        <f>FS_Y!F177</f>
        <v/>
      </c>
      <c r="D55" s="861">
        <f>FS_Y!G177</f>
        <v/>
      </c>
      <c r="E55" s="861">
        <f>FS_Y!H177</f>
        <v/>
      </c>
      <c r="F55" s="861">
        <f>FS_Y!I177</f>
        <v/>
      </c>
      <c r="G55" s="861">
        <f>FS_Y!J177</f>
        <v/>
      </c>
      <c r="H55" s="861">
        <f>FS_Y!K177</f>
        <v/>
      </c>
      <c r="I55" s="861">
        <f>FS_Y!L177</f>
        <v/>
      </c>
      <c r="J55" s="861">
        <f>FS_Y!M177</f>
        <v/>
      </c>
      <c r="K55" s="861">
        <f>FS_Y!N177</f>
        <v/>
      </c>
      <c r="L55" s="861">
        <f>FS_Y!O177</f>
        <v/>
      </c>
      <c r="M55" s="861">
        <f>FS_Y!P177</f>
        <v/>
      </c>
      <c r="N55" s="861">
        <f>FS_Y!Q177</f>
        <v/>
      </c>
      <c r="O55" s="861">
        <f>FS_Y!R177</f>
        <v/>
      </c>
      <c r="P55" s="861">
        <f>FS_Y!S177</f>
        <v/>
      </c>
      <c r="Q55" s="861">
        <f>FS_Y!T177</f>
        <v/>
      </c>
      <c r="R55" s="861">
        <f>FS_Y!U177</f>
        <v/>
      </c>
      <c r="S55" s="861">
        <f>FS_Y!V177</f>
        <v/>
      </c>
      <c r="T55" s="861">
        <f>FS_Y!W177</f>
        <v/>
      </c>
    </row>
    <row r="56" customFormat="1" s="20">
      <c r="A56" s="339" t="inlineStr">
        <is>
          <t>ROE</t>
        </is>
      </c>
      <c r="B56" s="896" t="n"/>
      <c r="C56" s="896">
        <f>FS_Y!F178</f>
        <v/>
      </c>
      <c r="D56" s="896">
        <f>FS_Y!G178</f>
        <v/>
      </c>
      <c r="E56" s="896">
        <f>FS_Y!H178</f>
        <v/>
      </c>
      <c r="F56" s="896">
        <f>FS_Y!I178</f>
        <v/>
      </c>
      <c r="G56" s="896">
        <f>FS_Y!J178</f>
        <v/>
      </c>
      <c r="H56" s="896">
        <f>FS_Y!K178</f>
        <v/>
      </c>
      <c r="I56" s="896">
        <f>FS_Y!L178</f>
        <v/>
      </c>
      <c r="J56" s="896">
        <f>FS_Y!M178</f>
        <v/>
      </c>
      <c r="K56" s="896">
        <f>FS_Y!N178</f>
        <v/>
      </c>
      <c r="L56" s="896">
        <f>FS_Y!O178</f>
        <v/>
      </c>
      <c r="M56" s="896">
        <f>FS_Y!P178</f>
        <v/>
      </c>
      <c r="N56" s="896">
        <f>FS_Y!Q178</f>
        <v/>
      </c>
      <c r="O56" s="896">
        <f>FS_Y!R178</f>
        <v/>
      </c>
      <c r="P56" s="896">
        <f>FS_Y!S178</f>
        <v/>
      </c>
      <c r="Q56" s="896">
        <f>FS_Y!T178</f>
        <v/>
      </c>
      <c r="R56" s="896">
        <f>FS_Y!U178</f>
        <v/>
      </c>
      <c r="S56" s="896">
        <f>FS_Y!V178</f>
        <v/>
      </c>
      <c r="T56" s="896">
        <f>FS_Y!W178</f>
        <v/>
      </c>
    </row>
    <row r="57" customFormat="1" s="20">
      <c r="A57" s="56" t="n"/>
    </row>
    <row r="58" customFormat="1" s="20">
      <c r="A58" s="56" t="n"/>
    </row>
    <row r="59" customFormat="1" s="20">
      <c r="A59" s="56" t="n"/>
    </row>
    <row r="60" customFormat="1" s="20">
      <c r="A60" s="313" t="inlineStr">
        <is>
          <t>Balance Sheet</t>
        </is>
      </c>
    </row>
    <row r="61">
      <c r="A61" s="105" t="n"/>
      <c r="R61" s="20" t="n"/>
      <c r="S61" s="20" t="n"/>
      <c r="T61" s="20" t="n"/>
    </row>
    <row r="62">
      <c r="A62" s="337">
        <f>A$6</f>
        <v/>
      </c>
      <c r="B62" s="336">
        <f>B$6</f>
        <v/>
      </c>
      <c r="C62" s="336">
        <f>C$6</f>
        <v/>
      </c>
      <c r="D62" s="336">
        <f>D$6</f>
        <v/>
      </c>
      <c r="E62" s="336">
        <f>E$6</f>
        <v/>
      </c>
      <c r="F62" s="336">
        <f>F$6</f>
        <v/>
      </c>
      <c r="G62" s="336">
        <f>G$6</f>
        <v/>
      </c>
      <c r="H62" s="336">
        <f>H$6</f>
        <v/>
      </c>
      <c r="I62" s="336">
        <f>I$6</f>
        <v/>
      </c>
      <c r="J62" s="336">
        <f>J$6</f>
        <v/>
      </c>
      <c r="K62" s="336">
        <f>K$6</f>
        <v/>
      </c>
      <c r="L62" s="336">
        <f>L$6</f>
        <v/>
      </c>
      <c r="M62" s="336">
        <f>M$6</f>
        <v/>
      </c>
      <c r="N62" s="336">
        <f>N$6</f>
        <v/>
      </c>
      <c r="O62" s="336">
        <f>O$6</f>
        <v/>
      </c>
      <c r="P62" s="336">
        <f>P$6</f>
        <v/>
      </c>
      <c r="Q62" s="336">
        <f>Q$6</f>
        <v/>
      </c>
      <c r="R62" s="336">
        <f>R$6</f>
        <v/>
      </c>
      <c r="S62" s="336">
        <f>S$6</f>
        <v/>
      </c>
      <c r="T62" s="336">
        <f>T$6</f>
        <v/>
      </c>
    </row>
    <row r="63">
      <c r="A63" s="56">
        <f>FS_Y!A44</f>
        <v/>
      </c>
      <c r="B63" s="64">
        <f>FS_Y!E44</f>
        <v/>
      </c>
      <c r="C63" s="464">
        <f>FS_Y!F44</f>
        <v/>
      </c>
      <c r="D63" s="464">
        <f>FS_Y!G44</f>
        <v/>
      </c>
      <c r="E63" s="464">
        <f>FS_Y!H44</f>
        <v/>
      </c>
      <c r="F63" s="464">
        <f>FS_Y!I44</f>
        <v/>
      </c>
      <c r="G63" s="464">
        <f>FS_Y!J44</f>
        <v/>
      </c>
      <c r="H63" s="464">
        <f>FS_Y!K44</f>
        <v/>
      </c>
      <c r="I63" s="464">
        <f>FS_Y!L44</f>
        <v/>
      </c>
      <c r="J63" s="464">
        <f>FS_Y!M44</f>
        <v/>
      </c>
      <c r="K63" s="464">
        <f>FS_Y!N44</f>
        <v/>
      </c>
      <c r="L63" s="464">
        <f>FS_Y!O44</f>
        <v/>
      </c>
      <c r="M63" s="464">
        <f>FS_Y!P44</f>
        <v/>
      </c>
      <c r="N63" s="464">
        <f>FS_Y!Q44</f>
        <v/>
      </c>
      <c r="O63" s="464">
        <f>FS_Y!R44</f>
        <v/>
      </c>
      <c r="P63" s="464">
        <f>FS_Y!S44</f>
        <v/>
      </c>
      <c r="Q63" s="464">
        <f>FS_Y!T44</f>
        <v/>
      </c>
      <c r="R63" s="464">
        <f>FS_Y!U44</f>
        <v/>
      </c>
      <c r="S63" s="464">
        <f>FS_Y!V44</f>
        <v/>
      </c>
      <c r="T63" s="464">
        <f>FS_Y!W44</f>
        <v/>
      </c>
    </row>
    <row r="64">
      <c r="A64" s="56">
        <f>FS_Y!A45</f>
        <v/>
      </c>
      <c r="B64" s="64">
        <f>FS_Y!E45</f>
        <v/>
      </c>
      <c r="C64" s="464">
        <f>FS_Y!F45</f>
        <v/>
      </c>
      <c r="D64" s="464">
        <f>FS_Y!G45</f>
        <v/>
      </c>
      <c r="E64" s="464">
        <f>FS_Y!H45</f>
        <v/>
      </c>
      <c r="F64" s="464">
        <f>FS_Y!I45</f>
        <v/>
      </c>
      <c r="G64" s="464">
        <f>FS_Y!J45</f>
        <v/>
      </c>
      <c r="H64" s="464">
        <f>FS_Y!K45</f>
        <v/>
      </c>
      <c r="I64" s="464">
        <f>FS_Y!L45</f>
        <v/>
      </c>
      <c r="J64" s="464">
        <f>FS_Y!M45</f>
        <v/>
      </c>
      <c r="K64" s="464">
        <f>FS_Y!N45</f>
        <v/>
      </c>
      <c r="L64" s="464">
        <f>FS_Y!O45</f>
        <v/>
      </c>
      <c r="M64" s="464">
        <f>FS_Y!P45</f>
        <v/>
      </c>
      <c r="N64" s="464">
        <f>FS_Y!Q45</f>
        <v/>
      </c>
      <c r="O64" s="464">
        <f>FS_Y!R45</f>
        <v/>
      </c>
      <c r="P64" s="464">
        <f>FS_Y!S45</f>
        <v/>
      </c>
      <c r="Q64" s="464">
        <f>FS_Y!T45</f>
        <v/>
      </c>
      <c r="R64" s="464">
        <f>FS_Y!U45</f>
        <v/>
      </c>
      <c r="S64" s="464">
        <f>FS_Y!V45</f>
        <v/>
      </c>
      <c r="T64" s="464">
        <f>FS_Y!W45</f>
        <v/>
      </c>
    </row>
    <row r="65">
      <c r="A65" s="56">
        <f>FS_Y!A46</f>
        <v/>
      </c>
      <c r="B65" s="64">
        <f>FS_Y!E46</f>
        <v/>
      </c>
      <c r="C65" s="464">
        <f>FS_Y!F46</f>
        <v/>
      </c>
      <c r="D65" s="464">
        <f>FS_Y!G46</f>
        <v/>
      </c>
      <c r="E65" s="464">
        <f>FS_Y!H46</f>
        <v/>
      </c>
      <c r="F65" s="464">
        <f>FS_Y!I46</f>
        <v/>
      </c>
      <c r="G65" s="464">
        <f>FS_Y!J46</f>
        <v/>
      </c>
      <c r="H65" s="464">
        <f>FS_Y!K46</f>
        <v/>
      </c>
      <c r="I65" s="464">
        <f>FS_Y!L46</f>
        <v/>
      </c>
      <c r="J65" s="464">
        <f>FS_Y!M46</f>
        <v/>
      </c>
      <c r="K65" s="464">
        <f>FS_Y!N46</f>
        <v/>
      </c>
      <c r="L65" s="464">
        <f>FS_Y!O46</f>
        <v/>
      </c>
      <c r="M65" s="464">
        <f>FS_Y!P46</f>
        <v/>
      </c>
      <c r="N65" s="464">
        <f>FS_Y!Q46</f>
        <v/>
      </c>
      <c r="O65" s="464">
        <f>FS_Y!R46</f>
        <v/>
      </c>
      <c r="P65" s="464">
        <f>FS_Y!S46</f>
        <v/>
      </c>
      <c r="Q65" s="464">
        <f>FS_Y!T46</f>
        <v/>
      </c>
      <c r="R65" s="464">
        <f>FS_Y!U46</f>
        <v/>
      </c>
      <c r="S65" s="464">
        <f>FS_Y!V46</f>
        <v/>
      </c>
      <c r="T65" s="464">
        <f>FS_Y!W46</f>
        <v/>
      </c>
    </row>
    <row r="66">
      <c r="A66" s="56">
        <f>FS_Y!A47</f>
        <v/>
      </c>
      <c r="B66" s="64">
        <f>FS_Y!E47</f>
        <v/>
      </c>
      <c r="C66" s="464">
        <f>FS_Y!F47</f>
        <v/>
      </c>
      <c r="D66" s="464">
        <f>FS_Y!G47</f>
        <v/>
      </c>
      <c r="E66" s="464">
        <f>FS_Y!H47</f>
        <v/>
      </c>
      <c r="F66" s="464">
        <f>FS_Y!I47</f>
        <v/>
      </c>
      <c r="G66" s="464">
        <f>FS_Y!J47</f>
        <v/>
      </c>
      <c r="H66" s="464">
        <f>FS_Y!K47</f>
        <v/>
      </c>
      <c r="I66" s="464">
        <f>FS_Y!L47</f>
        <v/>
      </c>
      <c r="J66" s="464">
        <f>FS_Y!M47</f>
        <v/>
      </c>
      <c r="K66" s="464">
        <f>FS_Y!N47</f>
        <v/>
      </c>
      <c r="L66" s="464">
        <f>FS_Y!O47</f>
        <v/>
      </c>
      <c r="M66" s="464">
        <f>FS_Y!P47</f>
        <v/>
      </c>
      <c r="N66" s="464">
        <f>FS_Y!Q47</f>
        <v/>
      </c>
      <c r="O66" s="464">
        <f>FS_Y!R47</f>
        <v/>
      </c>
      <c r="P66" s="464">
        <f>FS_Y!S47</f>
        <v/>
      </c>
      <c r="Q66" s="464">
        <f>FS_Y!T47</f>
        <v/>
      </c>
      <c r="R66" s="464">
        <f>FS_Y!U47</f>
        <v/>
      </c>
      <c r="S66" s="464">
        <f>FS_Y!V47</f>
        <v/>
      </c>
      <c r="T66" s="464">
        <f>FS_Y!W47</f>
        <v/>
      </c>
    </row>
    <row r="67">
      <c r="A67" s="56" t="inlineStr">
        <is>
          <t>Other current assets</t>
        </is>
      </c>
      <c r="B67" s="64">
        <f>SUM(FS_Y!E48:E50)</f>
        <v/>
      </c>
      <c r="C67" s="464">
        <f>SUM(FS_Y!F48:F50)</f>
        <v/>
      </c>
      <c r="D67" s="464">
        <f>SUM(FS_Y!G48:G50)</f>
        <v/>
      </c>
      <c r="E67" s="464">
        <f>SUM(FS_Y!H48:H50)</f>
        <v/>
      </c>
      <c r="F67" s="464">
        <f>SUM(FS_Y!I48:I50)</f>
        <v/>
      </c>
      <c r="G67" s="464">
        <f>SUM(FS_Y!J48:J50)</f>
        <v/>
      </c>
      <c r="H67" s="464">
        <f>SUM(FS_Y!K48:K50)</f>
        <v/>
      </c>
      <c r="I67" s="464">
        <f>SUM(FS_Y!L48:L50)</f>
        <v/>
      </c>
      <c r="J67" s="464">
        <f>SUM(FS_Y!M48:M50)</f>
        <v/>
      </c>
      <c r="K67" s="464">
        <f>SUM(FS_Y!N48:N50)</f>
        <v/>
      </c>
      <c r="L67" s="464">
        <f>SUM(FS_Y!O48:O50)</f>
        <v/>
      </c>
      <c r="M67" s="464">
        <f>SUM(FS_Y!P48:P50)</f>
        <v/>
      </c>
      <c r="N67" s="464">
        <f>SUM(FS_Y!Q48:Q50)</f>
        <v/>
      </c>
      <c r="O67" s="464">
        <f>SUM(FS_Y!R48:R50)</f>
        <v/>
      </c>
      <c r="P67" s="464">
        <f>SUM(FS_Y!S48:S50)</f>
        <v/>
      </c>
      <c r="Q67" s="464">
        <f>SUM(FS_Y!T48:T50)</f>
        <v/>
      </c>
      <c r="R67" s="464">
        <f>SUM(FS_Y!U48:U50)</f>
        <v/>
      </c>
      <c r="S67" s="464">
        <f>SUM(FS_Y!V48:V50)</f>
        <v/>
      </c>
      <c r="T67" s="464">
        <f>SUM(FS_Y!W48:W50)</f>
        <v/>
      </c>
    </row>
    <row r="68">
      <c r="A68" s="56" t="inlineStr">
        <is>
          <t>PP&amp;E and intangible assets</t>
        </is>
      </c>
      <c r="B68" s="64">
        <f>FS_Y!E54</f>
        <v/>
      </c>
      <c r="C68" s="464">
        <f>FS_Y!F54</f>
        <v/>
      </c>
      <c r="D68" s="464">
        <f>FS_Y!G54</f>
        <v/>
      </c>
      <c r="E68" s="464">
        <f>FS_Y!H54</f>
        <v/>
      </c>
      <c r="F68" s="464">
        <f>FS_Y!I54</f>
        <v/>
      </c>
      <c r="G68" s="464">
        <f>FS_Y!J54</f>
        <v/>
      </c>
      <c r="H68" s="464">
        <f>FS_Y!K54</f>
        <v/>
      </c>
      <c r="I68" s="464">
        <f>FS_Y!L54</f>
        <v/>
      </c>
      <c r="J68" s="464">
        <f>FS_Y!M54</f>
        <v/>
      </c>
      <c r="K68" s="464">
        <f>FS_Y!N54</f>
        <v/>
      </c>
      <c r="L68" s="464">
        <f>FS_Y!O54</f>
        <v/>
      </c>
      <c r="M68" s="464">
        <f>FS_Y!P54</f>
        <v/>
      </c>
      <c r="N68" s="464">
        <f>FS_Y!Q54</f>
        <v/>
      </c>
      <c r="O68" s="464">
        <f>FS_Y!R54</f>
        <v/>
      </c>
      <c r="P68" s="464">
        <f>FS_Y!S54</f>
        <v/>
      </c>
      <c r="Q68" s="464">
        <f>FS_Y!T54</f>
        <v/>
      </c>
      <c r="R68" s="464">
        <f>FS_Y!U54</f>
        <v/>
      </c>
      <c r="S68" s="464">
        <f>FS_Y!V54</f>
        <v/>
      </c>
      <c r="T68" s="464">
        <f>FS_Y!W54</f>
        <v/>
      </c>
    </row>
    <row r="69">
      <c r="A69" s="56" t="inlineStr">
        <is>
          <t>Other non-current assets</t>
        </is>
      </c>
      <c r="B69" s="64">
        <f>SUM(FS_Y!E52:E53,FS_Y!E55)</f>
        <v/>
      </c>
      <c r="C69" s="464">
        <f>SUM(FS_Y!F52:F53,FS_Y!F55)</f>
        <v/>
      </c>
      <c r="D69" s="464">
        <f>SUM(FS_Y!G52:G53,FS_Y!G55)</f>
        <v/>
      </c>
      <c r="E69" s="464">
        <f>SUM(FS_Y!H52:H53,FS_Y!H55)</f>
        <v/>
      </c>
      <c r="F69" s="464">
        <f>SUM(FS_Y!I52:I53,FS_Y!I55)</f>
        <v/>
      </c>
      <c r="G69" s="464">
        <f>SUM(FS_Y!J52:J53,FS_Y!J55)</f>
        <v/>
      </c>
      <c r="H69" s="464">
        <f>SUM(FS_Y!K52:K53,FS_Y!K55)</f>
        <v/>
      </c>
      <c r="I69" s="464">
        <f>SUM(FS_Y!L52:L53,FS_Y!L55)</f>
        <v/>
      </c>
      <c r="J69" s="464">
        <f>SUM(FS_Y!M52:M53,FS_Y!M55)</f>
        <v/>
      </c>
      <c r="K69" s="464">
        <f>SUM(FS_Y!N52:N53,FS_Y!N55)</f>
        <v/>
      </c>
      <c r="L69" s="464">
        <f>SUM(FS_Y!O52:O53,FS_Y!O55)</f>
        <v/>
      </c>
      <c r="M69" s="464">
        <f>SUM(FS_Y!P52:P53,FS_Y!P55)</f>
        <v/>
      </c>
      <c r="N69" s="464">
        <f>SUM(FS_Y!Q52:Q53,FS_Y!Q55)</f>
        <v/>
      </c>
      <c r="O69" s="464">
        <f>SUM(FS_Y!R52:R53,FS_Y!R55)</f>
        <v/>
      </c>
      <c r="P69" s="464">
        <f>SUM(FS_Y!S52:S53,FS_Y!S55)</f>
        <v/>
      </c>
      <c r="Q69" s="464">
        <f>SUM(FS_Y!T52:T53,FS_Y!T55)</f>
        <v/>
      </c>
      <c r="R69" s="464">
        <f>SUM(FS_Y!U52:U53,FS_Y!U55)</f>
        <v/>
      </c>
      <c r="S69" s="464">
        <f>SUM(FS_Y!V52:V53,FS_Y!V55)</f>
        <v/>
      </c>
      <c r="T69" s="464">
        <f>SUM(FS_Y!W52:W53,FS_Y!W55)</f>
        <v/>
      </c>
    </row>
    <row r="70" customFormat="1" s="22">
      <c r="A70" s="335" t="inlineStr">
        <is>
          <t>Total assets</t>
        </is>
      </c>
      <c r="B70" s="334">
        <f>FS_Y!E56</f>
        <v/>
      </c>
      <c r="C70" s="551">
        <f>FS_Y!F56</f>
        <v/>
      </c>
      <c r="D70" s="551">
        <f>FS_Y!G56</f>
        <v/>
      </c>
      <c r="E70" s="551">
        <f>FS_Y!H56</f>
        <v/>
      </c>
      <c r="F70" s="551">
        <f>FS_Y!I56</f>
        <v/>
      </c>
      <c r="G70" s="551">
        <f>FS_Y!J56</f>
        <v/>
      </c>
      <c r="H70" s="551">
        <f>FS_Y!K56</f>
        <v/>
      </c>
      <c r="I70" s="551">
        <f>FS_Y!L56</f>
        <v/>
      </c>
      <c r="J70" s="551">
        <f>FS_Y!M56</f>
        <v/>
      </c>
      <c r="K70" s="551">
        <f>FS_Y!N56</f>
        <v/>
      </c>
      <c r="L70" s="551">
        <f>FS_Y!O56</f>
        <v/>
      </c>
      <c r="M70" s="551">
        <f>FS_Y!P56</f>
        <v/>
      </c>
      <c r="N70" s="551">
        <f>FS_Y!Q56</f>
        <v/>
      </c>
      <c r="O70" s="551">
        <f>FS_Y!R56</f>
        <v/>
      </c>
      <c r="P70" s="551">
        <f>FS_Y!S56</f>
        <v/>
      </c>
      <c r="Q70" s="551">
        <f>FS_Y!T56</f>
        <v/>
      </c>
      <c r="R70" s="551">
        <f>FS_Y!U56</f>
        <v/>
      </c>
      <c r="S70" s="551">
        <f>FS_Y!V56</f>
        <v/>
      </c>
      <c r="T70" s="551">
        <f>FS_Y!W56</f>
        <v/>
      </c>
    </row>
    <row r="71" customFormat="1" s="22">
      <c r="A71" s="32" t="n"/>
      <c r="B71" s="66" t="n"/>
      <c r="C71" s="552" t="n"/>
      <c r="D71" s="552" t="n"/>
      <c r="E71" s="552" t="n"/>
      <c r="F71" s="552" t="n"/>
      <c r="G71" s="552" t="n"/>
      <c r="H71" s="552" t="n"/>
      <c r="I71" s="552" t="n"/>
      <c r="J71" s="552" t="n"/>
      <c r="K71" s="552" t="n"/>
      <c r="L71" s="552" t="n"/>
      <c r="M71" s="552" t="n"/>
      <c r="N71" s="552" t="n"/>
      <c r="O71" s="552" t="n"/>
      <c r="P71" s="552" t="n"/>
      <c r="Q71" s="552" t="n"/>
      <c r="R71" s="552" t="n"/>
      <c r="S71" s="552" t="n"/>
      <c r="T71" s="552" t="n"/>
    </row>
    <row r="72">
      <c r="A72" s="56" t="inlineStr">
        <is>
          <t>Debt</t>
        </is>
      </c>
      <c r="B72" s="464">
        <f>SUM(FS_Y!E58,FS_Y!E65)</f>
        <v/>
      </c>
      <c r="C72" s="464">
        <f>SUM(FS_Y!F58,FS_Y!F65)</f>
        <v/>
      </c>
      <c r="D72" s="464">
        <f>SUM(FS_Y!G58,FS_Y!G65)</f>
        <v/>
      </c>
      <c r="E72" s="464">
        <f>SUM(FS_Y!H58,FS_Y!H65)</f>
        <v/>
      </c>
      <c r="F72" s="464">
        <f>SUM(FS_Y!I58,FS_Y!I65)</f>
        <v/>
      </c>
      <c r="G72" s="464">
        <f>SUM(FS_Y!J58,FS_Y!J65)</f>
        <v/>
      </c>
      <c r="H72" s="464">
        <f>SUM(FS_Y!K58,FS_Y!K65)</f>
        <v/>
      </c>
      <c r="I72" s="464">
        <f>SUM(FS_Y!L58,FS_Y!L65)</f>
        <v/>
      </c>
      <c r="J72" s="464">
        <f>SUM(FS_Y!M58,FS_Y!M65)</f>
        <v/>
      </c>
      <c r="K72" s="464">
        <f>SUM(FS_Y!N58,FS_Y!N65)</f>
        <v/>
      </c>
      <c r="L72" s="464">
        <f>SUM(FS_Y!O58,FS_Y!O65)</f>
        <v/>
      </c>
      <c r="M72" s="464">
        <f>SUM(FS_Y!P58,FS_Y!P65)</f>
        <v/>
      </c>
      <c r="N72" s="464">
        <f>SUM(FS_Y!Q58,FS_Y!Q65)</f>
        <v/>
      </c>
      <c r="O72" s="464">
        <f>SUM(FS_Y!R58,FS_Y!R65)</f>
        <v/>
      </c>
      <c r="P72" s="464">
        <f>SUM(FS_Y!S58,FS_Y!S65)</f>
        <v/>
      </c>
      <c r="Q72" s="464">
        <f>SUM(FS_Y!T58,FS_Y!T65)</f>
        <v/>
      </c>
      <c r="R72" s="464">
        <f>SUM(FS_Y!U58,FS_Y!U65)</f>
        <v/>
      </c>
      <c r="S72" s="464">
        <f>SUM(FS_Y!V58,FS_Y!V65)</f>
        <v/>
      </c>
      <c r="T72" s="464">
        <f>SUM(FS_Y!W58,FS_Y!W65)</f>
        <v/>
      </c>
    </row>
    <row r="73">
      <c r="A73" s="56" t="inlineStr">
        <is>
          <t>Accounts payable</t>
        </is>
      </c>
      <c r="B73" s="64">
        <f>FS_Y!E59</f>
        <v/>
      </c>
      <c r="C73" s="464">
        <f>FS_Y!F59</f>
        <v/>
      </c>
      <c r="D73" s="464">
        <f>FS_Y!G59</f>
        <v/>
      </c>
      <c r="E73" s="464">
        <f>FS_Y!H59</f>
        <v/>
      </c>
      <c r="F73" s="464">
        <f>FS_Y!I59</f>
        <v/>
      </c>
      <c r="G73" s="464">
        <f>FS_Y!J59</f>
        <v/>
      </c>
      <c r="H73" s="464">
        <f>FS_Y!K59</f>
        <v/>
      </c>
      <c r="I73" s="464">
        <f>FS_Y!L59</f>
        <v/>
      </c>
      <c r="J73" s="464">
        <f>FS_Y!M59</f>
        <v/>
      </c>
      <c r="K73" s="464">
        <f>FS_Y!N59</f>
        <v/>
      </c>
      <c r="L73" s="464">
        <f>FS_Y!O59</f>
        <v/>
      </c>
      <c r="M73" s="464">
        <f>FS_Y!P59</f>
        <v/>
      </c>
      <c r="N73" s="464">
        <f>FS_Y!Q59</f>
        <v/>
      </c>
      <c r="O73" s="464">
        <f>FS_Y!R59</f>
        <v/>
      </c>
      <c r="P73" s="464">
        <f>FS_Y!S59</f>
        <v/>
      </c>
      <c r="Q73" s="464">
        <f>FS_Y!T59</f>
        <v/>
      </c>
      <c r="R73" s="464">
        <f>FS_Y!U59</f>
        <v/>
      </c>
      <c r="S73" s="464">
        <f>FS_Y!V59</f>
        <v/>
      </c>
      <c r="T73" s="464">
        <f>FS_Y!W59</f>
        <v/>
      </c>
    </row>
    <row r="74">
      <c r="A74" s="56" t="inlineStr">
        <is>
          <t>Other liabilities</t>
        </is>
      </c>
      <c r="B74" s="64">
        <f>SUM(FS_Y!E60:E62,FS_Y!E64)</f>
        <v/>
      </c>
      <c r="C74" s="464">
        <f>SUM(FS_Y!F60:F62,FS_Y!F64)</f>
        <v/>
      </c>
      <c r="D74" s="464">
        <f>SUM(FS_Y!G60:G62,FS_Y!G64)</f>
        <v/>
      </c>
      <c r="E74" s="464">
        <f>SUM(FS_Y!H60:H62,FS_Y!H64)</f>
        <v/>
      </c>
      <c r="F74" s="464">
        <f>SUM(FS_Y!I60:I62,FS_Y!I64)</f>
        <v/>
      </c>
      <c r="G74" s="464">
        <f>SUM(FS_Y!J60:J62,FS_Y!J64)</f>
        <v/>
      </c>
      <c r="H74" s="464">
        <f>SUM(FS_Y!K60:K62,FS_Y!K64)</f>
        <v/>
      </c>
      <c r="I74" s="464">
        <f>SUM(FS_Y!L60:L62,FS_Y!L64)</f>
        <v/>
      </c>
      <c r="J74" s="464">
        <f>SUM(FS_Y!M60:M62,FS_Y!M64)</f>
        <v/>
      </c>
      <c r="K74" s="464">
        <f>SUM(FS_Y!N60:N62,FS_Y!N64)</f>
        <v/>
      </c>
      <c r="L74" s="464">
        <f>SUM(FS_Y!O60:O62,FS_Y!O64)</f>
        <v/>
      </c>
      <c r="M74" s="464">
        <f>SUM(FS_Y!P60:P62,FS_Y!P64)</f>
        <v/>
      </c>
      <c r="N74" s="464">
        <f>SUM(FS_Y!Q60:Q62,FS_Y!Q64)</f>
        <v/>
      </c>
      <c r="O74" s="464">
        <f>SUM(FS_Y!R60:R62,FS_Y!R64)</f>
        <v/>
      </c>
      <c r="P74" s="464">
        <f>SUM(FS_Y!S60:S62,FS_Y!S64)</f>
        <v/>
      </c>
      <c r="Q74" s="464">
        <f>SUM(FS_Y!T60:T62,FS_Y!T64)</f>
        <v/>
      </c>
      <c r="R74" s="464">
        <f>SUM(FS_Y!U60:U62,FS_Y!U64)</f>
        <v/>
      </c>
      <c r="S74" s="464">
        <f>SUM(FS_Y!V60:V62,FS_Y!V64)</f>
        <v/>
      </c>
      <c r="T74" s="464">
        <f>SUM(FS_Y!W60:W62,FS_Y!W64)</f>
        <v/>
      </c>
    </row>
    <row r="75" customFormat="1" s="22">
      <c r="A75" s="335" t="inlineStr">
        <is>
          <t>Total liabilities</t>
        </is>
      </c>
      <c r="B75" s="334">
        <f>FS_Y!E66</f>
        <v/>
      </c>
      <c r="C75" s="551">
        <f>FS_Y!F66</f>
        <v/>
      </c>
      <c r="D75" s="551">
        <f>FS_Y!G66</f>
        <v/>
      </c>
      <c r="E75" s="551">
        <f>FS_Y!H66</f>
        <v/>
      </c>
      <c r="F75" s="551">
        <f>FS_Y!I66</f>
        <v/>
      </c>
      <c r="G75" s="551">
        <f>FS_Y!J66</f>
        <v/>
      </c>
      <c r="H75" s="551">
        <f>FS_Y!K66</f>
        <v/>
      </c>
      <c r="I75" s="551">
        <f>FS_Y!L66</f>
        <v/>
      </c>
      <c r="J75" s="551">
        <f>FS_Y!M66</f>
        <v/>
      </c>
      <c r="K75" s="551">
        <f>FS_Y!N66</f>
        <v/>
      </c>
      <c r="L75" s="551">
        <f>FS_Y!O66</f>
        <v/>
      </c>
      <c r="M75" s="551">
        <f>FS_Y!P66</f>
        <v/>
      </c>
      <c r="N75" s="551">
        <f>FS_Y!Q66</f>
        <v/>
      </c>
      <c r="O75" s="551">
        <f>FS_Y!R66</f>
        <v/>
      </c>
      <c r="P75" s="551">
        <f>FS_Y!S66</f>
        <v/>
      </c>
      <c r="Q75" s="551">
        <f>FS_Y!T66</f>
        <v/>
      </c>
      <c r="R75" s="551">
        <f>FS_Y!U66</f>
        <v/>
      </c>
      <c r="S75" s="551">
        <f>FS_Y!V66</f>
        <v/>
      </c>
      <c r="T75" s="551">
        <f>FS_Y!W66</f>
        <v/>
      </c>
    </row>
    <row r="76" customFormat="1" s="22">
      <c r="A76" s="32" t="n"/>
      <c r="B76" s="66" t="n"/>
      <c r="C76" s="552" t="n"/>
      <c r="D76" s="552" t="n"/>
      <c r="E76" s="552" t="n"/>
      <c r="F76" s="552" t="n"/>
      <c r="G76" s="552" t="n"/>
      <c r="H76" s="552" t="n"/>
      <c r="I76" s="552" t="n"/>
      <c r="J76" s="552" t="n"/>
      <c r="K76" s="552" t="n"/>
      <c r="L76" s="552" t="n"/>
      <c r="M76" s="552" t="n"/>
      <c r="N76" s="552" t="n"/>
      <c r="O76" s="552" t="n"/>
      <c r="P76" s="552" t="n"/>
      <c r="Q76" s="552" t="n"/>
      <c r="R76" s="552" t="n"/>
      <c r="S76" s="552" t="n"/>
      <c r="T76" s="552" t="n"/>
    </row>
    <row r="77">
      <c r="A77" s="56">
        <f>FS_Y!A68</f>
        <v/>
      </c>
      <c r="B77" s="464">
        <f>FS_Y!E68</f>
        <v/>
      </c>
      <c r="C77" s="464">
        <f>FS_Y!F68</f>
        <v/>
      </c>
      <c r="D77" s="464">
        <f>FS_Y!G68</f>
        <v/>
      </c>
      <c r="E77" s="464">
        <f>FS_Y!H68</f>
        <v/>
      </c>
      <c r="F77" s="464">
        <f>FS_Y!I68</f>
        <v/>
      </c>
      <c r="G77" s="464">
        <f>FS_Y!J68</f>
        <v/>
      </c>
      <c r="H77" s="464">
        <f>FS_Y!K68</f>
        <v/>
      </c>
      <c r="I77" s="464">
        <f>FS_Y!L68</f>
        <v/>
      </c>
      <c r="J77" s="464">
        <f>FS_Y!M68</f>
        <v/>
      </c>
      <c r="K77" s="464">
        <f>FS_Y!N68</f>
        <v/>
      </c>
      <c r="L77" s="464">
        <f>FS_Y!O68</f>
        <v/>
      </c>
      <c r="M77" s="464">
        <f>FS_Y!P68</f>
        <v/>
      </c>
      <c r="N77" s="464">
        <f>FS_Y!Q68</f>
        <v/>
      </c>
      <c r="O77" s="464">
        <f>FS_Y!R68</f>
        <v/>
      </c>
      <c r="P77" s="464">
        <f>FS_Y!S68</f>
        <v/>
      </c>
      <c r="Q77" s="464">
        <f>FS_Y!T68</f>
        <v/>
      </c>
      <c r="R77" s="464">
        <f>FS_Y!U68</f>
        <v/>
      </c>
      <c r="S77" s="464">
        <f>FS_Y!V68</f>
        <v/>
      </c>
      <c r="T77" s="464">
        <f>FS_Y!W68</f>
        <v/>
      </c>
    </row>
    <row r="78">
      <c r="A78" s="56">
        <f>FS_Y!A69</f>
        <v/>
      </c>
      <c r="B78" s="464">
        <f>FS_Y!E69</f>
        <v/>
      </c>
      <c r="C78" s="464">
        <f>FS_Y!F69</f>
        <v/>
      </c>
      <c r="D78" s="464">
        <f>FS_Y!G69</f>
        <v/>
      </c>
      <c r="E78" s="464">
        <f>FS_Y!H69</f>
        <v/>
      </c>
      <c r="F78" s="464">
        <f>FS_Y!I69</f>
        <v/>
      </c>
      <c r="G78" s="464">
        <f>FS_Y!J69</f>
        <v/>
      </c>
      <c r="H78" s="464">
        <f>FS_Y!K69</f>
        <v/>
      </c>
      <c r="I78" s="464">
        <f>FS_Y!L69</f>
        <v/>
      </c>
      <c r="J78" s="464">
        <f>FS_Y!M69</f>
        <v/>
      </c>
      <c r="K78" s="464">
        <f>FS_Y!N69</f>
        <v/>
      </c>
      <c r="L78" s="464">
        <f>FS_Y!O69</f>
        <v/>
      </c>
      <c r="M78" s="464">
        <f>FS_Y!P69</f>
        <v/>
      </c>
      <c r="N78" s="464">
        <f>FS_Y!Q69</f>
        <v/>
      </c>
      <c r="O78" s="464">
        <f>FS_Y!R69</f>
        <v/>
      </c>
      <c r="P78" s="464">
        <f>FS_Y!S69</f>
        <v/>
      </c>
      <c r="Q78" s="464">
        <f>FS_Y!T69</f>
        <v/>
      </c>
      <c r="R78" s="464">
        <f>FS_Y!U69</f>
        <v/>
      </c>
      <c r="S78" s="464">
        <f>FS_Y!V69</f>
        <v/>
      </c>
      <c r="T78" s="464">
        <f>FS_Y!W69</f>
        <v/>
      </c>
    </row>
    <row r="79">
      <c r="A79" s="56">
        <f>FS_Y!A70</f>
        <v/>
      </c>
      <c r="B79" s="464">
        <f>FS_Y!E70</f>
        <v/>
      </c>
      <c r="C79" s="464">
        <f>FS_Y!F70</f>
        <v/>
      </c>
      <c r="D79" s="464">
        <f>FS_Y!G70</f>
        <v/>
      </c>
      <c r="E79" s="464">
        <f>FS_Y!H70</f>
        <v/>
      </c>
      <c r="F79" s="464">
        <f>FS_Y!I70</f>
        <v/>
      </c>
      <c r="G79" s="464">
        <f>FS_Y!J70</f>
        <v/>
      </c>
      <c r="H79" s="464">
        <f>FS_Y!K70</f>
        <v/>
      </c>
      <c r="I79" s="464">
        <f>FS_Y!L70</f>
        <v/>
      </c>
      <c r="J79" s="464">
        <f>FS_Y!M70</f>
        <v/>
      </c>
      <c r="K79" s="464">
        <f>FS_Y!N70</f>
        <v/>
      </c>
      <c r="L79" s="464">
        <f>FS_Y!O70</f>
        <v/>
      </c>
      <c r="M79" s="464">
        <f>FS_Y!P70</f>
        <v/>
      </c>
      <c r="N79" s="464">
        <f>FS_Y!Q70</f>
        <v/>
      </c>
      <c r="O79" s="464">
        <f>FS_Y!R70</f>
        <v/>
      </c>
      <c r="P79" s="464">
        <f>FS_Y!S70</f>
        <v/>
      </c>
      <c r="Q79" s="464">
        <f>FS_Y!T70</f>
        <v/>
      </c>
      <c r="R79" s="464">
        <f>FS_Y!U70</f>
        <v/>
      </c>
      <c r="S79" s="464">
        <f>FS_Y!V70</f>
        <v/>
      </c>
      <c r="T79" s="464">
        <f>FS_Y!W70</f>
        <v/>
      </c>
    </row>
    <row r="80">
      <c r="A80" s="56">
        <f>FS_Y!A71</f>
        <v/>
      </c>
      <c r="B80" s="464">
        <f>FS_Y!E71</f>
        <v/>
      </c>
      <c r="C80" s="464">
        <f>FS_Y!F71</f>
        <v/>
      </c>
      <c r="D80" s="464">
        <f>FS_Y!G71</f>
        <v/>
      </c>
      <c r="E80" s="464">
        <f>FS_Y!H71</f>
        <v/>
      </c>
      <c r="F80" s="464">
        <f>FS_Y!I71</f>
        <v/>
      </c>
      <c r="G80" s="464">
        <f>FS_Y!J71</f>
        <v/>
      </c>
      <c r="H80" s="464">
        <f>FS_Y!K71</f>
        <v/>
      </c>
      <c r="I80" s="464">
        <f>FS_Y!L71</f>
        <v/>
      </c>
      <c r="J80" s="464">
        <f>FS_Y!M71</f>
        <v/>
      </c>
      <c r="K80" s="464">
        <f>FS_Y!N71</f>
        <v/>
      </c>
      <c r="L80" s="464">
        <f>FS_Y!O71</f>
        <v/>
      </c>
      <c r="M80" s="464">
        <f>FS_Y!P71</f>
        <v/>
      </c>
      <c r="N80" s="464">
        <f>FS_Y!Q71</f>
        <v/>
      </c>
      <c r="O80" s="464">
        <f>FS_Y!R71</f>
        <v/>
      </c>
      <c r="P80" s="464">
        <f>FS_Y!S71</f>
        <v/>
      </c>
      <c r="Q80" s="464">
        <f>FS_Y!T71</f>
        <v/>
      </c>
      <c r="R80" s="464">
        <f>FS_Y!U71</f>
        <v/>
      </c>
      <c r="S80" s="464">
        <f>FS_Y!V71</f>
        <v/>
      </c>
      <c r="T80" s="464">
        <f>FS_Y!W71</f>
        <v/>
      </c>
    </row>
    <row r="81">
      <c r="A81" s="56">
        <f>FS_Y!A72</f>
        <v/>
      </c>
      <c r="B81" s="464">
        <f>FS_Y!E72</f>
        <v/>
      </c>
      <c r="C81" s="464">
        <f>FS_Y!F72</f>
        <v/>
      </c>
      <c r="D81" s="464">
        <f>FS_Y!G72</f>
        <v/>
      </c>
      <c r="E81" s="464">
        <f>FS_Y!H72</f>
        <v/>
      </c>
      <c r="F81" s="464">
        <f>FS_Y!I72</f>
        <v/>
      </c>
      <c r="G81" s="464">
        <f>FS_Y!J72</f>
        <v/>
      </c>
      <c r="H81" s="464">
        <f>FS_Y!K72</f>
        <v/>
      </c>
      <c r="I81" s="464">
        <f>FS_Y!L72</f>
        <v/>
      </c>
      <c r="J81" s="464">
        <f>FS_Y!M72</f>
        <v/>
      </c>
      <c r="K81" s="464">
        <f>FS_Y!N72</f>
        <v/>
      </c>
      <c r="L81" s="464">
        <f>FS_Y!O72</f>
        <v/>
      </c>
      <c r="M81" s="464">
        <f>FS_Y!P72</f>
        <v/>
      </c>
      <c r="N81" s="464">
        <f>FS_Y!Q72</f>
        <v/>
      </c>
      <c r="O81" s="464">
        <f>FS_Y!R72</f>
        <v/>
      </c>
      <c r="P81" s="464">
        <f>FS_Y!S72</f>
        <v/>
      </c>
      <c r="Q81" s="464">
        <f>FS_Y!T72</f>
        <v/>
      </c>
      <c r="R81" s="464">
        <f>FS_Y!U72</f>
        <v/>
      </c>
      <c r="S81" s="464">
        <f>FS_Y!V72</f>
        <v/>
      </c>
      <c r="T81" s="464">
        <f>FS_Y!W72</f>
        <v/>
      </c>
    </row>
    <row r="82">
      <c r="A82" s="32" t="inlineStr">
        <is>
          <t>Equity attributable to owners of the parent</t>
        </is>
      </c>
      <c r="B82" s="552">
        <f>FS_Y!E73</f>
        <v/>
      </c>
      <c r="C82" s="552">
        <f>FS_Y!F73</f>
        <v/>
      </c>
      <c r="D82" s="552">
        <f>FS_Y!G73</f>
        <v/>
      </c>
      <c r="E82" s="552">
        <f>FS_Y!H73</f>
        <v/>
      </c>
      <c r="F82" s="552">
        <f>FS_Y!I73</f>
        <v/>
      </c>
      <c r="G82" s="552">
        <f>FS_Y!J73</f>
        <v/>
      </c>
      <c r="H82" s="552">
        <f>FS_Y!K73</f>
        <v/>
      </c>
      <c r="I82" s="552">
        <f>FS_Y!L73</f>
        <v/>
      </c>
      <c r="J82" s="552">
        <f>FS_Y!M73</f>
        <v/>
      </c>
      <c r="K82" s="552">
        <f>FS_Y!N73</f>
        <v/>
      </c>
      <c r="L82" s="552">
        <f>FS_Y!O73</f>
        <v/>
      </c>
      <c r="M82" s="552">
        <f>FS_Y!P73</f>
        <v/>
      </c>
      <c r="N82" s="552">
        <f>FS_Y!Q73</f>
        <v/>
      </c>
      <c r="O82" s="552">
        <f>FS_Y!R73</f>
        <v/>
      </c>
      <c r="P82" s="552">
        <f>FS_Y!S73</f>
        <v/>
      </c>
      <c r="Q82" s="552">
        <f>FS_Y!T73</f>
        <v/>
      </c>
      <c r="R82" s="552">
        <f>FS_Y!U73</f>
        <v/>
      </c>
      <c r="S82" s="552">
        <f>FS_Y!V73</f>
        <v/>
      </c>
      <c r="T82" s="552">
        <f>FS_Y!W73</f>
        <v/>
      </c>
    </row>
    <row r="83" customFormat="1" s="22">
      <c r="A83" s="335" t="inlineStr">
        <is>
          <t>Total Equity</t>
        </is>
      </c>
      <c r="B83" s="334">
        <f>FS_Y!E75</f>
        <v/>
      </c>
      <c r="C83" s="551">
        <f>FS_Y!F75</f>
        <v/>
      </c>
      <c r="D83" s="551">
        <f>FS_Y!G75</f>
        <v/>
      </c>
      <c r="E83" s="551">
        <f>FS_Y!H75</f>
        <v/>
      </c>
      <c r="F83" s="551">
        <f>FS_Y!I75</f>
        <v/>
      </c>
      <c r="G83" s="551">
        <f>FS_Y!J75</f>
        <v/>
      </c>
      <c r="H83" s="551">
        <f>FS_Y!K75</f>
        <v/>
      </c>
      <c r="I83" s="551">
        <f>FS_Y!L75</f>
        <v/>
      </c>
      <c r="J83" s="551">
        <f>FS_Y!M75</f>
        <v/>
      </c>
      <c r="K83" s="551">
        <f>FS_Y!N75</f>
        <v/>
      </c>
      <c r="L83" s="551">
        <f>FS_Y!O75</f>
        <v/>
      </c>
      <c r="M83" s="551">
        <f>FS_Y!P75</f>
        <v/>
      </c>
      <c r="N83" s="551">
        <f>FS_Y!Q75</f>
        <v/>
      </c>
      <c r="O83" s="551">
        <f>FS_Y!R75</f>
        <v/>
      </c>
      <c r="P83" s="551">
        <f>FS_Y!S75</f>
        <v/>
      </c>
      <c r="Q83" s="551">
        <f>FS_Y!T75</f>
        <v/>
      </c>
      <c r="R83" s="551">
        <f>FS_Y!U75</f>
        <v/>
      </c>
      <c r="S83" s="551">
        <f>FS_Y!V75</f>
        <v/>
      </c>
      <c r="T83" s="551">
        <f>FS_Y!W75</f>
        <v/>
      </c>
    </row>
    <row r="84">
      <c r="A84" s="339" t="inlineStr">
        <is>
          <t>BVPS (USD)</t>
        </is>
      </c>
      <c r="B84" s="897">
        <f>FS_Y!E181</f>
        <v/>
      </c>
      <c r="C84" s="897">
        <f>FS_Y!F181</f>
        <v/>
      </c>
      <c r="D84" s="897">
        <f>FS_Y!G181</f>
        <v/>
      </c>
      <c r="E84" s="897">
        <f>FS_Y!H181</f>
        <v/>
      </c>
      <c r="F84" s="897">
        <f>FS_Y!I181</f>
        <v/>
      </c>
      <c r="G84" s="897">
        <f>FS_Y!J181</f>
        <v/>
      </c>
      <c r="H84" s="897">
        <f>FS_Y!K181</f>
        <v/>
      </c>
      <c r="I84" s="897">
        <f>FS_Y!L181</f>
        <v/>
      </c>
      <c r="J84" s="897">
        <f>FS_Y!M181</f>
        <v/>
      </c>
      <c r="K84" s="897">
        <f>FS_Y!N181</f>
        <v/>
      </c>
      <c r="L84" s="897">
        <f>FS_Y!O181</f>
        <v/>
      </c>
      <c r="M84" s="897">
        <f>FS_Y!P181</f>
        <v/>
      </c>
      <c r="N84" s="897">
        <f>FS_Y!Q181</f>
        <v/>
      </c>
      <c r="O84" s="897">
        <f>FS_Y!R181</f>
        <v/>
      </c>
      <c r="P84" s="897">
        <f>FS_Y!S181</f>
        <v/>
      </c>
      <c r="Q84" s="897">
        <f>FS_Y!T181</f>
        <v/>
      </c>
      <c r="R84" s="897">
        <f>FS_Y!U181</f>
        <v/>
      </c>
      <c r="S84" s="897">
        <f>FS_Y!V181</f>
        <v/>
      </c>
      <c r="T84" s="897">
        <f>FS_Y!W181</f>
        <v/>
      </c>
    </row>
    <row r="85" customFormat="1" s="20">
      <c r="A85" s="56" t="n"/>
    </row>
    <row r="86" customFormat="1" s="20">
      <c r="A86" s="56" t="n"/>
    </row>
    <row r="87" customFormat="1" s="20">
      <c r="A87" s="56" t="n"/>
    </row>
    <row r="88" customFormat="1" s="20">
      <c r="A88" s="313" t="inlineStr">
        <is>
          <t>Cash Flow Statement</t>
        </is>
      </c>
    </row>
    <row r="89">
      <c r="R89" s="20" t="n"/>
      <c r="S89" s="20" t="n"/>
      <c r="T89" s="20" t="n"/>
    </row>
    <row r="90" customFormat="1" s="20">
      <c r="A90" s="447">
        <f>A$6</f>
        <v/>
      </c>
      <c r="B90" s="445">
        <f>B$6</f>
        <v/>
      </c>
      <c r="C90" s="445">
        <f>C$6</f>
        <v/>
      </c>
      <c r="D90" s="445">
        <f>D$6</f>
        <v/>
      </c>
      <c r="E90" s="445">
        <f>E$6</f>
        <v/>
      </c>
      <c r="F90" s="445">
        <f>F$6</f>
        <v/>
      </c>
      <c r="G90" s="445">
        <f>G$6</f>
        <v/>
      </c>
      <c r="H90" s="336">
        <f>H$6</f>
        <v/>
      </c>
      <c r="I90" s="336">
        <f>I$6</f>
        <v/>
      </c>
      <c r="J90" s="336">
        <f>J$6</f>
        <v/>
      </c>
      <c r="K90" s="336">
        <f>K$6</f>
        <v/>
      </c>
      <c r="L90" s="336">
        <f>L$6</f>
        <v/>
      </c>
      <c r="M90" s="336">
        <f>M$6</f>
        <v/>
      </c>
      <c r="N90" s="336">
        <f>N$6</f>
        <v/>
      </c>
      <c r="O90" s="336">
        <f>O$6</f>
        <v/>
      </c>
      <c r="P90" s="336">
        <f>P$6</f>
        <v/>
      </c>
      <c r="Q90" s="336">
        <f>Q$6</f>
        <v/>
      </c>
      <c r="R90" s="336">
        <f>R$6</f>
        <v/>
      </c>
      <c r="S90" s="336">
        <f>S$6</f>
        <v/>
      </c>
      <c r="T90" s="336">
        <f>T$6</f>
        <v/>
      </c>
    </row>
    <row r="91" customFormat="1" s="20">
      <c r="A91" s="105" t="inlineStr">
        <is>
          <t>Net income</t>
        </is>
      </c>
      <c r="B91" s="50">
        <f>FS_Y!E91</f>
        <v/>
      </c>
      <c r="C91" s="517">
        <f>FS_Y!F91</f>
        <v/>
      </c>
      <c r="D91" s="517">
        <f>FS_Y!G91</f>
        <v/>
      </c>
      <c r="E91" s="517">
        <f>FS_Y!H91</f>
        <v/>
      </c>
      <c r="F91" s="517">
        <f>FS_Y!I91</f>
        <v/>
      </c>
      <c r="G91" s="517">
        <f>FS_Y!J91</f>
        <v/>
      </c>
      <c r="H91" s="464">
        <f>FS_Y!K91</f>
        <v/>
      </c>
      <c r="I91" s="464">
        <f>FS_Y!L91</f>
        <v/>
      </c>
      <c r="J91" s="464">
        <f>FS_Y!M91</f>
        <v/>
      </c>
      <c r="K91" s="464">
        <f>FS_Y!N91</f>
        <v/>
      </c>
      <c r="L91" s="464">
        <f>FS_Y!O91</f>
        <v/>
      </c>
      <c r="M91" s="464">
        <f>FS_Y!P91</f>
        <v/>
      </c>
      <c r="N91" s="464">
        <f>FS_Y!Q91</f>
        <v/>
      </c>
      <c r="O91" s="464">
        <f>FS_Y!R91</f>
        <v/>
      </c>
      <c r="P91" s="464">
        <f>FS_Y!S91</f>
        <v/>
      </c>
      <c r="Q91" s="464">
        <f>FS_Y!T91</f>
        <v/>
      </c>
      <c r="R91" s="464">
        <f>FS_Y!U91</f>
        <v/>
      </c>
      <c r="S91" s="464">
        <f>FS_Y!V91</f>
        <v/>
      </c>
      <c r="T91" s="464">
        <f>FS_Y!W91</f>
        <v/>
      </c>
    </row>
    <row r="92" customFormat="1" s="20">
      <c r="A92" s="105" t="inlineStr">
        <is>
          <t>Depreciation and amortization</t>
        </is>
      </c>
      <c r="B92" s="50">
        <f>FS_Y!E93</f>
        <v/>
      </c>
      <c r="C92" s="517">
        <f>FS_Y!F93</f>
        <v/>
      </c>
      <c r="D92" s="517">
        <f>FS_Y!G93</f>
        <v/>
      </c>
      <c r="E92" s="517">
        <f>FS_Y!H93</f>
        <v/>
      </c>
      <c r="F92" s="517">
        <f>FS_Y!I93</f>
        <v/>
      </c>
      <c r="G92" s="517">
        <f>FS_Y!J93</f>
        <v/>
      </c>
      <c r="H92" s="464">
        <f>FS_Y!K93</f>
        <v/>
      </c>
      <c r="I92" s="464">
        <f>FS_Y!L93</f>
        <v/>
      </c>
      <c r="J92" s="464">
        <f>FS_Y!M93</f>
        <v/>
      </c>
      <c r="K92" s="464">
        <f>FS_Y!N93</f>
        <v/>
      </c>
      <c r="L92" s="464">
        <f>FS_Y!O93</f>
        <v/>
      </c>
      <c r="M92" s="464">
        <f>FS_Y!P93</f>
        <v/>
      </c>
      <c r="N92" s="464">
        <f>FS_Y!Q93</f>
        <v/>
      </c>
      <c r="O92" s="464">
        <f>FS_Y!R93</f>
        <v/>
      </c>
      <c r="P92" s="464">
        <f>FS_Y!S93</f>
        <v/>
      </c>
      <c r="Q92" s="464">
        <f>FS_Y!T93</f>
        <v/>
      </c>
      <c r="R92" s="464">
        <f>FS_Y!U93</f>
        <v/>
      </c>
      <c r="S92" s="464">
        <f>FS_Y!V93</f>
        <v/>
      </c>
      <c r="T92" s="464">
        <f>FS_Y!W93</f>
        <v/>
      </c>
    </row>
    <row r="93" customFormat="1" s="20">
      <c r="A93" s="105" t="inlineStr">
        <is>
          <t>Change in working capital</t>
        </is>
      </c>
      <c r="B93" s="50">
        <f>SUM(FS_Y!E97:E101)</f>
        <v/>
      </c>
      <c r="C93" s="517">
        <f>SUM(FS_Y!F97:F101)</f>
        <v/>
      </c>
      <c r="D93" s="517">
        <f>SUM(FS_Y!G97:G101)</f>
        <v/>
      </c>
      <c r="E93" s="517">
        <f>SUM(FS_Y!H97:H101)</f>
        <v/>
      </c>
      <c r="F93" s="517">
        <f>SUM(FS_Y!I97:I101)</f>
        <v/>
      </c>
      <c r="G93" s="517">
        <f>SUM(FS_Y!J97:J101)</f>
        <v/>
      </c>
      <c r="H93" s="464">
        <f>SUM(FS_Y!K97:K101)</f>
        <v/>
      </c>
      <c r="I93" s="464">
        <f>SUM(FS_Y!L97:L101)</f>
        <v/>
      </c>
      <c r="J93" s="464">
        <f>SUM(FS_Y!M97:M101)</f>
        <v/>
      </c>
      <c r="K93" s="464">
        <f>SUM(FS_Y!N97:N101)</f>
        <v/>
      </c>
      <c r="L93" s="464">
        <f>SUM(FS_Y!O97:O101)</f>
        <v/>
      </c>
      <c r="M93" s="464">
        <f>SUM(FS_Y!P97:P101)</f>
        <v/>
      </c>
      <c r="N93" s="464">
        <f>SUM(FS_Y!Q97:Q101)</f>
        <v/>
      </c>
      <c r="O93" s="464">
        <f>SUM(FS_Y!R97:R101)</f>
        <v/>
      </c>
      <c r="P93" s="464">
        <f>SUM(FS_Y!S97:S101)</f>
        <v/>
      </c>
      <c r="Q93" s="464">
        <f>SUM(FS_Y!T97:T101)</f>
        <v/>
      </c>
      <c r="R93" s="464">
        <f>SUM(FS_Y!U97:U101)</f>
        <v/>
      </c>
      <c r="S93" s="464">
        <f>SUM(FS_Y!V97:V101)</f>
        <v/>
      </c>
      <c r="T93" s="464">
        <f>SUM(FS_Y!W97:W101)</f>
        <v/>
      </c>
    </row>
    <row r="94" customFormat="1" s="20">
      <c r="A94" s="105" t="inlineStr">
        <is>
          <t>Other operating cashflow</t>
        </is>
      </c>
      <c r="B94" s="50">
        <f>SUM(FS_Y!E94:E95)</f>
        <v/>
      </c>
      <c r="C94" s="517">
        <f>SUM(FS_Y!F94:F95)</f>
        <v/>
      </c>
      <c r="D94" s="517">
        <f>SUM(FS_Y!G94:G95)</f>
        <v/>
      </c>
      <c r="E94" s="517">
        <f>SUM(FS_Y!H94:H95)</f>
        <v/>
      </c>
      <c r="F94" s="517">
        <f>SUM(FS_Y!I94:I95)</f>
        <v/>
      </c>
      <c r="G94" s="517">
        <f>SUM(FS_Y!J94:J95)</f>
        <v/>
      </c>
      <c r="H94" s="464">
        <f>SUM(FS_Y!K94:K95)</f>
        <v/>
      </c>
      <c r="I94" s="464">
        <f>SUM(FS_Y!L94:L95)</f>
        <v/>
      </c>
      <c r="J94" s="464">
        <f>SUM(FS_Y!M94:M95)</f>
        <v/>
      </c>
      <c r="K94" s="464">
        <f>SUM(FS_Y!N94:N95)</f>
        <v/>
      </c>
      <c r="L94" s="464">
        <f>SUM(FS_Y!O94:O95)</f>
        <v/>
      </c>
      <c r="M94" s="464">
        <f>SUM(FS_Y!P94:P95)</f>
        <v/>
      </c>
      <c r="N94" s="464">
        <f>SUM(FS_Y!Q94:Q95)</f>
        <v/>
      </c>
      <c r="O94" s="464">
        <f>SUM(FS_Y!R94:R95)</f>
        <v/>
      </c>
      <c r="P94" s="464">
        <f>SUM(FS_Y!S94:S95)</f>
        <v/>
      </c>
      <c r="Q94" s="464">
        <f>SUM(FS_Y!T94:T95)</f>
        <v/>
      </c>
      <c r="R94" s="464">
        <f>SUM(FS_Y!U94:U95)</f>
        <v/>
      </c>
      <c r="S94" s="464">
        <f>SUM(FS_Y!V94:V95)</f>
        <v/>
      </c>
      <c r="T94" s="464">
        <f>SUM(FS_Y!W94:W95)</f>
        <v/>
      </c>
    </row>
    <row r="95" customFormat="1" s="20">
      <c r="A95" s="448" t="inlineStr">
        <is>
          <t>Net Cash flows from operating activities</t>
        </is>
      </c>
      <c r="B95" s="446">
        <f>FS_Y!E102</f>
        <v/>
      </c>
      <c r="C95" s="553">
        <f>FS_Y!F102</f>
        <v/>
      </c>
      <c r="D95" s="553">
        <f>FS_Y!G102</f>
        <v/>
      </c>
      <c r="E95" s="553">
        <f>FS_Y!H102</f>
        <v/>
      </c>
      <c r="F95" s="553">
        <f>FS_Y!I102</f>
        <v/>
      </c>
      <c r="G95" s="553">
        <f>FS_Y!J102</f>
        <v/>
      </c>
      <c r="H95" s="551">
        <f>FS_Y!K102</f>
        <v/>
      </c>
      <c r="I95" s="551">
        <f>FS_Y!L102</f>
        <v/>
      </c>
      <c r="J95" s="551">
        <f>FS_Y!M102</f>
        <v/>
      </c>
      <c r="K95" s="551">
        <f>FS_Y!N102</f>
        <v/>
      </c>
      <c r="L95" s="551">
        <f>FS_Y!O102</f>
        <v/>
      </c>
      <c r="M95" s="551">
        <f>FS_Y!P102</f>
        <v/>
      </c>
      <c r="N95" s="551">
        <f>FS_Y!Q102</f>
        <v/>
      </c>
      <c r="O95" s="551">
        <f>FS_Y!R102</f>
        <v/>
      </c>
      <c r="P95" s="551">
        <f>FS_Y!S102</f>
        <v/>
      </c>
      <c r="Q95" s="551">
        <f>FS_Y!T102</f>
        <v/>
      </c>
      <c r="R95" s="551">
        <f>FS_Y!U102</f>
        <v/>
      </c>
      <c r="S95" s="551">
        <f>FS_Y!V102</f>
        <v/>
      </c>
      <c r="T95" s="551">
        <f>FS_Y!W102</f>
        <v/>
      </c>
    </row>
    <row r="96" customFormat="1" s="20">
      <c r="A96" s="105" t="n"/>
      <c r="B96" s="50" t="n"/>
      <c r="C96" s="517" t="n"/>
      <c r="D96" s="517" t="n"/>
      <c r="E96" s="517" t="n"/>
      <c r="F96" s="517" t="n"/>
      <c r="G96" s="517" t="n"/>
      <c r="H96" s="464" t="n"/>
      <c r="I96" s="464" t="n"/>
      <c r="J96" s="464" t="n"/>
      <c r="K96" s="464" t="n"/>
      <c r="L96" s="464" t="n"/>
      <c r="M96" s="464" t="n"/>
      <c r="N96" s="464" t="n"/>
      <c r="O96" s="464" t="n"/>
      <c r="P96" s="464" t="n"/>
      <c r="Q96" s="464" t="n"/>
      <c r="R96" s="464" t="n"/>
      <c r="S96" s="464" t="n"/>
      <c r="T96" s="464" t="n"/>
    </row>
    <row r="97" customFormat="1" s="20">
      <c r="A97" s="105" t="inlineStr">
        <is>
          <t>Cash paid to acquire PP&amp;E and intangible assets</t>
        </is>
      </c>
      <c r="B97" s="50">
        <f>FS_Y!E105</f>
        <v/>
      </c>
      <c r="C97" s="517">
        <f>FS_Y!F105</f>
        <v/>
      </c>
      <c r="D97" s="517">
        <f>FS_Y!G105</f>
        <v/>
      </c>
      <c r="E97" s="517">
        <f>FS_Y!H105</f>
        <v/>
      </c>
      <c r="F97" s="517">
        <f>FS_Y!I105</f>
        <v/>
      </c>
      <c r="G97" s="517">
        <f>FS_Y!J105</f>
        <v/>
      </c>
      <c r="H97" s="464">
        <f>FS_Y!K105</f>
        <v/>
      </c>
      <c r="I97" s="464">
        <f>FS_Y!L105</f>
        <v/>
      </c>
      <c r="J97" s="464">
        <f>FS_Y!M105</f>
        <v/>
      </c>
      <c r="K97" s="464">
        <f>FS_Y!N105</f>
        <v/>
      </c>
      <c r="L97" s="464">
        <f>FS_Y!O105</f>
        <v/>
      </c>
      <c r="M97" s="464">
        <f>FS_Y!P105</f>
        <v/>
      </c>
      <c r="N97" s="464">
        <f>FS_Y!Q105</f>
        <v/>
      </c>
      <c r="O97" s="464">
        <f>FS_Y!R105</f>
        <v/>
      </c>
      <c r="P97" s="464">
        <f>FS_Y!S105</f>
        <v/>
      </c>
      <c r="Q97" s="464">
        <f>FS_Y!T105</f>
        <v/>
      </c>
      <c r="R97" s="464">
        <f>FS_Y!U105</f>
        <v/>
      </c>
      <c r="S97" s="464">
        <f>FS_Y!V105</f>
        <v/>
      </c>
      <c r="T97" s="464">
        <f>FS_Y!W105</f>
        <v/>
      </c>
    </row>
    <row r="98" customFormat="1" s="20">
      <c r="A98" s="105" t="inlineStr">
        <is>
          <t>Other investing cashflow</t>
        </is>
      </c>
      <c r="B98" s="50">
        <f>FS_Y!E106</f>
        <v/>
      </c>
      <c r="C98" s="517">
        <f>FS_Y!F106</f>
        <v/>
      </c>
      <c r="D98" s="517">
        <f>FS_Y!G106</f>
        <v/>
      </c>
      <c r="E98" s="517">
        <f>FS_Y!H106</f>
        <v/>
      </c>
      <c r="F98" s="517">
        <f>FS_Y!I106</f>
        <v/>
      </c>
      <c r="G98" s="517">
        <f>FS_Y!J106</f>
        <v/>
      </c>
      <c r="H98" s="464">
        <f>FS_Y!K106</f>
        <v/>
      </c>
      <c r="I98" s="464">
        <f>FS_Y!L106</f>
        <v/>
      </c>
      <c r="J98" s="464">
        <f>FS_Y!M106</f>
        <v/>
      </c>
      <c r="K98" s="464">
        <f>FS_Y!N106</f>
        <v/>
      </c>
      <c r="L98" s="464">
        <f>FS_Y!O106</f>
        <v/>
      </c>
      <c r="M98" s="464">
        <f>FS_Y!P106</f>
        <v/>
      </c>
      <c r="N98" s="464">
        <f>FS_Y!Q106</f>
        <v/>
      </c>
      <c r="O98" s="464">
        <f>FS_Y!R106</f>
        <v/>
      </c>
      <c r="P98" s="464">
        <f>FS_Y!S106</f>
        <v/>
      </c>
      <c r="Q98" s="464">
        <f>FS_Y!T106</f>
        <v/>
      </c>
      <c r="R98" s="464">
        <f>FS_Y!U106</f>
        <v/>
      </c>
      <c r="S98" s="464">
        <f>FS_Y!V106</f>
        <v/>
      </c>
      <c r="T98" s="464">
        <f>FS_Y!W106</f>
        <v/>
      </c>
    </row>
    <row r="99" customFormat="1" s="22">
      <c r="A99" s="448" t="inlineStr">
        <is>
          <t>Net cash flows used in investing activities</t>
        </is>
      </c>
      <c r="B99" s="446">
        <f>FS_Y!E107</f>
        <v/>
      </c>
      <c r="C99" s="553">
        <f>FS_Y!F107</f>
        <v/>
      </c>
      <c r="D99" s="553">
        <f>FS_Y!G107</f>
        <v/>
      </c>
      <c r="E99" s="553">
        <f>FS_Y!H107</f>
        <v/>
      </c>
      <c r="F99" s="553">
        <f>FS_Y!I107</f>
        <v/>
      </c>
      <c r="G99" s="553">
        <f>FS_Y!J107</f>
        <v/>
      </c>
      <c r="H99" s="551">
        <f>FS_Y!K107</f>
        <v/>
      </c>
      <c r="I99" s="551">
        <f>FS_Y!L107</f>
        <v/>
      </c>
      <c r="J99" s="551">
        <f>FS_Y!M107</f>
        <v/>
      </c>
      <c r="K99" s="551">
        <f>FS_Y!N107</f>
        <v/>
      </c>
      <c r="L99" s="551">
        <f>FS_Y!O107</f>
        <v/>
      </c>
      <c r="M99" s="551">
        <f>FS_Y!P107</f>
        <v/>
      </c>
      <c r="N99" s="551">
        <f>FS_Y!Q107</f>
        <v/>
      </c>
      <c r="O99" s="551">
        <f>FS_Y!R107</f>
        <v/>
      </c>
      <c r="P99" s="551">
        <f>FS_Y!S107</f>
        <v/>
      </c>
      <c r="Q99" s="551">
        <f>FS_Y!T107</f>
        <v/>
      </c>
      <c r="R99" s="551">
        <f>FS_Y!U107</f>
        <v/>
      </c>
      <c r="S99" s="551">
        <f>FS_Y!V107</f>
        <v/>
      </c>
      <c r="T99" s="551">
        <f>FS_Y!W107</f>
        <v/>
      </c>
    </row>
    <row r="100">
      <c r="A100" s="105" t="n"/>
      <c r="B100" s="50" t="n"/>
      <c r="C100" s="517" t="n"/>
      <c r="D100" s="517" t="n"/>
      <c r="E100" s="517" t="n"/>
      <c r="F100" s="517" t="n"/>
      <c r="G100" s="517" t="n"/>
      <c r="H100" s="464" t="n"/>
      <c r="I100" s="464" t="n"/>
      <c r="J100" s="464" t="n"/>
      <c r="K100" s="464" t="n"/>
      <c r="L100" s="464" t="n"/>
      <c r="M100" s="464" t="n"/>
      <c r="N100" s="464" t="n"/>
      <c r="O100" s="464" t="n"/>
      <c r="P100" s="464" t="n"/>
      <c r="Q100" s="464" t="n"/>
      <c r="R100" s="464" t="n"/>
      <c r="S100" s="464" t="n"/>
      <c r="T100" s="464" t="n"/>
    </row>
    <row r="101">
      <c r="A101" s="105">
        <f>FS_Y!A111</f>
        <v/>
      </c>
      <c r="B101" s="50">
        <f>FS_Y!E111</f>
        <v/>
      </c>
      <c r="C101" s="517">
        <f>FS_Y!F111</f>
        <v/>
      </c>
      <c r="D101" s="517">
        <f>FS_Y!G111</f>
        <v/>
      </c>
      <c r="E101" s="517">
        <f>FS_Y!H111</f>
        <v/>
      </c>
      <c r="F101" s="517">
        <f>FS_Y!I111</f>
        <v/>
      </c>
      <c r="G101" s="517">
        <f>FS_Y!J111</f>
        <v/>
      </c>
      <c r="H101" s="464">
        <f>FS_Y!K111</f>
        <v/>
      </c>
      <c r="I101" s="464">
        <f>FS_Y!L111</f>
        <v/>
      </c>
      <c r="J101" s="464">
        <f>FS_Y!M111</f>
        <v/>
      </c>
      <c r="K101" s="464">
        <f>FS_Y!N111</f>
        <v/>
      </c>
      <c r="L101" s="464">
        <f>FS_Y!O111</f>
        <v/>
      </c>
      <c r="M101" s="464">
        <f>FS_Y!P111</f>
        <v/>
      </c>
      <c r="N101" s="464">
        <f>FS_Y!Q111</f>
        <v/>
      </c>
      <c r="O101" s="464">
        <f>FS_Y!R111</f>
        <v/>
      </c>
      <c r="P101" s="464">
        <f>FS_Y!S111</f>
        <v/>
      </c>
      <c r="Q101" s="464">
        <f>FS_Y!T111</f>
        <v/>
      </c>
      <c r="R101" s="464">
        <f>FS_Y!U111</f>
        <v/>
      </c>
      <c r="S101" s="464">
        <f>FS_Y!V111</f>
        <v/>
      </c>
      <c r="T101" s="464">
        <f>FS_Y!W111</f>
        <v/>
      </c>
    </row>
    <row r="102">
      <c r="A102" s="105" t="inlineStr">
        <is>
          <t>Other financing cashflow</t>
        </is>
      </c>
      <c r="B102" s="50">
        <f>SUM(FS_Y!E110,FS_Y!E112)</f>
        <v/>
      </c>
      <c r="C102" s="517">
        <f>SUM(FS_Y!F110,FS_Y!F112)</f>
        <v/>
      </c>
      <c r="D102" s="517">
        <f>SUM(FS_Y!G110,FS_Y!G112)</f>
        <v/>
      </c>
      <c r="E102" s="517">
        <f>SUM(FS_Y!H110,FS_Y!H112)</f>
        <v/>
      </c>
      <c r="F102" s="517">
        <f>SUM(FS_Y!I110,FS_Y!I112)</f>
        <v/>
      </c>
      <c r="G102" s="517">
        <f>SUM(FS_Y!J110,FS_Y!J112)</f>
        <v/>
      </c>
      <c r="H102" s="464">
        <f>SUM(FS_Y!K110,FS_Y!K112)</f>
        <v/>
      </c>
      <c r="I102" s="464">
        <f>SUM(FS_Y!L110,FS_Y!L112)</f>
        <v/>
      </c>
      <c r="J102" s="464">
        <f>SUM(FS_Y!M110,FS_Y!M112)</f>
        <v/>
      </c>
      <c r="K102" s="464">
        <f>SUM(FS_Y!N110,FS_Y!N112)</f>
        <v/>
      </c>
      <c r="L102" s="464">
        <f>SUM(FS_Y!O110,FS_Y!O112)</f>
        <v/>
      </c>
      <c r="M102" s="464">
        <f>SUM(FS_Y!P110,FS_Y!P112)</f>
        <v/>
      </c>
      <c r="N102" s="464">
        <f>SUM(FS_Y!Q110,FS_Y!Q112)</f>
        <v/>
      </c>
      <c r="O102" s="464">
        <f>SUM(FS_Y!R110,FS_Y!R112)</f>
        <v/>
      </c>
      <c r="P102" s="464">
        <f>SUM(FS_Y!S110,FS_Y!S112)</f>
        <v/>
      </c>
      <c r="Q102" s="464">
        <f>SUM(FS_Y!T110,FS_Y!T112)</f>
        <v/>
      </c>
      <c r="R102" s="464">
        <f>SUM(FS_Y!U110,FS_Y!U112)</f>
        <v/>
      </c>
      <c r="S102" s="464">
        <f>SUM(FS_Y!V110,FS_Y!V112)</f>
        <v/>
      </c>
      <c r="T102" s="464">
        <f>SUM(FS_Y!W110,FS_Y!W112)</f>
        <v/>
      </c>
    </row>
    <row r="103">
      <c r="A103" s="448" t="inlineStr">
        <is>
          <t>Net cash flows used in financing activities</t>
        </is>
      </c>
      <c r="B103" s="446">
        <f>FS_Y!E113</f>
        <v/>
      </c>
      <c r="C103" s="553">
        <f>FS_Y!F113</f>
        <v/>
      </c>
      <c r="D103" s="553">
        <f>FS_Y!G113</f>
        <v/>
      </c>
      <c r="E103" s="553">
        <f>FS_Y!H113</f>
        <v/>
      </c>
      <c r="F103" s="553">
        <f>FS_Y!I113</f>
        <v/>
      </c>
      <c r="G103" s="553">
        <f>FS_Y!J113</f>
        <v/>
      </c>
      <c r="H103" s="551">
        <f>FS_Y!K113</f>
        <v/>
      </c>
      <c r="I103" s="551">
        <f>FS_Y!L113</f>
        <v/>
      </c>
      <c r="J103" s="551">
        <f>FS_Y!M113</f>
        <v/>
      </c>
      <c r="K103" s="551">
        <f>FS_Y!N113</f>
        <v/>
      </c>
      <c r="L103" s="551">
        <f>FS_Y!O113</f>
        <v/>
      </c>
      <c r="M103" s="551">
        <f>FS_Y!P113</f>
        <v/>
      </c>
      <c r="N103" s="551">
        <f>FS_Y!Q113</f>
        <v/>
      </c>
      <c r="O103" s="551">
        <f>FS_Y!R113</f>
        <v/>
      </c>
      <c r="P103" s="551">
        <f>FS_Y!S113</f>
        <v/>
      </c>
      <c r="Q103" s="551">
        <f>FS_Y!T113</f>
        <v/>
      </c>
      <c r="R103" s="551">
        <f>FS_Y!U113</f>
        <v/>
      </c>
      <c r="S103" s="551">
        <f>FS_Y!V113</f>
        <v/>
      </c>
      <c r="T103" s="551">
        <f>FS_Y!W113</f>
        <v/>
      </c>
    </row>
    <row r="104">
      <c r="A104" s="40" t="n"/>
      <c r="B104" s="403" t="n"/>
      <c r="C104" s="519" t="n"/>
      <c r="D104" s="519" t="n"/>
      <c r="E104" s="519" t="n"/>
      <c r="F104" s="519" t="n"/>
      <c r="G104" s="519" t="n"/>
      <c r="H104" s="552" t="n"/>
      <c r="I104" s="552" t="n"/>
      <c r="J104" s="552" t="n"/>
      <c r="K104" s="552" t="n"/>
      <c r="L104" s="552" t="n"/>
      <c r="M104" s="552" t="n"/>
      <c r="N104" s="552" t="n"/>
      <c r="O104" s="552" t="n"/>
      <c r="P104" s="552" t="n"/>
      <c r="Q104" s="552" t="n"/>
      <c r="R104" s="552" t="n"/>
      <c r="S104" s="552" t="n"/>
      <c r="T104" s="552" t="n"/>
    </row>
    <row r="105" outlineLevel="1">
      <c r="A105" s="105">
        <f>FS_Y!A115</f>
        <v/>
      </c>
      <c r="B105" s="50">
        <f>FS_Y!E115</f>
        <v/>
      </c>
      <c r="C105" s="517">
        <f>FS_Y!F115</f>
        <v/>
      </c>
      <c r="D105" s="517">
        <f>FS_Y!G115</f>
        <v/>
      </c>
      <c r="E105" s="517">
        <f>FS_Y!H115</f>
        <v/>
      </c>
      <c r="F105" s="517">
        <f>FS_Y!I115</f>
        <v/>
      </c>
      <c r="G105" s="517">
        <f>FS_Y!J115</f>
        <v/>
      </c>
      <c r="H105" s="464">
        <f>FS_Y!K115</f>
        <v/>
      </c>
      <c r="I105" s="464">
        <f>FS_Y!L115</f>
        <v/>
      </c>
      <c r="J105" s="464">
        <f>FS_Y!M115</f>
        <v/>
      </c>
      <c r="K105" s="464">
        <f>FS_Y!N115</f>
        <v/>
      </c>
      <c r="L105" s="464">
        <f>FS_Y!O115</f>
        <v/>
      </c>
      <c r="M105" s="464">
        <f>FS_Y!P115</f>
        <v/>
      </c>
      <c r="N105" s="464">
        <f>FS_Y!Q115</f>
        <v/>
      </c>
      <c r="O105" s="464">
        <f>FS_Y!R115</f>
        <v/>
      </c>
      <c r="P105" s="464">
        <f>FS_Y!S115</f>
        <v/>
      </c>
      <c r="Q105" s="464">
        <f>FS_Y!T115</f>
        <v/>
      </c>
      <c r="R105" s="464">
        <f>FS_Y!U115</f>
        <v/>
      </c>
      <c r="S105" s="464">
        <f>FS_Y!V115</f>
        <v/>
      </c>
      <c r="T105" s="464">
        <f>FS_Y!W115</f>
        <v/>
      </c>
    </row>
    <row r="106">
      <c r="A106" s="40" t="inlineStr">
        <is>
          <t>Net (decrease)/increase in cash &amp; equivalents</t>
        </is>
      </c>
      <c r="B106" s="403">
        <f>FS_Y!E116</f>
        <v/>
      </c>
      <c r="C106" s="519">
        <f>FS_Y!F116</f>
        <v/>
      </c>
      <c r="D106" s="519">
        <f>FS_Y!G116</f>
        <v/>
      </c>
      <c r="E106" s="519">
        <f>FS_Y!H116</f>
        <v/>
      </c>
      <c r="F106" s="519">
        <f>FS_Y!I116</f>
        <v/>
      </c>
      <c r="G106" s="519">
        <f>FS_Y!J116</f>
        <v/>
      </c>
      <c r="H106" s="552">
        <f>FS_Y!K116</f>
        <v/>
      </c>
      <c r="I106" s="552">
        <f>FS_Y!L116</f>
        <v/>
      </c>
      <c r="J106" s="552">
        <f>FS_Y!M116</f>
        <v/>
      </c>
      <c r="K106" s="552">
        <f>FS_Y!N116-FS_Y!N118</f>
        <v/>
      </c>
      <c r="L106" s="552">
        <f>FS_Y!O116-FS_Y!O118</f>
        <v/>
      </c>
      <c r="M106" s="552">
        <f>FS_Y!P116-FS_Y!P118</f>
        <v/>
      </c>
      <c r="N106" s="552">
        <f>FS_Y!Q116-FS_Y!Q118</f>
        <v/>
      </c>
      <c r="O106" s="552">
        <f>FS_Y!R116-FS_Y!R118</f>
        <v/>
      </c>
      <c r="P106" s="552">
        <f>FS_Y!S116-FS_Y!S118</f>
        <v/>
      </c>
      <c r="Q106" s="552">
        <f>FS_Y!T116-FS_Y!T118</f>
        <v/>
      </c>
      <c r="R106" s="552">
        <f>FS_Y!U116-FS_Y!U118</f>
        <v/>
      </c>
      <c r="S106" s="552">
        <f>FS_Y!V116-FS_Y!V118</f>
        <v/>
      </c>
      <c r="T106" s="552">
        <f>FS_Y!W116-FS_Y!W118</f>
        <v/>
      </c>
    </row>
    <row r="107">
      <c r="A107" s="40" t="inlineStr">
        <is>
          <t>Cash &amp; equivalents at beginning of period</t>
        </is>
      </c>
      <c r="B107" s="403">
        <f>FS_Y!E117</f>
        <v/>
      </c>
      <c r="C107" s="519">
        <f>FS_Y!F117</f>
        <v/>
      </c>
      <c r="D107" s="519">
        <f>FS_Y!G117</f>
        <v/>
      </c>
      <c r="E107" s="519">
        <f>FS_Y!H117</f>
        <v/>
      </c>
      <c r="F107" s="519">
        <f>FS_Y!I117</f>
        <v/>
      </c>
      <c r="G107" s="519">
        <f>FS_Y!J117</f>
        <v/>
      </c>
      <c r="H107" s="552">
        <f>FS_Y!K117</f>
        <v/>
      </c>
      <c r="I107" s="552">
        <f>FS_Y!L117</f>
        <v/>
      </c>
      <c r="J107" s="552">
        <f>FS_Y!M117</f>
        <v/>
      </c>
      <c r="K107" s="552">
        <f>FS_Y!N117</f>
        <v/>
      </c>
      <c r="L107" s="552">
        <f>FS_Y!O117</f>
        <v/>
      </c>
      <c r="M107" s="552">
        <f>FS_Y!P117</f>
        <v/>
      </c>
      <c r="N107" s="552">
        <f>FS_Y!Q117</f>
        <v/>
      </c>
      <c r="O107" s="552">
        <f>FS_Y!R117</f>
        <v/>
      </c>
      <c r="P107" s="552">
        <f>FS_Y!S117</f>
        <v/>
      </c>
      <c r="Q107" s="552">
        <f>FS_Y!T117</f>
        <v/>
      </c>
      <c r="R107" s="552">
        <f>FS_Y!U117</f>
        <v/>
      </c>
      <c r="S107" s="552">
        <f>FS_Y!V117</f>
        <v/>
      </c>
      <c r="T107" s="552">
        <f>FS_Y!W117</f>
        <v/>
      </c>
    </row>
    <row r="108">
      <c r="A108" s="449" t="inlineStr">
        <is>
          <t>Cash &amp; equivalents at end of period</t>
        </is>
      </c>
      <c r="B108" s="450">
        <f>FS_Y!E119</f>
        <v/>
      </c>
      <c r="C108" s="554">
        <f>FS_Y!F119</f>
        <v/>
      </c>
      <c r="D108" s="554">
        <f>FS_Y!G119</f>
        <v/>
      </c>
      <c r="E108" s="554">
        <f>FS_Y!H119</f>
        <v/>
      </c>
      <c r="F108" s="554">
        <f>FS_Y!I119</f>
        <v/>
      </c>
      <c r="G108" s="554">
        <f>FS_Y!J119</f>
        <v/>
      </c>
      <c r="H108" s="676">
        <f>FS_Y!K119</f>
        <v/>
      </c>
      <c r="I108" s="676">
        <f>FS_Y!L119</f>
        <v/>
      </c>
      <c r="J108" s="676">
        <f>FS_Y!M119</f>
        <v/>
      </c>
      <c r="K108" s="676">
        <f>FS_Y!N119</f>
        <v/>
      </c>
      <c r="L108" s="676">
        <f>FS_Y!O119</f>
        <v/>
      </c>
      <c r="M108" s="676">
        <f>FS_Y!P119</f>
        <v/>
      </c>
      <c r="N108" s="676">
        <f>FS_Y!Q119</f>
        <v/>
      </c>
      <c r="O108" s="676">
        <f>FS_Y!R119</f>
        <v/>
      </c>
      <c r="P108" s="676">
        <f>FS_Y!S119</f>
        <v/>
      </c>
      <c r="Q108" s="676">
        <f>FS_Y!T119</f>
        <v/>
      </c>
      <c r="R108" s="676">
        <f>FS_Y!U119</f>
        <v/>
      </c>
      <c r="S108" s="676">
        <f>FS_Y!V119</f>
        <v/>
      </c>
      <c r="T108" s="676">
        <f>FS_Y!W119</f>
        <v/>
      </c>
    </row>
    <row r="109">
      <c r="A109" s="40" t="n"/>
      <c r="B109" s="403" t="n"/>
      <c r="C109" s="519" t="n"/>
      <c r="D109" s="519" t="n"/>
      <c r="E109" s="519" t="n"/>
      <c r="F109" s="519" t="n"/>
      <c r="G109" s="519" t="n"/>
      <c r="H109" s="552" t="n"/>
      <c r="I109" s="552" t="n"/>
      <c r="J109" s="552" t="n"/>
      <c r="K109" s="552" t="n"/>
      <c r="L109" s="552" t="n"/>
      <c r="M109" s="552" t="n"/>
      <c r="N109" s="552" t="n"/>
      <c r="O109" s="552" t="n"/>
      <c r="P109" s="552" t="n"/>
      <c r="Q109" s="552" t="n"/>
      <c r="R109" s="552" t="n"/>
      <c r="S109" s="552" t="n"/>
      <c r="T109" s="552" t="n"/>
    </row>
    <row r="110">
      <c r="A110" s="449" t="inlineStr">
        <is>
          <t>FCF</t>
        </is>
      </c>
      <c r="B110" s="450" t="n"/>
      <c r="C110" s="554">
        <f>FS_Y!F173</f>
        <v/>
      </c>
      <c r="D110" s="554">
        <f>FS_Y!G173</f>
        <v/>
      </c>
      <c r="E110" s="554">
        <f>FS_Y!H173</f>
        <v/>
      </c>
      <c r="F110" s="554">
        <f>FS_Y!I173</f>
        <v/>
      </c>
      <c r="G110" s="554">
        <f>FS_Y!J173</f>
        <v/>
      </c>
      <c r="H110" s="676">
        <f>FS_Y!K173</f>
        <v/>
      </c>
      <c r="I110" s="676">
        <f>FS_Y!L173</f>
        <v/>
      </c>
      <c r="J110" s="676">
        <f>FS_Y!M173</f>
        <v/>
      </c>
      <c r="K110" s="676">
        <f>FS_Y!N173</f>
        <v/>
      </c>
      <c r="L110" s="676">
        <f>FS_Y!O173</f>
        <v/>
      </c>
      <c r="M110" s="676">
        <f>FS_Y!P173</f>
        <v/>
      </c>
      <c r="N110" s="676">
        <f>FS_Y!Q173</f>
        <v/>
      </c>
      <c r="O110" s="676">
        <f>FS_Y!R173</f>
        <v/>
      </c>
      <c r="P110" s="676">
        <f>FS_Y!S173</f>
        <v/>
      </c>
      <c r="Q110" s="676">
        <f>FS_Y!T173</f>
        <v/>
      </c>
      <c r="R110" s="676">
        <f>FS_Y!U173</f>
        <v/>
      </c>
      <c r="S110" s="676">
        <f>FS_Y!V173</f>
        <v/>
      </c>
      <c r="T110" s="676">
        <f>FS_Y!W173</f>
        <v/>
      </c>
    </row>
    <row r="111">
      <c r="A111" s="40" t="inlineStr">
        <is>
          <t>FCF margin</t>
        </is>
      </c>
      <c r="B111" s="403" t="n"/>
      <c r="C111" s="465">
        <f>C110/C13</f>
        <v/>
      </c>
      <c r="D111" s="465">
        <f>D110/D13</f>
        <v/>
      </c>
      <c r="E111" s="465">
        <f>E110/E13</f>
        <v/>
      </c>
      <c r="F111" s="465">
        <f>F110/F13</f>
        <v/>
      </c>
      <c r="G111" s="465">
        <f>G110/G13</f>
        <v/>
      </c>
      <c r="H111" s="677">
        <f>H110/H13</f>
        <v/>
      </c>
      <c r="I111" s="677">
        <f>I110/I13</f>
        <v/>
      </c>
      <c r="J111" s="677">
        <f>J110/J13</f>
        <v/>
      </c>
      <c r="K111" s="677">
        <f>K110/K13</f>
        <v/>
      </c>
      <c r="L111" s="677">
        <f>L110/L13</f>
        <v/>
      </c>
      <c r="M111" s="677">
        <f>M110/M13</f>
        <v/>
      </c>
      <c r="N111" s="677">
        <f>N110/N13</f>
        <v/>
      </c>
      <c r="O111" s="677">
        <f>O110/O13</f>
        <v/>
      </c>
      <c r="P111" s="677">
        <f>P110/P13</f>
        <v/>
      </c>
      <c r="Q111" s="677">
        <f>Q110/Q13</f>
        <v/>
      </c>
      <c r="R111" s="677">
        <f>R110/R13</f>
        <v/>
      </c>
      <c r="S111" s="677">
        <f>S110/S13</f>
        <v/>
      </c>
      <c r="T111" s="677">
        <f>T110/T13</f>
        <v/>
      </c>
    </row>
  </sheetData>
  <pageMargins left="0.7" right="0.7" top="0.2" bottom="0.2" header="0.3" footer="0.3"/>
  <pageSetup orientation="landscape" paperSize="9" scale="42" horizontalDpi="300" verticalDpi="300"/>
</worksheet>
</file>

<file path=xl/worksheets/sheet6.xml><?xml version="1.0" encoding="utf-8"?>
<worksheet xmlns="http://schemas.openxmlformats.org/spreadsheetml/2006/main">
  <sheetPr codeName="Sheet14">
    <tabColor theme="1"/>
    <outlinePr summaryBelow="1" summaryRight="1"/>
    <pageSetUpPr/>
  </sheetPr>
  <dimension ref="A1:AX192"/>
  <sheetViews>
    <sheetView topLeftCell="A96" zoomScale="85" zoomScaleNormal="85" workbookViewId="0">
      <selection activeCell="H126" sqref="H126"/>
    </sheetView>
  </sheetViews>
  <sheetFormatPr baseColWidth="10" defaultColWidth="9.33203125" defaultRowHeight="13"/>
  <cols>
    <col width="65.33203125" bestFit="1" customWidth="1" style="20" min="1" max="1"/>
    <col hidden="1" width="11.5" customWidth="1" style="20" min="2" max="2"/>
    <col hidden="1" width="10.5" customWidth="1" style="20" min="3" max="4"/>
    <col width="12.6640625" customWidth="1" style="20" min="5" max="6"/>
    <col width="15.6640625" customWidth="1" style="20" min="7" max="33"/>
    <col width="9.33203125" customWidth="1" style="20" min="34" max="16384"/>
  </cols>
  <sheetData>
    <row r="1">
      <c r="A1" s="22">
        <f>FS_Q!A1</f>
        <v/>
      </c>
      <c r="B1" s="23" t="n">
        <v>2007</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c r="V1" s="23">
        <f>+U1+1</f>
        <v/>
      </c>
      <c r="W1" s="23">
        <f>+V1+1</f>
        <v/>
      </c>
      <c r="X1" s="23" t="n"/>
      <c r="Y1" s="23" t="n"/>
      <c r="Z1" s="23" t="n"/>
      <c r="AA1" s="23" t="n"/>
      <c r="AB1" s="23" t="n"/>
      <c r="AC1" s="23" t="n"/>
      <c r="AD1" s="23" t="n"/>
      <c r="AE1" s="23" t="n"/>
      <c r="AF1" s="23" t="n"/>
      <c r="AG1" s="23" t="n"/>
      <c r="AH1" s="23" t="n"/>
      <c r="AI1" s="23" t="n"/>
      <c r="AJ1" s="23" t="n"/>
      <c r="AK1" s="23" t="n"/>
      <c r="AL1" s="23" t="n"/>
      <c r="AM1" s="23" t="n"/>
      <c r="AN1" s="23" t="n"/>
      <c r="AO1" s="23" t="n"/>
      <c r="AP1" s="23" t="n"/>
      <c r="AQ1" s="23" t="n"/>
      <c r="AR1" s="23" t="n"/>
      <c r="AS1" s="23" t="n"/>
    </row>
    <row r="2">
      <c r="A2">
        <f>FS_Q!A2</f>
        <v/>
      </c>
      <c r="B2" s="24" t="n"/>
      <c r="C2" s="24" t="n"/>
      <c r="D2" s="24" t="n"/>
      <c r="E2" s="24" t="n"/>
      <c r="F2" s="24" t="n"/>
      <c r="G2" s="24" t="n"/>
      <c r="H2" s="24" t="n"/>
      <c r="I2" s="24" t="n"/>
      <c r="J2" s="24" t="n"/>
      <c r="K2" s="24" t="n"/>
      <c r="L2" s="24" t="n"/>
      <c r="M2" s="24" t="n"/>
      <c r="N2" s="24" t="n"/>
      <c r="O2" s="24" t="n"/>
      <c r="P2" s="24" t="n"/>
      <c r="Q2" s="24" t="n"/>
      <c r="R2" s="24" t="n"/>
      <c r="S2" s="24" t="n"/>
      <c r="T2" s="24" t="n"/>
      <c r="U2" s="24" t="n"/>
      <c r="V2" s="24" t="n"/>
      <c r="W2" s="24" t="n"/>
      <c r="X2" s="24" t="n"/>
      <c r="Y2" s="24" t="n"/>
      <c r="Z2" s="24" t="n"/>
      <c r="AA2" s="24" t="n"/>
      <c r="AB2" s="24" t="n"/>
      <c r="AC2" s="24" t="n"/>
      <c r="AD2" s="24" t="n"/>
      <c r="AE2" s="24" t="n"/>
      <c r="AF2" s="24" t="n"/>
      <c r="AG2" s="24" t="n"/>
      <c r="AH2" s="24" t="n"/>
      <c r="AI2" s="24" t="n"/>
      <c r="AJ2" s="24" t="n"/>
      <c r="AK2" s="24" t="n"/>
      <c r="AL2" s="24" t="n"/>
      <c r="AM2" s="24" t="n"/>
      <c r="AN2" s="24" t="n"/>
      <c r="AO2" s="24" t="n"/>
      <c r="AP2" s="24" t="n"/>
      <c r="AQ2" s="24" t="n"/>
      <c r="AR2" s="24" t="n"/>
      <c r="AS2" s="24" t="n"/>
    </row>
    <row r="3">
      <c r="A3" t="inlineStr">
        <is>
          <t>Annual</t>
        </is>
      </c>
      <c r="B3" s="24" t="n"/>
      <c r="C3" s="24" t="n"/>
      <c r="D3" s="24" t="n"/>
      <c r="E3" s="24" t="n"/>
      <c r="F3" s="24" t="n"/>
      <c r="G3" s="24" t="n"/>
      <c r="H3" s="24" t="n"/>
      <c r="I3" s="24" t="n"/>
      <c r="J3" s="24" t="n"/>
      <c r="K3" s="24" t="n"/>
      <c r="L3" s="24" t="n"/>
      <c r="M3" s="24" t="n"/>
      <c r="N3" s="24" t="n"/>
      <c r="O3" s="24" t="n"/>
      <c r="P3" s="24" t="n"/>
      <c r="Q3" s="24" t="n"/>
      <c r="R3" s="24" t="n"/>
      <c r="S3" s="24" t="n"/>
      <c r="T3" s="24" t="n"/>
      <c r="U3" s="24" t="n"/>
      <c r="V3" s="24" t="n"/>
      <c r="W3" s="24" t="n"/>
      <c r="X3" s="24" t="n"/>
      <c r="Y3" s="24" t="n"/>
      <c r="Z3" s="24" t="n"/>
      <c r="AA3" s="24" t="n"/>
      <c r="AB3" s="24" t="n"/>
      <c r="AC3" s="24" t="n"/>
      <c r="AD3" s="24" t="n"/>
      <c r="AE3" s="24" t="n"/>
      <c r="AF3" s="24" t="n"/>
      <c r="AG3" s="24" t="n"/>
      <c r="AH3" s="24" t="n"/>
      <c r="AI3" s="24" t="n"/>
      <c r="AJ3" s="24" t="n"/>
      <c r="AK3" s="24" t="n"/>
      <c r="AL3" s="24" t="n"/>
      <c r="AM3" s="24" t="n"/>
      <c r="AN3" s="24" t="n"/>
      <c r="AO3" s="24" t="n"/>
      <c r="AP3" s="24" t="n"/>
      <c r="AQ3" s="24" t="n"/>
      <c r="AR3" s="24" t="n"/>
      <c r="AS3" s="24" t="n"/>
    </row>
    <row r="4"/>
    <row r="5">
      <c r="A5" s="25" t="n"/>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f>
        <v/>
      </c>
      <c r="Q5" s="26">
        <f>Q1</f>
        <v/>
      </c>
      <c r="R5" s="26">
        <f>R1</f>
        <v/>
      </c>
      <c r="S5" s="26">
        <f>S1</f>
        <v/>
      </c>
      <c r="T5" s="26">
        <f>T1</f>
        <v/>
      </c>
      <c r="U5" s="26">
        <f>U1</f>
        <v/>
      </c>
      <c r="V5" s="26">
        <f>V1</f>
        <v/>
      </c>
      <c r="W5" s="26">
        <f>W1</f>
        <v/>
      </c>
      <c r="X5" s="26" t="n"/>
      <c r="Y5" s="26" t="n"/>
      <c r="Z5" s="26" t="n"/>
      <c r="AA5" s="26" t="n"/>
      <c r="AB5" s="26" t="n"/>
      <c r="AC5" s="26" t="n"/>
      <c r="AD5" s="26" t="n"/>
      <c r="AE5" s="26" t="n"/>
      <c r="AF5" s="26" t="n"/>
      <c r="AG5" s="26" t="n"/>
      <c r="AH5" s="26" t="n"/>
      <c r="AI5" s="26" t="n"/>
      <c r="AJ5" s="26" t="n"/>
      <c r="AK5" s="26" t="n"/>
      <c r="AL5" s="26" t="n"/>
      <c r="AM5" s="26" t="n"/>
      <c r="AN5" s="26" t="n"/>
      <c r="AO5" s="26" t="n"/>
      <c r="AP5" s="26" t="n"/>
      <c r="AQ5" s="26" t="n"/>
      <c r="AR5" s="26" t="n"/>
      <c r="AS5" s="26" t="n"/>
    </row>
    <row r="6">
      <c r="A6" s="25" t="n"/>
      <c r="B6" s="26" t="n"/>
      <c r="C6" s="26" t="n"/>
      <c r="D6" s="26" t="n"/>
      <c r="E6" s="26" t="n"/>
      <c r="F6" s="26" t="n"/>
      <c r="G6" s="26" t="n"/>
      <c r="H6" s="26" t="n"/>
      <c r="I6" s="26" t="n"/>
      <c r="J6" s="26" t="n"/>
      <c r="K6" s="26" t="n"/>
      <c r="L6" s="26" t="n"/>
      <c r="M6" s="26" t="n"/>
      <c r="N6" s="26" t="n"/>
      <c r="O6" s="26" t="n"/>
      <c r="P6" s="26" t="n"/>
      <c r="Q6" s="26" t="n"/>
      <c r="R6" s="26" t="n"/>
      <c r="S6" s="26" t="n"/>
      <c r="T6" s="26" t="n"/>
      <c r="U6" s="26" t="n"/>
      <c r="V6" s="26" t="n"/>
      <c r="W6" s="26" t="n"/>
      <c r="X6" s="36" t="n"/>
      <c r="Y6" s="36" t="n"/>
      <c r="Z6" s="36" t="n"/>
      <c r="AA6" s="36" t="n"/>
      <c r="AB6" s="36" t="n"/>
      <c r="AC6" s="36" t="n"/>
      <c r="AD6" s="36" t="n"/>
      <c r="AE6" s="36" t="n"/>
      <c r="AF6" s="36" t="n"/>
      <c r="AG6" s="36" t="n"/>
      <c r="AH6" s="36" t="n"/>
      <c r="AI6" s="36" t="n"/>
      <c r="AJ6" s="36" t="n"/>
      <c r="AK6" s="36" t="n"/>
      <c r="AL6" s="36" t="n"/>
      <c r="AM6" s="36" t="n"/>
      <c r="AN6" s="36" t="n"/>
      <c r="AO6" s="36" t="n"/>
      <c r="AP6" s="36" t="n"/>
      <c r="AQ6" s="36" t="n"/>
      <c r="AR6" s="36" t="n"/>
      <c r="AS6" s="36" t="n"/>
    </row>
    <row r="7" ht="16" customHeight="1">
      <c r="A7" s="27">
        <f>FS_Q!A7</f>
        <v/>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28" t="n"/>
      <c r="AE7" s="28" t="n"/>
      <c r="AF7" s="28" t="n"/>
      <c r="AG7" s="28" t="n"/>
      <c r="AH7" s="28" t="n"/>
      <c r="AI7" s="28" t="n"/>
      <c r="AJ7" s="28" t="n"/>
      <c r="AK7" s="28" t="n"/>
      <c r="AL7" s="28" t="n"/>
      <c r="AM7" s="28" t="n"/>
      <c r="AN7" s="28" t="n"/>
      <c r="AO7" s="28" t="n"/>
      <c r="AP7" s="28" t="n"/>
      <c r="AQ7" s="28" t="n"/>
      <c r="AR7" s="28" t="n"/>
      <c r="AS7" s="28" t="n"/>
    </row>
    <row r="8">
      <c r="A8" s="105" t="n"/>
      <c r="B8" s="22">
        <f>B5</f>
        <v/>
      </c>
      <c r="C8" s="22">
        <f>C5</f>
        <v/>
      </c>
      <c r="D8" s="22">
        <f>D5</f>
        <v/>
      </c>
      <c r="E8" s="22">
        <f>E5</f>
        <v/>
      </c>
      <c r="F8" s="22">
        <f>F5</f>
        <v/>
      </c>
      <c r="G8" s="22">
        <f>G5</f>
        <v/>
      </c>
      <c r="H8" s="22">
        <f>H5</f>
        <v/>
      </c>
      <c r="I8" s="22">
        <f>I5</f>
        <v/>
      </c>
      <c r="J8" s="22">
        <f>J5</f>
        <v/>
      </c>
      <c r="K8" s="22">
        <f>K5</f>
        <v/>
      </c>
      <c r="L8" s="26">
        <f>L5</f>
        <v/>
      </c>
      <c r="M8" s="26">
        <f>M5</f>
        <v/>
      </c>
      <c r="N8" s="26">
        <f>N5</f>
        <v/>
      </c>
      <c r="O8" s="26">
        <f>O5</f>
        <v/>
      </c>
      <c r="P8" s="26">
        <f>P5</f>
        <v/>
      </c>
      <c r="Q8" s="26">
        <f>Q5</f>
        <v/>
      </c>
      <c r="R8" s="26">
        <f>R5</f>
        <v/>
      </c>
      <c r="S8" s="26">
        <f>S5&amp;"E"</f>
        <v/>
      </c>
      <c r="T8" s="26">
        <f>T5&amp;"E"</f>
        <v/>
      </c>
      <c r="U8" s="26">
        <f>U5&amp;"E"</f>
        <v/>
      </c>
      <c r="V8" s="26">
        <f>V5&amp;"E"</f>
        <v/>
      </c>
      <c r="W8" s="26">
        <f>W5&amp;"E"</f>
        <v/>
      </c>
    </row>
    <row r="9">
      <c r="A9" s="81">
        <f>FS_Q!A9</f>
        <v/>
      </c>
    </row>
    <row r="10"/>
    <row r="11">
      <c r="A11" s="22">
        <f>FS_Q!A11</f>
        <v/>
      </c>
      <c r="B11" s="148" t="n"/>
      <c r="C11" s="148" t="n"/>
      <c r="D11" s="148" t="n"/>
      <c r="E11" s="519">
        <f>SUMIF(FS_Q!$1:$1,FS_Y!E$1,FS_Q!11:11)</f>
        <v/>
      </c>
      <c r="F11" s="519">
        <f>SUMIF(FS_Q!$1:$1,FS_Y!F$1,FS_Q!11:11)</f>
        <v/>
      </c>
      <c r="G11" s="519">
        <f>SUMIF(FS_Q!$1:$1,FS_Y!G$1,FS_Q!11:11)</f>
        <v/>
      </c>
      <c r="H11" s="519">
        <f>SUMIF(FS_Q!$1:$1,FS_Y!H$1,FS_Q!11:11)</f>
        <v/>
      </c>
      <c r="I11" s="519">
        <f>SUMIF(FS_Q!$1:$1,FS_Y!I$1,FS_Q!11:11)</f>
        <v/>
      </c>
      <c r="J11" s="519">
        <f>SUMIF(FS_Q!$1:$1,FS_Y!J$1,FS_Q!11:11)</f>
        <v/>
      </c>
      <c r="K11" s="519">
        <f>SUMIF(FS_Q!$1:$1,FS_Y!K$1,FS_Q!11:11)</f>
        <v/>
      </c>
      <c r="L11" s="519">
        <f>SUMIF(FS_Q!$1:$1,FS_Y!L$1,FS_Q!11:11)</f>
        <v/>
      </c>
      <c r="M11" s="519">
        <f>SUMIF(FS_Q!$1:$1,FS_Y!M$1,FS_Q!11:11)</f>
        <v/>
      </c>
      <c r="N11" s="519">
        <f>SUMIF(FS_Q!$1:$1,FS_Y!N$1,FS_Q!11:11)</f>
        <v/>
      </c>
      <c r="O11" s="519">
        <f>SUMIF(FS_Q!$1:$1,FS_Y!O$1,FS_Q!11:11)</f>
        <v/>
      </c>
      <c r="P11" s="519">
        <f>SUMIF(FS_Q!$1:$1,FS_Y!P$1,FS_Q!11:11)</f>
        <v/>
      </c>
      <c r="Q11" s="519">
        <f>SUMIF(FS_Q!$1:$1,FS_Y!Q$1,FS_Q!11:11)</f>
        <v/>
      </c>
      <c r="R11" s="519">
        <f>SUMIF(FS_Q!$1:$1,FS_Y!R$1,FS_Q!11:11)</f>
        <v/>
      </c>
      <c r="S11" s="519">
        <f>SUMIF(FS_Q!$1:$1,FS_Y!S$1,FS_Q!11:11)</f>
        <v/>
      </c>
      <c r="T11" s="519">
        <f>SUMIF(FS_Q!$1:$1,FS_Y!T$1,FS_Q!11:11)</f>
        <v/>
      </c>
      <c r="U11" s="519">
        <f>SUMIF(FS_Q!$1:$1,FS_Y!U$1,FS_Q!11:11)</f>
        <v/>
      </c>
      <c r="V11" s="519">
        <f>SUMIF(FS_Q!$1:$1,FS_Y!V$1,FS_Q!11:11)</f>
        <v/>
      </c>
      <c r="W11" s="519">
        <f>SUMIF(FS_Q!$1:$1,FS_Y!W$1,FS_Q!11:11)</f>
        <v/>
      </c>
      <c r="X11" s="148" t="n"/>
      <c r="Y11" s="148" t="n"/>
      <c r="Z11" s="148" t="n"/>
      <c r="AA11" s="148" t="n"/>
      <c r="AB11" s="148" t="n"/>
      <c r="AC11" s="148" t="n"/>
      <c r="AD11" s="148" t="n"/>
      <c r="AE11" s="148" t="n"/>
      <c r="AF11" s="148" t="n"/>
      <c r="AG11" s="148" t="n"/>
      <c r="AH11" s="148" t="n"/>
      <c r="AI11" s="148" t="n"/>
      <c r="AJ11" s="148" t="n"/>
    </row>
    <row r="12">
      <c r="A12" s="74">
        <f>FS_Q!A12</f>
        <v/>
      </c>
      <c r="B12" s="143" t="n"/>
      <c r="C12" s="143" t="n"/>
      <c r="D12" s="143" t="n"/>
      <c r="E12" s="517">
        <f>SUMIF(FS_Q!$1:$1,FS_Y!E$1,FS_Q!12:12)</f>
        <v/>
      </c>
      <c r="F12" s="517">
        <f>SUMIF(FS_Q!$1:$1,FS_Y!F$1,FS_Q!12:12)</f>
        <v/>
      </c>
      <c r="G12" s="517">
        <f>SUMIF(FS_Q!$1:$1,FS_Y!G$1,FS_Q!12:12)</f>
        <v/>
      </c>
      <c r="H12" s="517">
        <f>SUMIF(FS_Q!$1:$1,FS_Y!H$1,FS_Q!12:12)</f>
        <v/>
      </c>
      <c r="I12" s="517">
        <f>SUMIF(FS_Q!$1:$1,FS_Y!I$1,FS_Q!12:12)</f>
        <v/>
      </c>
      <c r="J12" s="517">
        <f>SUMIF(FS_Q!$1:$1,FS_Y!J$1,FS_Q!12:12)</f>
        <v/>
      </c>
      <c r="K12" s="517">
        <f>SUMIF(FS_Q!$1:$1,FS_Y!K$1,FS_Q!12:12)</f>
        <v/>
      </c>
      <c r="L12" s="517">
        <f>SUMIF(FS_Q!$1:$1,FS_Y!L$1,FS_Q!12:12)</f>
        <v/>
      </c>
      <c r="M12" s="517">
        <f>SUMIF(FS_Q!$1:$1,FS_Y!M$1,FS_Q!12:12)</f>
        <v/>
      </c>
      <c r="N12" s="517">
        <f>SUMIF(FS_Q!$1:$1,FS_Y!N$1,FS_Q!12:12)</f>
        <v/>
      </c>
      <c r="O12" s="517">
        <f>SUMIF(FS_Q!$1:$1,FS_Y!O$1,FS_Q!12:12)</f>
        <v/>
      </c>
      <c r="P12" s="517">
        <f>SUMIF(FS_Q!$1:$1,FS_Y!P$1,FS_Q!12:12)</f>
        <v/>
      </c>
      <c r="Q12" s="517">
        <f>SUMIF(FS_Q!$1:$1,FS_Y!Q$1,FS_Q!12:12)</f>
        <v/>
      </c>
      <c r="R12" s="517">
        <f>SUMIF(FS_Q!$1:$1,FS_Y!R$1,FS_Q!12:12)</f>
        <v/>
      </c>
      <c r="S12" s="517">
        <f>SUMIF(FS_Q!$1:$1,FS_Y!S$1,FS_Q!12:12)</f>
        <v/>
      </c>
      <c r="T12" s="517">
        <f>SUMIF(FS_Q!$1:$1,FS_Y!T$1,FS_Q!12:12)</f>
        <v/>
      </c>
      <c r="U12" s="517">
        <f>SUMIF(FS_Q!$1:$1,FS_Y!U$1,FS_Q!12:12)</f>
        <v/>
      </c>
      <c r="V12" s="517">
        <f>SUMIF(FS_Q!$1:$1,FS_Y!V$1,FS_Q!12:12)</f>
        <v/>
      </c>
      <c r="W12" s="517">
        <f>SUMIF(FS_Q!$1:$1,FS_Y!W$1,FS_Q!12:12)</f>
        <v/>
      </c>
      <c r="X12" s="148" t="n"/>
      <c r="Y12" s="148" t="n"/>
      <c r="Z12" s="148" t="n"/>
      <c r="AA12" s="148" t="n"/>
      <c r="AB12" s="148" t="n"/>
      <c r="AC12" s="148" t="n"/>
      <c r="AD12" s="148" t="n"/>
      <c r="AE12" s="148" t="n"/>
      <c r="AF12" s="148" t="n"/>
      <c r="AG12" s="148" t="n"/>
      <c r="AH12" s="148" t="n"/>
      <c r="AI12" s="148" t="n"/>
      <c r="AJ12" s="148" t="n"/>
      <c r="AK12" s="148" t="n"/>
      <c r="AL12" s="148" t="n"/>
      <c r="AM12" s="148" t="n"/>
      <c r="AN12" s="148" t="n"/>
      <c r="AO12" s="148" t="n"/>
      <c r="AP12" s="148" t="n"/>
      <c r="AQ12" s="148" t="n"/>
      <c r="AR12" s="148" t="n"/>
      <c r="AS12" s="148" t="n"/>
    </row>
    <row r="13">
      <c r="A13" s="22">
        <f>FS_Q!A13</f>
        <v/>
      </c>
      <c r="B13" s="143" t="n"/>
      <c r="C13" s="143" t="n"/>
      <c r="D13" s="143" t="n"/>
      <c r="E13" s="519">
        <f>SUMIF(FS_Q!$1:$1,FS_Y!E$1,FS_Q!13:13)</f>
        <v/>
      </c>
      <c r="F13" s="519">
        <f>SUMIF(FS_Q!$1:$1,FS_Y!F$1,FS_Q!13:13)</f>
        <v/>
      </c>
      <c r="G13" s="519">
        <f>SUMIF(FS_Q!$1:$1,FS_Y!G$1,FS_Q!13:13)</f>
        <v/>
      </c>
      <c r="H13" s="519">
        <f>SUMIF(FS_Q!$1:$1,FS_Y!H$1,FS_Q!13:13)</f>
        <v/>
      </c>
      <c r="I13" s="519">
        <f>SUMIF(FS_Q!$1:$1,FS_Y!I$1,FS_Q!13:13)</f>
        <v/>
      </c>
      <c r="J13" s="519">
        <f>SUMIF(FS_Q!$1:$1,FS_Y!J$1,FS_Q!13:13)</f>
        <v/>
      </c>
      <c r="K13" s="519">
        <f>SUMIF(FS_Q!$1:$1,FS_Y!K$1,FS_Q!13:13)</f>
        <v/>
      </c>
      <c r="L13" s="519">
        <f>SUMIF(FS_Q!$1:$1,FS_Y!L$1,FS_Q!13:13)</f>
        <v/>
      </c>
      <c r="M13" s="519">
        <f>SUMIF(FS_Q!$1:$1,FS_Y!M$1,FS_Q!13:13)</f>
        <v/>
      </c>
      <c r="N13" s="519">
        <f>SUMIF(FS_Q!$1:$1,FS_Y!N$1,FS_Q!13:13)</f>
        <v/>
      </c>
      <c r="O13" s="519">
        <f>SUMIF(FS_Q!$1:$1,FS_Y!O$1,FS_Q!13:13)</f>
        <v/>
      </c>
      <c r="P13" s="519">
        <f>SUMIF(FS_Q!$1:$1,FS_Y!P$1,FS_Q!13:13)</f>
        <v/>
      </c>
      <c r="Q13" s="519">
        <f>SUMIF(FS_Q!$1:$1,FS_Y!Q$1,FS_Q!13:13)</f>
        <v/>
      </c>
      <c r="R13" s="519">
        <f>SUMIF(FS_Q!$1:$1,FS_Y!R$1,FS_Q!13:13)</f>
        <v/>
      </c>
      <c r="S13" s="519">
        <f>SUMIF(FS_Q!$1:$1,FS_Y!S$1,FS_Q!13:13)</f>
        <v/>
      </c>
      <c r="T13" s="519">
        <f>SUMIF(FS_Q!$1:$1,FS_Y!T$1,FS_Q!13:13)</f>
        <v/>
      </c>
      <c r="U13" s="519">
        <f>SUMIF(FS_Q!$1:$1,FS_Y!U$1,FS_Q!13:13)</f>
        <v/>
      </c>
      <c r="V13" s="519">
        <f>SUMIF(FS_Q!$1:$1,FS_Y!V$1,FS_Q!13:13)</f>
        <v/>
      </c>
      <c r="W13" s="519">
        <f>SUMIF(FS_Q!$1:$1,FS_Y!W$1,FS_Q!13:13)</f>
        <v/>
      </c>
      <c r="X13" s="148" t="n"/>
      <c r="Y13" s="148" t="n"/>
      <c r="Z13" s="148" t="n"/>
      <c r="AA13" s="148" t="n"/>
      <c r="AB13" s="148" t="n"/>
      <c r="AC13" s="148" t="n"/>
      <c r="AD13" s="148" t="n"/>
      <c r="AE13" s="148" t="n"/>
      <c r="AF13" s="148" t="n"/>
      <c r="AG13" s="148" t="n"/>
      <c r="AH13" s="148" t="n"/>
      <c r="AI13" s="148" t="n"/>
      <c r="AJ13" s="148" t="n"/>
      <c r="AK13" s="148" t="n"/>
      <c r="AL13" s="148" t="n"/>
      <c r="AM13" s="148" t="n"/>
      <c r="AN13" s="148" t="n"/>
      <c r="AO13" s="148" t="n"/>
      <c r="AP13" s="148" t="n"/>
      <c r="AQ13" s="148" t="n"/>
      <c r="AR13" s="148" t="n"/>
      <c r="AS13" s="148" t="n"/>
    </row>
    <row r="14">
      <c r="A14" s="33">
        <f>FS_Q!A14</f>
        <v/>
      </c>
      <c r="B14" s="147" t="n"/>
      <c r="C14" s="147" t="n"/>
      <c r="D14" s="147" t="n"/>
      <c r="E14" s="517">
        <f>SUMIF(FS_Q!$1:$1,FS_Y!E$1,FS_Q!14:14)</f>
        <v/>
      </c>
      <c r="F14" s="517">
        <f>SUMIF(FS_Q!$1:$1,FS_Y!F$1,FS_Q!14:14)</f>
        <v/>
      </c>
      <c r="G14" s="517">
        <f>SUMIF(FS_Q!$1:$1,FS_Y!G$1,FS_Q!14:14)</f>
        <v/>
      </c>
      <c r="H14" s="517">
        <f>SUMIF(FS_Q!$1:$1,FS_Y!H$1,FS_Q!14:14)</f>
        <v/>
      </c>
      <c r="I14" s="517">
        <f>SUMIF(FS_Q!$1:$1,FS_Y!I$1,FS_Q!14:14)</f>
        <v/>
      </c>
      <c r="J14" s="517">
        <f>SUMIF(FS_Q!$1:$1,FS_Y!J$1,FS_Q!14:14)</f>
        <v/>
      </c>
      <c r="K14" s="517">
        <f>SUMIF(FS_Q!$1:$1,FS_Y!K$1,FS_Q!14:14)</f>
        <v/>
      </c>
      <c r="L14" s="517">
        <f>SUMIF(FS_Q!$1:$1,FS_Y!L$1,FS_Q!14:14)</f>
        <v/>
      </c>
      <c r="M14" s="517">
        <f>SUMIF(FS_Q!$1:$1,FS_Y!M$1,FS_Q!14:14)</f>
        <v/>
      </c>
      <c r="N14" s="517">
        <f>SUMIF(FS_Q!$1:$1,FS_Y!N$1,FS_Q!14:14)</f>
        <v/>
      </c>
      <c r="O14" s="517">
        <f>SUMIF(FS_Q!$1:$1,FS_Y!O$1,FS_Q!14:14)</f>
        <v/>
      </c>
      <c r="P14" s="517">
        <f>SUMIF(FS_Q!$1:$1,FS_Y!P$1,FS_Q!14:14)</f>
        <v/>
      </c>
      <c r="Q14" s="517">
        <f>SUMIF(FS_Q!$1:$1,FS_Y!Q$1,FS_Q!14:14)</f>
        <v/>
      </c>
      <c r="R14" s="517">
        <f>SUMIF(FS_Q!$1:$1,FS_Y!R$1,FS_Q!14:14)</f>
        <v/>
      </c>
      <c r="S14" s="517">
        <f>SUMIF(FS_Q!$1:$1,FS_Y!S$1,FS_Q!14:14)</f>
        <v/>
      </c>
      <c r="T14" s="517">
        <f>SUMIF(FS_Q!$1:$1,FS_Y!T$1,FS_Q!14:14)</f>
        <v/>
      </c>
      <c r="U14" s="517">
        <f>SUMIF(FS_Q!$1:$1,FS_Y!U$1,FS_Q!14:14)</f>
        <v/>
      </c>
      <c r="V14" s="517">
        <f>SUMIF(FS_Q!$1:$1,FS_Y!V$1,FS_Q!14:14)</f>
        <v/>
      </c>
      <c r="W14" s="517">
        <f>SUMIF(FS_Q!$1:$1,FS_Y!W$1,FS_Q!14:14)</f>
        <v/>
      </c>
      <c r="X14" s="148" t="n"/>
      <c r="Y14" s="148" t="n"/>
      <c r="Z14" s="148" t="n"/>
      <c r="AA14" s="148" t="n"/>
      <c r="AB14" s="148" t="n"/>
      <c r="AC14" s="148" t="n"/>
      <c r="AD14" s="148" t="n"/>
      <c r="AE14" s="148" t="n"/>
      <c r="AF14" s="148" t="n"/>
      <c r="AG14" s="148" t="n"/>
      <c r="AH14" s="148" t="n"/>
      <c r="AI14" s="148" t="n"/>
      <c r="AJ14" s="148" t="n"/>
      <c r="AK14" s="148" t="n"/>
      <c r="AL14" s="148" t="n"/>
      <c r="AM14" s="148" t="n"/>
      <c r="AN14" s="148" t="n"/>
      <c r="AO14" s="148" t="n"/>
      <c r="AP14" s="148" t="n"/>
      <c r="AQ14" s="148" t="n"/>
      <c r="AR14" s="148" t="n"/>
      <c r="AS14" s="148" t="n"/>
    </row>
    <row r="15" customFormat="1" s="281">
      <c r="A15" s="33">
        <f>FS_Q!A15</f>
        <v/>
      </c>
      <c r="B15" s="382" t="n"/>
      <c r="C15" s="382" t="n"/>
      <c r="D15" s="382" t="n"/>
      <c r="E15" s="517">
        <f>SUMIF(FS_Q!$1:$1,FS_Y!E$1,FS_Q!15:15)</f>
        <v/>
      </c>
      <c r="F15" s="517">
        <f>SUMIF(FS_Q!$1:$1,FS_Y!F$1,FS_Q!15:15)</f>
        <v/>
      </c>
      <c r="G15" s="517">
        <f>SUMIF(FS_Q!$1:$1,FS_Y!G$1,FS_Q!15:15)</f>
        <v/>
      </c>
      <c r="H15" s="517">
        <f>SUMIF(FS_Q!$1:$1,FS_Y!H$1,FS_Q!15:15)</f>
        <v/>
      </c>
      <c r="I15" s="517">
        <f>SUMIF(FS_Q!$1:$1,FS_Y!I$1,FS_Q!15:15)</f>
        <v/>
      </c>
      <c r="J15" s="517">
        <f>SUMIF(FS_Q!$1:$1,FS_Y!J$1,FS_Q!15:15)</f>
        <v/>
      </c>
      <c r="K15" s="517">
        <f>SUMIF(FS_Q!$1:$1,FS_Y!K$1,FS_Q!15:15)</f>
        <v/>
      </c>
      <c r="L15" s="517">
        <f>SUMIF(FS_Q!$1:$1,FS_Y!L$1,FS_Q!15:15)</f>
        <v/>
      </c>
      <c r="M15" s="517">
        <f>SUMIF(FS_Q!$1:$1,FS_Y!M$1,FS_Q!15:15)</f>
        <v/>
      </c>
      <c r="N15" s="517">
        <f>SUMIF(FS_Q!$1:$1,FS_Y!N$1,FS_Q!15:15)</f>
        <v/>
      </c>
      <c r="O15" s="517">
        <f>SUMIF(FS_Q!$1:$1,FS_Y!O$1,FS_Q!15:15)</f>
        <v/>
      </c>
      <c r="P15" s="517">
        <f>SUMIF(FS_Q!$1:$1,FS_Y!P$1,FS_Q!15:15)</f>
        <v/>
      </c>
      <c r="Q15" s="517">
        <f>SUMIF(FS_Q!$1:$1,FS_Y!Q$1,FS_Q!15:15)</f>
        <v/>
      </c>
      <c r="R15" s="517">
        <f>SUMIF(FS_Q!$1:$1,FS_Y!R$1,FS_Q!15:15)</f>
        <v/>
      </c>
      <c r="S15" s="517">
        <f>SUMIF(FS_Q!$1:$1,FS_Y!S$1,FS_Q!15:15)</f>
        <v/>
      </c>
      <c r="T15" s="517">
        <f>SUMIF(FS_Q!$1:$1,FS_Y!T$1,FS_Q!15:15)</f>
        <v/>
      </c>
      <c r="U15" s="517">
        <f>SUMIF(FS_Q!$1:$1,FS_Y!U$1,FS_Q!15:15)</f>
        <v/>
      </c>
      <c r="V15" s="517">
        <f>SUMIF(FS_Q!$1:$1,FS_Y!V$1,FS_Q!15:15)</f>
        <v/>
      </c>
      <c r="W15" s="517">
        <f>SUMIF(FS_Q!$1:$1,FS_Y!W$1,FS_Q!15:15)</f>
        <v/>
      </c>
      <c r="X15" s="382" t="n"/>
      <c r="Y15" s="382" t="n"/>
      <c r="Z15" s="382" t="n"/>
      <c r="AA15" s="382" t="n"/>
      <c r="AB15" s="382" t="n"/>
      <c r="AC15" s="382" t="n"/>
      <c r="AD15" s="382" t="n"/>
      <c r="AE15" s="382" t="n"/>
      <c r="AF15" s="382" t="n"/>
      <c r="AG15" s="382" t="n"/>
      <c r="AH15" s="382" t="n"/>
      <c r="AI15" s="382" t="n"/>
      <c r="AJ15" s="382" t="n"/>
      <c r="AK15" s="382" t="n"/>
      <c r="AL15" s="382" t="n"/>
      <c r="AM15" s="382" t="n"/>
      <c r="AN15" s="382" t="n"/>
      <c r="AO15" s="382" t="n"/>
      <c r="AP15" s="382" t="n"/>
      <c r="AQ15" s="382" t="n"/>
      <c r="AR15" s="382" t="n"/>
      <c r="AS15" s="382" t="n"/>
    </row>
    <row r="16" customFormat="1" s="281">
      <c r="A16" s="33">
        <f>FS_Q!A16</f>
        <v/>
      </c>
      <c r="B16" s="143" t="n"/>
      <c r="C16" s="143" t="n"/>
      <c r="D16" s="143" t="n"/>
      <c r="E16" s="517">
        <f>SUMIF(FS_Q!$1:$1,FS_Y!E$1,FS_Q!16:16)</f>
        <v/>
      </c>
      <c r="F16" s="517">
        <f>SUMIF(FS_Q!$1:$1,FS_Y!F$1,FS_Q!16:16)</f>
        <v/>
      </c>
      <c r="G16" s="517">
        <f>SUMIF(FS_Q!$1:$1,FS_Y!G$1,FS_Q!16:16)</f>
        <v/>
      </c>
      <c r="H16" s="517">
        <f>SUMIF(FS_Q!$1:$1,FS_Y!H$1,FS_Q!16:16)</f>
        <v/>
      </c>
      <c r="I16" s="517">
        <f>SUMIF(FS_Q!$1:$1,FS_Y!I$1,FS_Q!16:16)</f>
        <v/>
      </c>
      <c r="J16" s="517">
        <f>SUMIF(FS_Q!$1:$1,FS_Y!J$1,FS_Q!16:16)</f>
        <v/>
      </c>
      <c r="K16" s="517">
        <f>SUMIF(FS_Q!$1:$1,FS_Y!K$1,FS_Q!16:16)</f>
        <v/>
      </c>
      <c r="L16" s="517">
        <f>SUMIF(FS_Q!$1:$1,FS_Y!L$1,FS_Q!16:16)</f>
        <v/>
      </c>
      <c r="M16" s="517">
        <f>SUMIF(FS_Q!$1:$1,FS_Y!M$1,FS_Q!16:16)</f>
        <v/>
      </c>
      <c r="N16" s="517">
        <f>SUMIF(FS_Q!$1:$1,FS_Y!N$1,FS_Q!16:16)</f>
        <v/>
      </c>
      <c r="O16" s="517">
        <f>SUMIF(FS_Q!$1:$1,FS_Y!O$1,FS_Q!16:16)</f>
        <v/>
      </c>
      <c r="P16" s="517">
        <f>SUMIF(FS_Q!$1:$1,FS_Y!P$1,FS_Q!16:16)</f>
        <v/>
      </c>
      <c r="Q16" s="517">
        <f>SUMIF(FS_Q!$1:$1,FS_Y!Q$1,FS_Q!16:16)</f>
        <v/>
      </c>
      <c r="R16" s="517">
        <f>SUMIF(FS_Q!$1:$1,FS_Y!R$1,FS_Q!16:16)</f>
        <v/>
      </c>
      <c r="S16" s="517">
        <f>SUMIF(FS_Q!$1:$1,FS_Y!S$1,FS_Q!16:16)</f>
        <v/>
      </c>
      <c r="T16" s="517">
        <f>SUMIF(FS_Q!$1:$1,FS_Y!T$1,FS_Q!16:16)</f>
        <v/>
      </c>
      <c r="U16" s="517">
        <f>SUMIF(FS_Q!$1:$1,FS_Y!U$1,FS_Q!16:16)</f>
        <v/>
      </c>
      <c r="V16" s="517">
        <f>SUMIF(FS_Q!$1:$1,FS_Y!V$1,FS_Q!16:16)</f>
        <v/>
      </c>
      <c r="W16" s="517">
        <f>SUMIF(FS_Q!$1:$1,FS_Y!W$1,FS_Q!16:16)</f>
        <v/>
      </c>
      <c r="X16" s="382" t="n"/>
      <c r="Y16" s="382" t="n"/>
      <c r="Z16" s="382" t="n"/>
      <c r="AA16" s="382" t="n"/>
      <c r="AB16" s="382" t="n"/>
      <c r="AC16" s="382" t="n"/>
      <c r="AD16" s="382" t="n"/>
      <c r="AE16" s="382" t="n"/>
      <c r="AF16" s="382" t="n"/>
      <c r="AG16" s="382" t="n"/>
      <c r="AH16" s="382" t="n"/>
      <c r="AI16" s="382" t="n"/>
      <c r="AJ16" s="382" t="n"/>
      <c r="AK16" s="382" t="n"/>
      <c r="AL16" s="382" t="n"/>
      <c r="AM16" s="382" t="n"/>
      <c r="AN16" s="382" t="n"/>
      <c r="AO16" s="382" t="n"/>
      <c r="AP16" s="382" t="n"/>
      <c r="AQ16" s="382" t="n"/>
      <c r="AR16" s="382" t="n"/>
      <c r="AS16" s="382" t="n"/>
    </row>
    <row r="17">
      <c r="A17" s="33">
        <f>FS_Q!A17</f>
        <v/>
      </c>
      <c r="B17" s="143" t="n"/>
      <c r="C17" s="143" t="n"/>
      <c r="D17" s="143" t="n"/>
      <c r="E17" s="517">
        <f>SUMIF(FS_Q!$1:$1,FS_Y!E$1,FS_Q!17:17)</f>
        <v/>
      </c>
      <c r="F17" s="517">
        <f>SUMIF(FS_Q!$1:$1,FS_Y!F$1,FS_Q!17:17)</f>
        <v/>
      </c>
      <c r="G17" s="517">
        <f>SUMIF(FS_Q!$1:$1,FS_Y!G$1,FS_Q!17:17)</f>
        <v/>
      </c>
      <c r="H17" s="517">
        <f>SUMIF(FS_Q!$1:$1,FS_Y!H$1,FS_Q!17:17)</f>
        <v/>
      </c>
      <c r="I17" s="517">
        <f>SUMIF(FS_Q!$1:$1,FS_Y!I$1,FS_Q!17:17)</f>
        <v/>
      </c>
      <c r="J17" s="517">
        <f>SUMIF(FS_Q!$1:$1,FS_Y!J$1,FS_Q!17:17)</f>
        <v/>
      </c>
      <c r="K17" s="517">
        <f>SUMIF(FS_Q!$1:$1,FS_Y!K$1,FS_Q!17:17)</f>
        <v/>
      </c>
      <c r="L17" s="517">
        <f>SUMIF(FS_Q!$1:$1,FS_Y!L$1,FS_Q!17:17)</f>
        <v/>
      </c>
      <c r="M17" s="517">
        <f>SUMIF(FS_Q!$1:$1,FS_Y!M$1,FS_Q!17:17)</f>
        <v/>
      </c>
      <c r="N17" s="517">
        <f>SUMIF(FS_Q!$1:$1,FS_Y!N$1,FS_Q!17:17)</f>
        <v/>
      </c>
      <c r="O17" s="517">
        <f>SUMIF(FS_Q!$1:$1,FS_Y!O$1,FS_Q!17:17)</f>
        <v/>
      </c>
      <c r="P17" s="517">
        <f>SUMIF(FS_Q!$1:$1,FS_Y!P$1,FS_Q!17:17)</f>
        <v/>
      </c>
      <c r="Q17" s="517">
        <f>SUMIF(FS_Q!$1:$1,FS_Y!Q$1,FS_Q!17:17)</f>
        <v/>
      </c>
      <c r="R17" s="517">
        <f>SUMIF(FS_Q!$1:$1,FS_Y!R$1,FS_Q!17:17)</f>
        <v/>
      </c>
      <c r="S17" s="517">
        <f>SUMIF(FS_Q!$1:$1,FS_Y!S$1,FS_Q!17:17)</f>
        <v/>
      </c>
      <c r="T17" s="517">
        <f>SUMIF(FS_Q!$1:$1,FS_Y!T$1,FS_Q!17:17)</f>
        <v/>
      </c>
      <c r="U17" s="517">
        <f>SUMIF(FS_Q!$1:$1,FS_Y!U$1,FS_Q!17:17)</f>
        <v/>
      </c>
      <c r="V17" s="517">
        <f>SUMIF(FS_Q!$1:$1,FS_Y!V$1,FS_Q!17:17)</f>
        <v/>
      </c>
      <c r="W17" s="517">
        <f>SUMIF(FS_Q!$1:$1,FS_Y!W$1,FS_Q!17:17)</f>
        <v/>
      </c>
      <c r="X17" s="148" t="n"/>
      <c r="Y17" s="148" t="n"/>
      <c r="Z17" s="148" t="n"/>
      <c r="AA17" s="148" t="n"/>
      <c r="AB17" s="148" t="n"/>
      <c r="AC17" s="148" t="n"/>
      <c r="AD17" s="148" t="n"/>
      <c r="AE17" s="148" t="n"/>
      <c r="AF17" s="148" t="n"/>
      <c r="AG17" s="148" t="n"/>
      <c r="AH17" s="148" t="n"/>
      <c r="AI17" s="148" t="n"/>
      <c r="AJ17" s="148" t="n"/>
      <c r="AK17" s="148" t="n"/>
      <c r="AL17" s="148" t="n"/>
      <c r="AM17" s="148" t="n"/>
      <c r="AN17" s="148" t="n"/>
      <c r="AO17" s="148" t="n"/>
      <c r="AP17" s="148" t="n"/>
      <c r="AQ17" s="148" t="n"/>
      <c r="AR17" s="148" t="n"/>
      <c r="AS17" s="148" t="n"/>
    </row>
    <row r="18">
      <c r="A18" s="74">
        <f>FS_Q!A18</f>
        <v/>
      </c>
      <c r="B18" s="147" t="n"/>
      <c r="C18" s="147" t="n"/>
      <c r="D18" s="147" t="n"/>
      <c r="E18" s="517">
        <f>SUMIF(FS_Q!$1:$1,FS_Y!E$1,FS_Q!18:18)</f>
        <v/>
      </c>
      <c r="F18" s="517">
        <f>SUMIF(FS_Q!$1:$1,FS_Y!F$1,FS_Q!18:18)</f>
        <v/>
      </c>
      <c r="G18" s="517">
        <f>SUMIF(FS_Q!$1:$1,FS_Y!G$1,FS_Q!18:18)</f>
        <v/>
      </c>
      <c r="H18" s="517">
        <f>SUMIF(FS_Q!$1:$1,FS_Y!H$1,FS_Q!18:18)</f>
        <v/>
      </c>
      <c r="I18" s="517">
        <f>SUMIF(FS_Q!$1:$1,FS_Y!I$1,FS_Q!18:18)</f>
        <v/>
      </c>
      <c r="J18" s="517">
        <f>SUMIF(FS_Q!$1:$1,FS_Y!J$1,FS_Q!18:18)</f>
        <v/>
      </c>
      <c r="K18" s="517">
        <f>SUMIF(FS_Q!$1:$1,FS_Y!K$1,FS_Q!18:18)</f>
        <v/>
      </c>
      <c r="L18" s="517">
        <f>SUMIF(FS_Q!$1:$1,FS_Y!L$1,FS_Q!18:18)</f>
        <v/>
      </c>
      <c r="M18" s="517">
        <f>SUMIF(FS_Q!$1:$1,FS_Y!M$1,FS_Q!18:18)</f>
        <v/>
      </c>
      <c r="N18" s="517">
        <f>SUMIF(FS_Q!$1:$1,FS_Y!N$1,FS_Q!18:18)</f>
        <v/>
      </c>
      <c r="O18" s="517">
        <f>SUMIF(FS_Q!$1:$1,FS_Y!O$1,FS_Q!18:18)</f>
        <v/>
      </c>
      <c r="P18" s="517">
        <f>SUMIF(FS_Q!$1:$1,FS_Y!P$1,FS_Q!18:18)</f>
        <v/>
      </c>
      <c r="Q18" s="517">
        <f>SUMIF(FS_Q!$1:$1,FS_Y!Q$1,FS_Q!18:18)</f>
        <v/>
      </c>
      <c r="R18" s="517">
        <f>SUMIF(FS_Q!$1:$1,FS_Y!R$1,FS_Q!18:18)</f>
        <v/>
      </c>
      <c r="S18" s="517">
        <f>SUMIF(FS_Q!$1:$1,FS_Y!S$1,FS_Q!18:18)</f>
        <v/>
      </c>
      <c r="T18" s="517">
        <f>SUMIF(FS_Q!$1:$1,FS_Y!T$1,FS_Q!18:18)</f>
        <v/>
      </c>
      <c r="U18" s="517">
        <f>SUMIF(FS_Q!$1:$1,FS_Y!U$1,FS_Q!18:18)</f>
        <v/>
      </c>
      <c r="V18" s="517">
        <f>SUMIF(FS_Q!$1:$1,FS_Y!V$1,FS_Q!18:18)</f>
        <v/>
      </c>
      <c r="W18" s="517">
        <f>SUMIF(FS_Q!$1:$1,FS_Y!W$1,FS_Q!18:18)</f>
        <v/>
      </c>
      <c r="X18" s="148" t="n"/>
      <c r="Y18" s="148" t="n"/>
      <c r="Z18" s="148" t="n"/>
      <c r="AA18" s="148" t="n"/>
      <c r="AB18" s="148" t="n"/>
      <c r="AC18" s="148" t="n"/>
      <c r="AD18" s="148" t="n"/>
      <c r="AE18" s="148" t="n"/>
      <c r="AF18" s="148" t="n"/>
      <c r="AG18" s="148" t="n"/>
      <c r="AH18" s="148" t="n"/>
      <c r="AI18" s="148" t="n"/>
      <c r="AJ18" s="148" t="n"/>
      <c r="AK18" s="148" t="n"/>
      <c r="AL18" s="148" t="n"/>
      <c r="AM18" s="148" t="n"/>
      <c r="AN18" s="148" t="n"/>
      <c r="AO18" s="148" t="n"/>
      <c r="AP18" s="148" t="n"/>
      <c r="AQ18" s="148" t="n"/>
      <c r="AR18" s="148" t="n"/>
      <c r="AS18" s="148" t="n"/>
    </row>
    <row r="19" customFormat="1" s="281">
      <c r="A19" s="22">
        <f>FS_Q!A19</f>
        <v/>
      </c>
      <c r="B19" s="382" t="n"/>
      <c r="C19" s="382" t="n"/>
      <c r="D19" s="382" t="n"/>
      <c r="E19" s="519">
        <f>SUMIF(FS_Q!$1:$1,FS_Y!E$1,FS_Q!19:19)</f>
        <v/>
      </c>
      <c r="F19" s="519">
        <f>SUMIF(FS_Q!$1:$1,FS_Y!F$1,FS_Q!19:19)</f>
        <v/>
      </c>
      <c r="G19" s="519">
        <f>SUMIF(FS_Q!$1:$1,FS_Y!G$1,FS_Q!19:19)</f>
        <v/>
      </c>
      <c r="H19" s="519">
        <f>SUMIF(FS_Q!$1:$1,FS_Y!H$1,FS_Q!19:19)</f>
        <v/>
      </c>
      <c r="I19" s="519">
        <f>SUMIF(FS_Q!$1:$1,FS_Y!I$1,FS_Q!19:19)</f>
        <v/>
      </c>
      <c r="J19" s="519">
        <f>SUMIF(FS_Q!$1:$1,FS_Y!J$1,FS_Q!19:19)</f>
        <v/>
      </c>
      <c r="K19" s="519">
        <f>SUMIF(FS_Q!$1:$1,FS_Y!K$1,FS_Q!19:19)</f>
        <v/>
      </c>
      <c r="L19" s="519">
        <f>SUMIF(FS_Q!$1:$1,FS_Y!L$1,FS_Q!19:19)</f>
        <v/>
      </c>
      <c r="M19" s="519">
        <f>SUMIF(FS_Q!$1:$1,FS_Y!M$1,FS_Q!19:19)</f>
        <v/>
      </c>
      <c r="N19" s="519">
        <f>SUMIF(FS_Q!$1:$1,FS_Y!N$1,FS_Q!19:19)</f>
        <v/>
      </c>
      <c r="O19" s="519">
        <f>SUMIF(FS_Q!$1:$1,FS_Y!O$1,FS_Q!19:19)</f>
        <v/>
      </c>
      <c r="P19" s="519">
        <f>SUMIF(FS_Q!$1:$1,FS_Y!P$1,FS_Q!19:19)</f>
        <v/>
      </c>
      <c r="Q19" s="519">
        <f>SUMIF(FS_Q!$1:$1,FS_Y!Q$1,FS_Q!19:19)</f>
        <v/>
      </c>
      <c r="R19" s="519">
        <f>SUMIF(FS_Q!$1:$1,FS_Y!R$1,FS_Q!19:19)</f>
        <v/>
      </c>
      <c r="S19" s="519">
        <f>SUMIF(FS_Q!$1:$1,FS_Y!S$1,FS_Q!19:19)</f>
        <v/>
      </c>
      <c r="T19" s="519">
        <f>SUMIF(FS_Q!$1:$1,FS_Y!T$1,FS_Q!19:19)</f>
        <v/>
      </c>
      <c r="U19" s="519">
        <f>SUMIF(FS_Q!$1:$1,FS_Y!U$1,FS_Q!19:19)</f>
        <v/>
      </c>
      <c r="V19" s="519">
        <f>SUMIF(FS_Q!$1:$1,FS_Y!V$1,FS_Q!19:19)</f>
        <v/>
      </c>
      <c r="W19" s="519">
        <f>SUMIF(FS_Q!$1:$1,FS_Y!W$1,FS_Q!19:19)</f>
        <v/>
      </c>
      <c r="X19" s="382" t="n"/>
      <c r="Y19" s="382" t="n"/>
      <c r="Z19" s="382" t="n"/>
      <c r="AA19" s="382" t="n"/>
      <c r="AB19" s="382" t="n"/>
      <c r="AC19" s="382" t="n"/>
      <c r="AD19" s="382" t="n"/>
      <c r="AE19" s="382" t="n"/>
      <c r="AF19" s="382" t="n"/>
      <c r="AG19" s="382" t="n"/>
      <c r="AH19" s="382" t="n"/>
      <c r="AI19" s="382" t="n"/>
      <c r="AJ19" s="382" t="n"/>
      <c r="AK19" s="382" t="n"/>
      <c r="AL19" s="382" t="n"/>
      <c r="AM19" s="382" t="n"/>
      <c r="AN19" s="382" t="n"/>
      <c r="AO19" s="382" t="n"/>
      <c r="AP19" s="382" t="n"/>
      <c r="AQ19" s="382" t="n"/>
      <c r="AR19" s="382" t="n"/>
      <c r="AS19" s="382" t="n"/>
    </row>
    <row r="20">
      <c r="A20" s="33">
        <f>FS_Q!A20</f>
        <v/>
      </c>
      <c r="B20" s="143" t="n"/>
      <c r="C20" s="143" t="n"/>
      <c r="D20" s="143" t="n"/>
      <c r="E20" s="517">
        <f>SUMIF(FS_Q!$1:$1,FS_Y!E$1,FS_Q!20:20)</f>
        <v/>
      </c>
      <c r="F20" s="517">
        <f>SUMIF(FS_Q!$1:$1,FS_Y!F$1,FS_Q!20:20)</f>
        <v/>
      </c>
      <c r="G20" s="517">
        <f>SUMIF(FS_Q!$1:$1,FS_Y!G$1,FS_Q!20:20)</f>
        <v/>
      </c>
      <c r="H20" s="517">
        <f>SUMIF(FS_Q!$1:$1,FS_Y!H$1,FS_Q!20:20)</f>
        <v/>
      </c>
      <c r="I20" s="517">
        <f>SUMIF(FS_Q!$1:$1,FS_Y!I$1,FS_Q!20:20)</f>
        <v/>
      </c>
      <c r="J20" s="517">
        <f>SUMIF(FS_Q!$1:$1,FS_Y!J$1,FS_Q!20:20)</f>
        <v/>
      </c>
      <c r="K20" s="517">
        <f>SUMIF(FS_Q!$1:$1,FS_Y!K$1,FS_Q!20:20)</f>
        <v/>
      </c>
      <c r="L20" s="517">
        <f>SUMIF(FS_Q!$1:$1,FS_Y!L$1,FS_Q!20:20)</f>
        <v/>
      </c>
      <c r="M20" s="517">
        <f>SUMIF(FS_Q!$1:$1,FS_Y!M$1,FS_Q!20:20)</f>
        <v/>
      </c>
      <c r="N20" s="517">
        <f>SUMIF(FS_Q!$1:$1,FS_Y!N$1,FS_Q!20:20)</f>
        <v/>
      </c>
      <c r="O20" s="517">
        <f>SUMIF(FS_Q!$1:$1,FS_Y!O$1,FS_Q!20:20)</f>
        <v/>
      </c>
      <c r="P20" s="517">
        <f>SUMIF(FS_Q!$1:$1,FS_Y!P$1,FS_Q!20:20)</f>
        <v/>
      </c>
      <c r="Q20" s="517">
        <f>SUMIF(FS_Q!$1:$1,FS_Y!Q$1,FS_Q!20:20)</f>
        <v/>
      </c>
      <c r="R20" s="517">
        <f>SUMIF(FS_Q!$1:$1,FS_Y!R$1,FS_Q!20:20)</f>
        <v/>
      </c>
      <c r="S20" s="517">
        <f>SUMIF(FS_Q!$1:$1,FS_Y!S$1,FS_Q!20:20)</f>
        <v/>
      </c>
      <c r="T20" s="517">
        <f>SUMIF(FS_Q!$1:$1,FS_Y!T$1,FS_Q!20:20)</f>
        <v/>
      </c>
      <c r="U20" s="517">
        <f>SUMIF(FS_Q!$1:$1,FS_Y!U$1,FS_Q!20:20)</f>
        <v/>
      </c>
      <c r="V20" s="517">
        <f>SUMIF(FS_Q!$1:$1,FS_Y!V$1,FS_Q!20:20)</f>
        <v/>
      </c>
      <c r="W20" s="517">
        <f>SUMIF(FS_Q!$1:$1,FS_Y!W$1,FS_Q!20:20)</f>
        <v/>
      </c>
      <c r="X20" s="131" t="n"/>
      <c r="Y20" s="131" t="n"/>
      <c r="Z20" s="131" t="n"/>
      <c r="AA20" s="131" t="n"/>
      <c r="AB20" s="131" t="n"/>
      <c r="AC20" s="131" t="n"/>
      <c r="AD20" s="131" t="n"/>
      <c r="AE20" s="131" t="n"/>
      <c r="AF20" s="131" t="n"/>
      <c r="AG20" s="131" t="n"/>
      <c r="AH20" s="131" t="n"/>
      <c r="AI20" s="131" t="n"/>
      <c r="AJ20" s="131" t="n"/>
      <c r="AK20" s="131" t="n"/>
      <c r="AL20" s="131" t="n"/>
      <c r="AM20" s="131" t="n"/>
      <c r="AN20" s="131" t="n"/>
      <c r="AO20" s="131" t="n"/>
      <c r="AP20" s="131" t="n"/>
      <c r="AQ20" s="131" t="n"/>
      <c r="AR20" s="131" t="n"/>
      <c r="AS20" s="131" t="n"/>
    </row>
    <row r="21">
      <c r="A21" s="33">
        <f>FS_Q!A21</f>
        <v/>
      </c>
      <c r="B21" s="143" t="n"/>
      <c r="C21" s="143" t="n"/>
      <c r="D21" s="143" t="n"/>
      <c r="E21" s="517">
        <f>SUMIF(FS_Q!$1:$1,FS_Y!E$1,FS_Q!21:21)</f>
        <v/>
      </c>
      <c r="F21" s="517">
        <f>SUMIF(FS_Q!$1:$1,FS_Y!F$1,FS_Q!21:21)</f>
        <v/>
      </c>
      <c r="G21" s="517">
        <f>SUMIF(FS_Q!$1:$1,FS_Y!G$1,FS_Q!21:21)</f>
        <v/>
      </c>
      <c r="H21" s="517">
        <f>SUMIF(FS_Q!$1:$1,FS_Y!H$1,FS_Q!21:21)</f>
        <v/>
      </c>
      <c r="I21" s="517">
        <f>SUMIF(FS_Q!$1:$1,FS_Y!I$1,FS_Q!21:21)</f>
        <v/>
      </c>
      <c r="J21" s="517">
        <f>SUMIF(FS_Q!$1:$1,FS_Y!J$1,FS_Q!21:21)</f>
        <v/>
      </c>
      <c r="K21" s="517">
        <f>SUMIF(FS_Q!$1:$1,FS_Y!K$1,FS_Q!21:21)</f>
        <v/>
      </c>
      <c r="L21" s="517">
        <f>SUMIF(FS_Q!$1:$1,FS_Y!L$1,FS_Q!21:21)</f>
        <v/>
      </c>
      <c r="M21" s="517">
        <f>SUMIF(FS_Q!$1:$1,FS_Y!M$1,FS_Q!21:21)</f>
        <v/>
      </c>
      <c r="N21" s="517">
        <f>SUMIF(FS_Q!$1:$1,FS_Y!N$1,FS_Q!21:21)</f>
        <v/>
      </c>
      <c r="O21" s="517">
        <f>SUMIF(FS_Q!$1:$1,FS_Y!O$1,FS_Q!21:21)</f>
        <v/>
      </c>
      <c r="P21" s="517">
        <f>SUMIF(FS_Q!$1:$1,FS_Y!P$1,FS_Q!21:21)</f>
        <v/>
      </c>
      <c r="Q21" s="517">
        <f>SUMIF(FS_Q!$1:$1,FS_Y!Q$1,FS_Q!21:21)</f>
        <v/>
      </c>
      <c r="R21" s="517">
        <f>SUMIF(FS_Q!$1:$1,FS_Y!R$1,FS_Q!21:21)</f>
        <v/>
      </c>
      <c r="S21" s="517">
        <f>SUMIF(FS_Q!$1:$1,FS_Y!S$1,FS_Q!21:21)</f>
        <v/>
      </c>
      <c r="T21" s="517">
        <f>SUMIF(FS_Q!$1:$1,FS_Y!T$1,FS_Q!21:21)</f>
        <v/>
      </c>
      <c r="U21" s="517">
        <f>SUMIF(FS_Q!$1:$1,FS_Y!U$1,FS_Q!21:21)</f>
        <v/>
      </c>
      <c r="V21" s="517">
        <f>SUMIF(FS_Q!$1:$1,FS_Y!V$1,FS_Q!21:21)</f>
        <v/>
      </c>
      <c r="W21" s="517">
        <f>SUMIF(FS_Q!$1:$1,FS_Y!W$1,FS_Q!21:21)</f>
        <v/>
      </c>
      <c r="X21" s="131" t="n"/>
      <c r="Y21" s="131" t="n"/>
      <c r="Z21" s="131" t="n"/>
      <c r="AA21" s="131" t="n"/>
      <c r="AB21" s="131" t="n"/>
      <c r="AC21" s="131" t="n"/>
      <c r="AD21" s="131" t="n"/>
      <c r="AE21" s="131" t="n"/>
      <c r="AF21" s="131" t="n"/>
      <c r="AG21" s="131" t="n"/>
      <c r="AH21" s="131" t="n"/>
      <c r="AI21" s="131" t="n"/>
      <c r="AJ21" s="131" t="n"/>
      <c r="AK21" s="131" t="n"/>
      <c r="AL21" s="131" t="n"/>
      <c r="AM21" s="131" t="n"/>
      <c r="AN21" s="131" t="n"/>
      <c r="AO21" s="131" t="n"/>
      <c r="AP21" s="131" t="n"/>
      <c r="AQ21" s="131" t="n"/>
      <c r="AR21" s="131" t="n"/>
      <c r="AS21" s="131" t="n"/>
    </row>
    <row r="22">
      <c r="A22" s="74">
        <f>FS_Q!A22</f>
        <v/>
      </c>
      <c r="B22" s="143" t="n"/>
      <c r="C22" s="143" t="n"/>
      <c r="D22" s="143" t="n"/>
      <c r="E22" s="517">
        <f>SUMIF(FS_Q!$1:$1,FS_Y!E$1,FS_Q!22:22)</f>
        <v/>
      </c>
      <c r="F22" s="517">
        <f>SUMIF(FS_Q!$1:$1,FS_Y!F$1,FS_Q!22:22)</f>
        <v/>
      </c>
      <c r="G22" s="517">
        <f>SUMIF(FS_Q!$1:$1,FS_Y!G$1,FS_Q!22:22)</f>
        <v/>
      </c>
      <c r="H22" s="517">
        <f>SUMIF(FS_Q!$1:$1,FS_Y!H$1,FS_Q!22:22)</f>
        <v/>
      </c>
      <c r="I22" s="517">
        <f>SUMIF(FS_Q!$1:$1,FS_Y!I$1,FS_Q!22:22)</f>
        <v/>
      </c>
      <c r="J22" s="517">
        <f>SUMIF(FS_Q!$1:$1,FS_Y!J$1,FS_Q!22:22)</f>
        <v/>
      </c>
      <c r="K22" s="517">
        <f>SUMIF(FS_Q!$1:$1,FS_Y!K$1,FS_Q!22:22)</f>
        <v/>
      </c>
      <c r="L22" s="517">
        <f>SUMIF(FS_Q!$1:$1,FS_Y!L$1,FS_Q!22:22)</f>
        <v/>
      </c>
      <c r="M22" s="517">
        <f>SUMIF(FS_Q!$1:$1,FS_Y!M$1,FS_Q!22:22)</f>
        <v/>
      </c>
      <c r="N22" s="517">
        <f>SUMIF(FS_Q!$1:$1,FS_Y!N$1,FS_Q!22:22)</f>
        <v/>
      </c>
      <c r="O22" s="517">
        <f>SUMIF(FS_Q!$1:$1,FS_Y!O$1,FS_Q!22:22)</f>
        <v/>
      </c>
      <c r="P22" s="517">
        <f>SUMIF(FS_Q!$1:$1,FS_Y!P$1,FS_Q!22:22)</f>
        <v/>
      </c>
      <c r="Q22" s="517">
        <f>SUMIF(FS_Q!$1:$1,FS_Y!Q$1,FS_Q!22:22)</f>
        <v/>
      </c>
      <c r="R22" s="517">
        <f>SUMIF(FS_Q!$1:$1,FS_Y!R$1,FS_Q!22:22)</f>
        <v/>
      </c>
      <c r="S22" s="517">
        <f>SUMIF(FS_Q!$1:$1,FS_Y!S$1,FS_Q!22:22)</f>
        <v/>
      </c>
      <c r="T22" s="517">
        <f>SUMIF(FS_Q!$1:$1,FS_Y!T$1,FS_Q!22:22)</f>
        <v/>
      </c>
      <c r="U22" s="517">
        <f>SUMIF(FS_Q!$1:$1,FS_Y!U$1,FS_Q!22:22)</f>
        <v/>
      </c>
      <c r="V22" s="517">
        <f>SUMIF(FS_Q!$1:$1,FS_Y!V$1,FS_Q!22:22)</f>
        <v/>
      </c>
      <c r="W22" s="517">
        <f>SUMIF(FS_Q!$1:$1,FS_Y!W$1,FS_Q!22:22)</f>
        <v/>
      </c>
      <c r="X22" s="131" t="n"/>
      <c r="Y22" s="131" t="n"/>
      <c r="Z22" s="131" t="n"/>
      <c r="AA22" s="131" t="n"/>
      <c r="AB22" s="131" t="n"/>
      <c r="AC22" s="131" t="n"/>
      <c r="AD22" s="131" t="n"/>
      <c r="AE22" s="131" t="n"/>
      <c r="AF22" s="131" t="n"/>
      <c r="AG22" s="131" t="n"/>
      <c r="AH22" s="131" t="n"/>
      <c r="AI22" s="131" t="n"/>
      <c r="AJ22" s="131" t="n"/>
      <c r="AK22" s="131" t="n"/>
      <c r="AL22" s="131" t="n"/>
      <c r="AM22" s="131" t="n"/>
      <c r="AN22" s="131" t="n"/>
      <c r="AO22" s="131" t="n"/>
      <c r="AP22" s="131" t="n"/>
      <c r="AQ22" s="131" t="n"/>
      <c r="AR22" s="131" t="n"/>
      <c r="AS22" s="131" t="n"/>
    </row>
    <row r="23">
      <c r="A23" s="40">
        <f>FS_Q!A23</f>
        <v/>
      </c>
      <c r="B23" s="143" t="n"/>
      <c r="C23" s="143" t="n"/>
      <c r="D23" s="143" t="n"/>
      <c r="E23" s="519">
        <f>SUMIF(FS_Q!$1:$1,FS_Y!E$1,FS_Q!23:23)</f>
        <v/>
      </c>
      <c r="F23" s="519">
        <f>SUMIF(FS_Q!$1:$1,FS_Y!F$1,FS_Q!23:23)</f>
        <v/>
      </c>
      <c r="G23" s="519">
        <f>SUMIF(FS_Q!$1:$1,FS_Y!G$1,FS_Q!23:23)</f>
        <v/>
      </c>
      <c r="H23" s="519">
        <f>SUMIF(FS_Q!$1:$1,FS_Y!H$1,FS_Q!23:23)</f>
        <v/>
      </c>
      <c r="I23" s="519">
        <f>SUMIF(FS_Q!$1:$1,FS_Y!I$1,FS_Q!23:23)</f>
        <v/>
      </c>
      <c r="J23" s="519">
        <f>SUMIF(FS_Q!$1:$1,FS_Y!J$1,FS_Q!23:23)</f>
        <v/>
      </c>
      <c r="K23" s="519">
        <f>SUMIF(FS_Q!$1:$1,FS_Y!K$1,FS_Q!23:23)</f>
        <v/>
      </c>
      <c r="L23" s="519">
        <f>SUMIF(FS_Q!$1:$1,FS_Y!L$1,FS_Q!23:23)</f>
        <v/>
      </c>
      <c r="M23" s="519">
        <f>SUMIF(FS_Q!$1:$1,FS_Y!M$1,FS_Q!23:23)</f>
        <v/>
      </c>
      <c r="N23" s="519">
        <f>SUMIF(FS_Q!$1:$1,FS_Y!N$1,FS_Q!23:23)</f>
        <v/>
      </c>
      <c r="O23" s="519">
        <f>SUMIF(FS_Q!$1:$1,FS_Y!O$1,FS_Q!23:23)</f>
        <v/>
      </c>
      <c r="P23" s="519">
        <f>SUMIF(FS_Q!$1:$1,FS_Y!P$1,FS_Q!23:23)</f>
        <v/>
      </c>
      <c r="Q23" s="519">
        <f>SUMIF(FS_Q!$1:$1,FS_Y!Q$1,FS_Q!23:23)</f>
        <v/>
      </c>
      <c r="R23" s="519">
        <f>SUMIF(FS_Q!$1:$1,FS_Y!R$1,FS_Q!23:23)</f>
        <v/>
      </c>
      <c r="S23" s="519">
        <f>SUMIF(FS_Q!$1:$1,FS_Y!S$1,FS_Q!23:23)</f>
        <v/>
      </c>
      <c r="T23" s="519">
        <f>SUMIF(FS_Q!$1:$1,FS_Y!T$1,FS_Q!23:23)</f>
        <v/>
      </c>
      <c r="U23" s="519">
        <f>SUMIF(FS_Q!$1:$1,FS_Y!U$1,FS_Q!23:23)</f>
        <v/>
      </c>
      <c r="V23" s="519">
        <f>SUMIF(FS_Q!$1:$1,FS_Y!V$1,FS_Q!23:23)</f>
        <v/>
      </c>
      <c r="W23" s="519">
        <f>SUMIF(FS_Q!$1:$1,FS_Y!W$1,FS_Q!23:23)</f>
        <v/>
      </c>
      <c r="X23" s="131" t="n"/>
      <c r="Y23" s="131" t="n"/>
      <c r="Z23" s="131" t="n"/>
      <c r="AA23" s="131" t="n"/>
      <c r="AB23" s="131" t="n"/>
      <c r="AC23" s="131" t="n"/>
      <c r="AD23" s="131" t="n"/>
      <c r="AE23" s="131" t="n"/>
      <c r="AF23" s="131" t="n"/>
      <c r="AG23" s="131" t="n"/>
      <c r="AH23" s="131" t="n"/>
      <c r="AI23" s="131" t="n"/>
      <c r="AJ23" s="131" t="n"/>
      <c r="AK23" s="131" t="n"/>
      <c r="AL23" s="131" t="n"/>
      <c r="AM23" s="131" t="n"/>
      <c r="AN23" s="131" t="n"/>
      <c r="AO23" s="131" t="n"/>
      <c r="AP23" s="131" t="n"/>
      <c r="AQ23" s="131" t="n"/>
      <c r="AR23" s="131" t="n"/>
      <c r="AS23" s="131" t="n"/>
    </row>
    <row r="24">
      <c r="A24" s="74">
        <f>FS_Q!A24</f>
        <v/>
      </c>
      <c r="B24" s="143" t="n"/>
      <c r="C24" s="143" t="n"/>
      <c r="D24" s="898" t="n"/>
      <c r="E24" s="517">
        <f>SUMIF(FS_Q!$1:$1,FS_Y!E$1,FS_Q!24:24)</f>
        <v/>
      </c>
      <c r="F24" s="517">
        <f>SUMIF(FS_Q!$1:$1,FS_Y!F$1,FS_Q!24:24)</f>
        <v/>
      </c>
      <c r="G24" s="517">
        <f>SUMIF(FS_Q!$1:$1,FS_Y!G$1,FS_Q!24:24)</f>
        <v/>
      </c>
      <c r="H24" s="517">
        <f>SUMIF(FS_Q!$1:$1,FS_Y!H$1,FS_Q!24:24)</f>
        <v/>
      </c>
      <c r="I24" s="517">
        <f>SUMIF(FS_Q!$1:$1,FS_Y!I$1,FS_Q!24:24)</f>
        <v/>
      </c>
      <c r="J24" s="517">
        <f>SUMIF(FS_Q!$1:$1,FS_Y!J$1,FS_Q!24:24)</f>
        <v/>
      </c>
      <c r="K24" s="517">
        <f>SUMIF(FS_Q!$1:$1,FS_Y!K$1,FS_Q!24:24)</f>
        <v/>
      </c>
      <c r="L24" s="517">
        <f>SUMIF(FS_Q!$1:$1,FS_Y!L$1,FS_Q!24:24)</f>
        <v/>
      </c>
      <c r="M24" s="517">
        <f>SUMIF(FS_Q!$1:$1,FS_Y!M$1,FS_Q!24:24)</f>
        <v/>
      </c>
      <c r="N24" s="517">
        <f>SUMIF(FS_Q!$1:$1,FS_Y!N$1,FS_Q!24:24)</f>
        <v/>
      </c>
      <c r="O24" s="517">
        <f>SUMIF(FS_Q!$1:$1,FS_Y!O$1,FS_Q!24:24)</f>
        <v/>
      </c>
      <c r="P24" s="517">
        <f>SUMIF(FS_Q!$1:$1,FS_Y!P$1,FS_Q!24:24)</f>
        <v/>
      </c>
      <c r="Q24" s="517">
        <f>SUMIF(FS_Q!$1:$1,FS_Y!Q$1,FS_Q!24:24)</f>
        <v/>
      </c>
      <c r="R24" s="517">
        <f>SUMIF(FS_Q!$1:$1,FS_Y!R$1,FS_Q!24:24)</f>
        <v/>
      </c>
      <c r="S24" s="517">
        <f>SUMIF(FS_Q!$1:$1,FS_Y!S$1,FS_Q!24:24)</f>
        <v/>
      </c>
      <c r="T24" s="517">
        <f>SUMIF(FS_Q!$1:$1,FS_Y!T$1,FS_Q!24:24)</f>
        <v/>
      </c>
      <c r="U24" s="517">
        <f>SUMIF(FS_Q!$1:$1,FS_Y!U$1,FS_Q!24:24)</f>
        <v/>
      </c>
      <c r="V24" s="517">
        <f>SUMIF(FS_Q!$1:$1,FS_Y!V$1,FS_Q!24:24)</f>
        <v/>
      </c>
      <c r="W24" s="517">
        <f>SUMIF(FS_Q!$1:$1,FS_Y!W$1,FS_Q!24:24)</f>
        <v/>
      </c>
      <c r="X24" s="148" t="n"/>
      <c r="Y24" s="148" t="n"/>
      <c r="Z24" s="148" t="n"/>
      <c r="AA24" s="148" t="n"/>
      <c r="AB24" s="148" t="n"/>
      <c r="AC24" s="148" t="n"/>
      <c r="AD24" s="148" t="n"/>
      <c r="AE24" s="148" t="n"/>
      <c r="AF24" s="148" t="n"/>
      <c r="AG24" s="148" t="n"/>
      <c r="AH24" s="148" t="n"/>
      <c r="AI24" s="148" t="n"/>
      <c r="AJ24" s="148" t="n"/>
      <c r="AK24" s="148" t="n"/>
      <c r="AL24" s="148" t="n"/>
      <c r="AM24" s="148" t="n"/>
      <c r="AN24" s="148" t="n"/>
      <c r="AO24" s="148" t="n"/>
      <c r="AP24" s="148" t="n"/>
      <c r="AQ24" s="148" t="n"/>
      <c r="AR24" s="148" t="n"/>
      <c r="AS24" s="148" t="n"/>
    </row>
    <row r="25">
      <c r="A25" s="40">
        <f>FS_Q!A25</f>
        <v/>
      </c>
      <c r="B25" s="143" t="n"/>
      <c r="C25" s="143" t="n"/>
      <c r="D25" s="143" t="n"/>
      <c r="E25" s="519">
        <f>SUMIF(FS_Q!$1:$1,FS_Y!E$1,FS_Q!25:25)</f>
        <v/>
      </c>
      <c r="F25" s="519">
        <f>SUMIF(FS_Q!$1:$1,FS_Y!F$1,FS_Q!25:25)</f>
        <v/>
      </c>
      <c r="G25" s="519">
        <f>SUMIF(FS_Q!$1:$1,FS_Y!G$1,FS_Q!25:25)</f>
        <v/>
      </c>
      <c r="H25" s="519">
        <f>SUMIF(FS_Q!$1:$1,FS_Y!H$1,FS_Q!25:25)</f>
        <v/>
      </c>
      <c r="I25" s="519">
        <f>SUMIF(FS_Q!$1:$1,FS_Y!I$1,FS_Q!25:25)</f>
        <v/>
      </c>
      <c r="J25" s="519">
        <f>SUMIF(FS_Q!$1:$1,FS_Y!J$1,FS_Q!25:25)</f>
        <v/>
      </c>
      <c r="K25" s="519">
        <f>SUMIF(FS_Q!$1:$1,FS_Y!K$1,FS_Q!25:25)</f>
        <v/>
      </c>
      <c r="L25" s="519">
        <f>SUMIF(FS_Q!$1:$1,FS_Y!L$1,FS_Q!25:25)</f>
        <v/>
      </c>
      <c r="M25" s="519">
        <f>SUMIF(FS_Q!$1:$1,FS_Y!M$1,FS_Q!25:25)</f>
        <v/>
      </c>
      <c r="N25" s="519">
        <f>SUMIF(FS_Q!$1:$1,FS_Y!N$1,FS_Q!25:25)</f>
        <v/>
      </c>
      <c r="O25" s="519">
        <f>SUMIF(FS_Q!$1:$1,FS_Y!O$1,FS_Q!25:25)</f>
        <v/>
      </c>
      <c r="P25" s="519">
        <f>SUMIF(FS_Q!$1:$1,FS_Y!P$1,FS_Q!25:25)</f>
        <v/>
      </c>
      <c r="Q25" s="519">
        <f>SUMIF(FS_Q!$1:$1,FS_Y!Q$1,FS_Q!25:25)</f>
        <v/>
      </c>
      <c r="R25" s="519">
        <f>SUMIF(FS_Q!$1:$1,FS_Y!R$1,FS_Q!25:25)</f>
        <v/>
      </c>
      <c r="S25" s="519">
        <f>SUMIF(FS_Q!$1:$1,FS_Y!S$1,FS_Q!25:25)</f>
        <v/>
      </c>
      <c r="T25" s="519">
        <f>SUMIF(FS_Q!$1:$1,FS_Y!T$1,FS_Q!25:25)</f>
        <v/>
      </c>
      <c r="U25" s="519">
        <f>SUMIF(FS_Q!$1:$1,FS_Y!U$1,FS_Q!25:25)</f>
        <v/>
      </c>
      <c r="V25" s="519">
        <f>SUMIF(FS_Q!$1:$1,FS_Y!V$1,FS_Q!25:25)</f>
        <v/>
      </c>
      <c r="W25" s="519">
        <f>SUMIF(FS_Q!$1:$1,FS_Y!W$1,FS_Q!25:25)</f>
        <v/>
      </c>
      <c r="X25" s="148" t="n"/>
      <c r="Y25" s="148" t="n"/>
      <c r="Z25" s="148" t="n"/>
      <c r="AA25" s="148" t="n"/>
      <c r="AB25" s="148" t="n"/>
      <c r="AC25" s="148" t="n"/>
      <c r="AD25" s="148" t="n"/>
      <c r="AE25" s="148" t="n"/>
      <c r="AF25" s="148" t="n"/>
      <c r="AG25" s="148" t="n"/>
      <c r="AH25" s="148" t="n"/>
      <c r="AI25" s="148" t="n"/>
      <c r="AJ25" s="148" t="n"/>
      <c r="AK25" s="148" t="n"/>
      <c r="AL25" s="148" t="n"/>
      <c r="AM25" s="148" t="n"/>
      <c r="AN25" s="148" t="n"/>
      <c r="AO25" s="148" t="n"/>
      <c r="AP25" s="148" t="n"/>
      <c r="AQ25" s="148" t="n"/>
      <c r="AR25" s="148" t="n"/>
      <c r="AS25" s="148" t="n"/>
    </row>
    <row r="26">
      <c r="A26" s="74">
        <f>FS_Q!A26</f>
        <v/>
      </c>
      <c r="B26" s="147" t="n"/>
      <c r="C26" s="147" t="n"/>
      <c r="D26" s="147" t="n"/>
      <c r="E26" s="517">
        <f>SUMIF(FS_Q!$1:$1,FS_Y!E$1,FS_Q!26:26)</f>
        <v/>
      </c>
      <c r="F26" s="517">
        <f>SUMIF(FS_Q!$1:$1,FS_Y!F$1,FS_Q!26:26)</f>
        <v/>
      </c>
      <c r="G26" s="517">
        <f>SUMIF(FS_Q!$1:$1,FS_Y!G$1,FS_Q!26:26)</f>
        <v/>
      </c>
      <c r="H26" s="517">
        <f>SUMIF(FS_Q!$1:$1,FS_Y!H$1,FS_Q!26:26)</f>
        <v/>
      </c>
      <c r="I26" s="517">
        <f>SUMIF(FS_Q!$1:$1,FS_Y!I$1,FS_Q!26:26)</f>
        <v/>
      </c>
      <c r="J26" s="517">
        <f>SUMIF(FS_Q!$1:$1,FS_Y!J$1,FS_Q!26:26)</f>
        <v/>
      </c>
      <c r="K26" s="517">
        <f>SUMIF(FS_Q!$1:$1,FS_Y!K$1,FS_Q!26:26)</f>
        <v/>
      </c>
      <c r="L26" s="517">
        <f>SUMIF(FS_Q!$1:$1,FS_Y!L$1,FS_Q!26:26)</f>
        <v/>
      </c>
      <c r="M26" s="517">
        <f>SUMIF(FS_Q!$1:$1,FS_Y!M$1,FS_Q!26:26)</f>
        <v/>
      </c>
      <c r="N26" s="517">
        <f>SUMIF(FS_Q!$1:$1,FS_Y!N$1,FS_Q!26:26)</f>
        <v/>
      </c>
      <c r="O26" s="517">
        <f>SUMIF(FS_Q!$1:$1,FS_Y!O$1,FS_Q!26:26)</f>
        <v/>
      </c>
      <c r="P26" s="517">
        <f>SUMIF(FS_Q!$1:$1,FS_Y!P$1,FS_Q!26:26)</f>
        <v/>
      </c>
      <c r="Q26" s="517">
        <f>SUMIF(FS_Q!$1:$1,FS_Y!Q$1,FS_Q!26:26)</f>
        <v/>
      </c>
      <c r="R26" s="517">
        <f>SUMIF(FS_Q!$1:$1,FS_Y!R$1,FS_Q!26:26)</f>
        <v/>
      </c>
      <c r="S26" s="517">
        <f>SUMIF(FS_Q!$1:$1,FS_Y!S$1,FS_Q!26:26)</f>
        <v/>
      </c>
      <c r="T26" s="517">
        <f>SUMIF(FS_Q!$1:$1,FS_Y!T$1,FS_Q!26:26)</f>
        <v/>
      </c>
      <c r="U26" s="517">
        <f>SUMIF(FS_Q!$1:$1,FS_Y!U$1,FS_Q!26:26)</f>
        <v/>
      </c>
      <c r="V26" s="517">
        <f>SUMIF(FS_Q!$1:$1,FS_Y!V$1,FS_Q!26:26)</f>
        <v/>
      </c>
      <c r="W26" s="517">
        <f>SUMIF(FS_Q!$1:$1,FS_Y!W$1,FS_Q!26:26)</f>
        <v/>
      </c>
      <c r="X26" s="148" t="n"/>
      <c r="Y26" s="148" t="n"/>
      <c r="Z26" s="148" t="n"/>
      <c r="AA26" s="148" t="n"/>
      <c r="AB26" s="148" t="n"/>
      <c r="AC26" s="148" t="n"/>
      <c r="AD26" s="148" t="n"/>
      <c r="AE26" s="148" t="n"/>
      <c r="AF26" s="148" t="n"/>
      <c r="AG26" s="148" t="n"/>
      <c r="AH26" s="148" t="n"/>
      <c r="AI26" s="148" t="n"/>
      <c r="AJ26" s="148" t="n"/>
      <c r="AK26" s="148" t="n"/>
      <c r="AL26" s="148" t="n"/>
      <c r="AM26" s="148" t="n"/>
      <c r="AN26" s="148" t="n"/>
      <c r="AO26" s="148" t="n"/>
      <c r="AP26" s="148" t="n"/>
      <c r="AQ26" s="148" t="n"/>
      <c r="AR26" s="148" t="n"/>
      <c r="AS26" s="148" t="n"/>
    </row>
    <row r="27" customFormat="1" s="281">
      <c r="A27" s="22">
        <f>FS_Q!A27</f>
        <v/>
      </c>
      <c r="B27" s="382" t="n"/>
      <c r="C27" s="382" t="n"/>
      <c r="D27" s="382" t="n"/>
      <c r="E27" s="519">
        <f>SUMIF(FS_Q!$1:$1,FS_Y!E$1,FS_Q!27:27)</f>
        <v/>
      </c>
      <c r="F27" s="519">
        <f>SUMIF(FS_Q!$1:$1,FS_Y!F$1,FS_Q!27:27)</f>
        <v/>
      </c>
      <c r="G27" s="519">
        <f>SUMIF(FS_Q!$1:$1,FS_Y!G$1,FS_Q!27:27)</f>
        <v/>
      </c>
      <c r="H27" s="519">
        <f>SUMIF(FS_Q!$1:$1,FS_Y!H$1,FS_Q!27:27)</f>
        <v/>
      </c>
      <c r="I27" s="519">
        <f>SUMIF(FS_Q!$1:$1,FS_Y!I$1,FS_Q!27:27)</f>
        <v/>
      </c>
      <c r="J27" s="519">
        <f>SUMIF(FS_Q!$1:$1,FS_Y!J$1,FS_Q!27:27)</f>
        <v/>
      </c>
      <c r="K27" s="519">
        <f>SUMIF(FS_Q!$1:$1,FS_Y!K$1,FS_Q!27:27)</f>
        <v/>
      </c>
      <c r="L27" s="519">
        <f>SUMIF(FS_Q!$1:$1,FS_Y!L$1,FS_Q!27:27)</f>
        <v/>
      </c>
      <c r="M27" s="519">
        <f>SUMIF(FS_Q!$1:$1,FS_Y!M$1,FS_Q!27:27)</f>
        <v/>
      </c>
      <c r="N27" s="519">
        <f>SUMIF(FS_Q!$1:$1,FS_Y!N$1,FS_Q!27:27)</f>
        <v/>
      </c>
      <c r="O27" s="519">
        <f>SUMIF(FS_Q!$1:$1,FS_Y!O$1,FS_Q!27:27)</f>
        <v/>
      </c>
      <c r="P27" s="519">
        <f>SUMIF(FS_Q!$1:$1,FS_Y!P$1,FS_Q!27:27)</f>
        <v/>
      </c>
      <c r="Q27" s="519">
        <f>SUMIF(FS_Q!$1:$1,FS_Y!Q$1,FS_Q!27:27)</f>
        <v/>
      </c>
      <c r="R27" s="519">
        <f>SUMIF(FS_Q!$1:$1,FS_Y!R$1,FS_Q!27:27)</f>
        <v/>
      </c>
      <c r="S27" s="519">
        <f>SUMIF(FS_Q!$1:$1,FS_Y!S$1,FS_Q!27:27)</f>
        <v/>
      </c>
      <c r="T27" s="519">
        <f>SUMIF(FS_Q!$1:$1,FS_Y!T$1,FS_Q!27:27)</f>
        <v/>
      </c>
      <c r="U27" s="519">
        <f>SUMIF(FS_Q!$1:$1,FS_Y!U$1,FS_Q!27:27)</f>
        <v/>
      </c>
      <c r="V27" s="519">
        <f>SUMIF(FS_Q!$1:$1,FS_Y!V$1,FS_Q!27:27)</f>
        <v/>
      </c>
      <c r="W27" s="519">
        <f>SUMIF(FS_Q!$1:$1,FS_Y!W$1,FS_Q!27:27)</f>
        <v/>
      </c>
      <c r="X27" s="382" t="n"/>
      <c r="Y27" s="382" t="n"/>
      <c r="Z27" s="382" t="n"/>
      <c r="AA27" s="382" t="n"/>
      <c r="AB27" s="382" t="n"/>
      <c r="AC27" s="382" t="n"/>
      <c r="AD27" s="382" t="n"/>
      <c r="AE27" s="382" t="n"/>
      <c r="AF27" s="382" t="n"/>
      <c r="AG27" s="382" t="n"/>
      <c r="AH27" s="382" t="n"/>
      <c r="AI27" s="382" t="n"/>
      <c r="AJ27" s="382" t="n"/>
      <c r="AK27" s="382" t="n"/>
      <c r="AL27" s="382" t="n"/>
      <c r="AM27" s="382" t="n"/>
      <c r="AN27" s="382" t="n"/>
      <c r="AO27" s="382" t="n"/>
      <c r="AP27" s="382" t="n"/>
      <c r="AQ27" s="382" t="n"/>
      <c r="AR27" s="382" t="n"/>
      <c r="AS27" s="382" t="n"/>
    </row>
    <row r="28">
      <c r="A28" s="22">
        <f>FS_Q!A28</f>
        <v/>
      </c>
      <c r="B28" s="143" t="n"/>
      <c r="C28" s="143" t="n"/>
      <c r="D28" s="143" t="n"/>
      <c r="X28" s="131" t="n"/>
      <c r="Y28" s="131" t="n"/>
      <c r="Z28" s="131" t="n"/>
      <c r="AA28" s="131" t="n"/>
      <c r="AB28" s="131" t="n"/>
      <c r="AC28" s="131" t="n"/>
      <c r="AD28" s="131" t="n"/>
      <c r="AE28" s="131" t="n"/>
      <c r="AF28" s="131" t="n"/>
      <c r="AG28" s="131" t="n"/>
      <c r="AH28" s="131" t="n"/>
      <c r="AI28" s="131" t="n"/>
      <c r="AJ28" s="131" t="n"/>
      <c r="AK28" s="131" t="n"/>
      <c r="AL28" s="131" t="n"/>
      <c r="AM28" s="131" t="n"/>
      <c r="AN28" s="131" t="n"/>
      <c r="AO28" s="131" t="n"/>
      <c r="AP28" s="131" t="n"/>
      <c r="AQ28" s="131" t="n"/>
      <c r="AR28" s="131" t="n"/>
      <c r="AS28" s="131" t="n"/>
    </row>
    <row r="29">
      <c r="A29" s="74">
        <f>FS_Q!A29</f>
        <v/>
      </c>
      <c r="B29" s="147" t="n"/>
      <c r="C29" s="147" t="n"/>
      <c r="D29" s="147" t="n"/>
      <c r="E29" s="542">
        <f>SUMIF(FS_Q!$1:$1,FS_Y!E$1,FS_Q!29:29)</f>
        <v/>
      </c>
      <c r="F29" s="542">
        <f>SUMIF(FS_Q!$1:$1,FS_Y!F$1,FS_Q!29:29)</f>
        <v/>
      </c>
      <c r="G29" s="542">
        <f>SUMIF(FS_Q!$1:$1,FS_Y!G$1,FS_Q!29:29)</f>
        <v/>
      </c>
      <c r="H29" s="542">
        <f>SUMIF(FS_Q!$1:$1,FS_Y!H$1,FS_Q!29:29)</f>
        <v/>
      </c>
      <c r="I29" s="542">
        <f>SUMIF(FS_Q!$1:$1,FS_Y!I$1,FS_Q!29:29)</f>
        <v/>
      </c>
      <c r="J29" s="542">
        <f>SUMIF(FS_Q!$1:$1,FS_Y!J$1,FS_Q!29:29)</f>
        <v/>
      </c>
      <c r="K29" s="542">
        <f>SUMIF(FS_Q!$1:$1,FS_Y!K$1,FS_Q!29:29)</f>
        <v/>
      </c>
      <c r="L29" s="542">
        <f>SUMIF(FS_Q!$1:$1,FS_Y!L$1,FS_Q!29:29)</f>
        <v/>
      </c>
      <c r="M29" s="542">
        <f>SUMIF(FS_Q!$1:$1,FS_Y!M$1,FS_Q!29:29)</f>
        <v/>
      </c>
      <c r="N29" s="542">
        <f>SUMIF(FS_Q!$1:$1,FS_Y!N$1,FS_Q!29:29)</f>
        <v/>
      </c>
      <c r="O29" s="542">
        <f>SUMIF(FS_Q!$1:$1,FS_Y!O$1,FS_Q!29:29)</f>
        <v/>
      </c>
      <c r="P29" s="542">
        <f>SUMIF(FS_Q!$1:$1,FS_Y!P$1,FS_Q!29:29)</f>
        <v/>
      </c>
      <c r="Q29" s="542">
        <f>SUMIF(FS_Q!$1:$1,FS_Y!Q$1,FS_Q!29:29)</f>
        <v/>
      </c>
      <c r="R29" s="542">
        <f>SUMIF(FS_Q!$1:$1,FS_Y!R$1,FS_Q!29:29)</f>
        <v/>
      </c>
      <c r="S29" s="542">
        <f>SUMIF(FS_Q!$1:$1,FS_Y!S$1,FS_Q!29:29)</f>
        <v/>
      </c>
      <c r="T29" s="542">
        <f>SUMIF(FS_Q!$1:$1,FS_Y!T$1,FS_Q!29:29)</f>
        <v/>
      </c>
      <c r="U29" s="542">
        <f>SUMIF(FS_Q!$1:$1,FS_Y!U$1,FS_Q!29:29)</f>
        <v/>
      </c>
      <c r="V29" s="542">
        <f>SUMIF(FS_Q!$1:$1,FS_Y!V$1,FS_Q!29:29)</f>
        <v/>
      </c>
      <c r="W29" s="542">
        <f>SUMIF(FS_Q!$1:$1,FS_Y!W$1,FS_Q!29:29)</f>
        <v/>
      </c>
      <c r="X29" s="148" t="n"/>
      <c r="Y29" s="148" t="n"/>
      <c r="Z29" s="148" t="n"/>
      <c r="AA29" s="148" t="n"/>
      <c r="AB29" s="148" t="n"/>
      <c r="AC29" s="148" t="n"/>
      <c r="AD29" s="148" t="n"/>
      <c r="AE29" s="148" t="n"/>
      <c r="AF29" s="148" t="n"/>
      <c r="AG29" s="148" t="n"/>
      <c r="AH29" s="148" t="n"/>
      <c r="AI29" s="148" t="n"/>
      <c r="AJ29" s="148" t="n"/>
      <c r="AK29" s="148" t="n"/>
      <c r="AL29" s="148" t="n"/>
      <c r="AM29" s="148" t="n"/>
      <c r="AN29" s="148" t="n"/>
      <c r="AO29" s="148" t="n"/>
      <c r="AP29" s="148" t="n"/>
      <c r="AQ29" s="148" t="n"/>
      <c r="AR29" s="148" t="n"/>
      <c r="AS29" s="148" t="n"/>
    </row>
    <row r="30" customFormat="1" s="281">
      <c r="A30" s="74">
        <f>FS_Q!A30</f>
        <v/>
      </c>
      <c r="B30" s="382" t="n"/>
      <c r="C30" s="382" t="n"/>
      <c r="D30" s="382" t="n"/>
      <c r="E30" s="542">
        <f>SUMIF(FS_Q!$1:$1,FS_Y!E$1,FS_Q!30:30)</f>
        <v/>
      </c>
      <c r="F30" s="542">
        <f>SUMIF(FS_Q!$1:$1,FS_Y!F$1,FS_Q!30:30)</f>
        <v/>
      </c>
      <c r="G30" s="542">
        <f>SUMIF(FS_Q!$1:$1,FS_Y!G$1,FS_Q!30:30)</f>
        <v/>
      </c>
      <c r="H30" s="542">
        <f>SUMIF(FS_Q!$1:$1,FS_Y!H$1,FS_Q!30:30)</f>
        <v/>
      </c>
      <c r="I30" s="542">
        <f>SUMIF(FS_Q!$1:$1,FS_Y!I$1,FS_Q!30:30)</f>
        <v/>
      </c>
      <c r="J30" s="542">
        <f>SUMIF(FS_Q!$1:$1,FS_Y!J$1,FS_Q!30:30)</f>
        <v/>
      </c>
      <c r="K30" s="542">
        <f>SUMIF(FS_Q!$1:$1,FS_Y!K$1,FS_Q!30:30)</f>
        <v/>
      </c>
      <c r="L30" s="542">
        <f>SUMIF(FS_Q!$1:$1,FS_Y!L$1,FS_Q!30:30)</f>
        <v/>
      </c>
      <c r="M30" s="542">
        <f>SUMIF(FS_Q!$1:$1,FS_Y!M$1,FS_Q!30:30)</f>
        <v/>
      </c>
      <c r="N30" s="542">
        <f>SUMIF(FS_Q!$1:$1,FS_Y!N$1,FS_Q!30:30)</f>
        <v/>
      </c>
      <c r="O30" s="542">
        <f>SUMIF(FS_Q!$1:$1,FS_Y!O$1,FS_Q!30:30)</f>
        <v/>
      </c>
      <c r="P30" s="542">
        <f>SUMIF(FS_Q!$1:$1,FS_Y!P$1,FS_Q!30:30)</f>
        <v/>
      </c>
      <c r="Q30" s="542">
        <f>SUMIF(FS_Q!$1:$1,FS_Y!Q$1,FS_Q!30:30)</f>
        <v/>
      </c>
      <c r="R30" s="542">
        <f>SUMIF(FS_Q!$1:$1,FS_Y!R$1,FS_Q!30:30)</f>
        <v/>
      </c>
      <c r="S30" s="542">
        <f>SUMIF(FS_Q!$1:$1,FS_Y!S$1,FS_Q!30:30)</f>
        <v/>
      </c>
      <c r="T30" s="542">
        <f>SUMIF(FS_Q!$1:$1,FS_Y!T$1,FS_Q!30:30)</f>
        <v/>
      </c>
      <c r="U30" s="542">
        <f>SUMIF(FS_Q!$1:$1,FS_Y!U$1,FS_Q!30:30)</f>
        <v/>
      </c>
      <c r="V30" s="542">
        <f>SUMIF(FS_Q!$1:$1,FS_Y!V$1,FS_Q!30:30)</f>
        <v/>
      </c>
      <c r="W30" s="542">
        <f>SUMIF(FS_Q!$1:$1,FS_Y!W$1,FS_Q!30:30)</f>
        <v/>
      </c>
      <c r="X30" s="382" t="n"/>
      <c r="Y30" s="382" t="n"/>
      <c r="Z30" s="382" t="n"/>
      <c r="AA30" s="382" t="n"/>
      <c r="AB30" s="382" t="n"/>
      <c r="AC30" s="382" t="n"/>
      <c r="AD30" s="382" t="n"/>
      <c r="AE30" s="382" t="n"/>
      <c r="AF30" s="382" t="n"/>
      <c r="AG30" s="382" t="n"/>
      <c r="AH30" s="382" t="n"/>
      <c r="AI30" s="382" t="n"/>
      <c r="AJ30" s="382" t="n"/>
      <c r="AK30" s="382" t="n"/>
      <c r="AL30" s="382" t="n"/>
      <c r="AM30" s="382" t="n"/>
      <c r="AN30" s="382" t="n"/>
      <c r="AO30" s="382" t="n"/>
      <c r="AP30" s="382" t="n"/>
      <c r="AQ30" s="382" t="n"/>
      <c r="AR30" s="382" t="n"/>
      <c r="AS30" s="382" t="n"/>
    </row>
    <row r="31">
      <c r="A31" s="22">
        <f>FS_Q!A31</f>
        <v/>
      </c>
      <c r="B31" s="143" t="n"/>
      <c r="C31" s="143" t="n"/>
      <c r="D31" s="143" t="n"/>
      <c r="X31" s="131" t="n"/>
      <c r="Y31" s="131" t="n"/>
      <c r="Z31" s="131" t="n"/>
      <c r="AA31" s="131" t="n"/>
      <c r="AB31" s="131" t="n"/>
      <c r="AC31" s="131" t="n"/>
      <c r="AD31" s="131" t="n"/>
      <c r="AE31" s="131" t="n"/>
      <c r="AF31" s="131" t="n"/>
      <c r="AG31" s="131" t="n"/>
      <c r="AH31" s="131" t="n"/>
      <c r="AI31" s="131" t="n"/>
      <c r="AJ31" s="131" t="n"/>
      <c r="AK31" s="131" t="n"/>
      <c r="AL31" s="131" t="n"/>
      <c r="AM31" s="131" t="n"/>
      <c r="AN31" s="131" t="n"/>
      <c r="AO31" s="131" t="n"/>
      <c r="AP31" s="131" t="n"/>
      <c r="AQ31" s="131" t="n"/>
      <c r="AR31" s="131" t="n"/>
      <c r="AS31" s="131" t="n"/>
    </row>
    <row r="32">
      <c r="A32" s="74">
        <f>FS_Q!A32</f>
        <v/>
      </c>
      <c r="B32" s="147" t="n"/>
      <c r="C32" s="147" t="n"/>
      <c r="D32" s="147" t="n"/>
      <c r="E32" s="517">
        <f>INDEX(FS_Q!32:32,MATCH("4Q"&amp;RIGHT(FS_Y!E$5,2),FS_Q!$5:$5,0))</f>
        <v/>
      </c>
      <c r="F32" s="517">
        <f>INDEX(FS_Q!32:32,MATCH("4Q"&amp;RIGHT(FS_Y!F$5,2),FS_Q!$5:$5,0))</f>
        <v/>
      </c>
      <c r="G32" s="517">
        <f>INDEX(FS_Q!32:32,MATCH("4Q"&amp;RIGHT(FS_Y!G$5,2),FS_Q!$5:$5,0))</f>
        <v/>
      </c>
      <c r="H32" s="517">
        <f>INDEX(FS_Q!32:32,MATCH("4Q"&amp;RIGHT(FS_Y!H$5,2),FS_Q!$5:$5,0))</f>
        <v/>
      </c>
      <c r="I32" s="517">
        <f>INDEX(FS_Q!32:32,MATCH("4Q"&amp;RIGHT(FS_Y!I$5,2),FS_Q!$5:$5,0))</f>
        <v/>
      </c>
      <c r="J32" s="517">
        <f>INDEX(FS_Q!32:32,MATCH("4Q"&amp;RIGHT(FS_Y!J$5,2),FS_Q!$5:$5,0))</f>
        <v/>
      </c>
      <c r="K32" s="517">
        <f>INDEX(FS_Q!32:32,MATCH("4Q"&amp;RIGHT(FS_Y!K$5,2),FS_Q!$5:$5,0))</f>
        <v/>
      </c>
      <c r="L32" s="517">
        <f>INDEX(FS_Q!32:32,MATCH("4Q"&amp;RIGHT(FS_Y!L$5,2),FS_Q!$5:$5,0))</f>
        <v/>
      </c>
      <c r="M32" s="517">
        <f>INDEX(FS_Q!32:32,MATCH("4Q"&amp;RIGHT(FS_Y!M$5,2),FS_Q!$5:$5,0))</f>
        <v/>
      </c>
      <c r="N32" s="517">
        <f>INDEX(FS_Q!32:32,MATCH("4Q"&amp;RIGHT(FS_Y!N$5,2),FS_Q!$5:$5,0))</f>
        <v/>
      </c>
      <c r="O32" s="517">
        <f>INDEX(FS_Q!32:32,MATCH("4Q"&amp;RIGHT(FS_Y!O$5,2),FS_Q!$5:$5,0))</f>
        <v/>
      </c>
      <c r="P32" s="517">
        <f>INDEX(FS_Q!32:32,MATCH("4Q"&amp;RIGHT(FS_Y!P$5,2),FS_Q!$5:$5,0))</f>
        <v/>
      </c>
      <c r="Q32" s="517">
        <f>INDEX(FS_Q!32:32,MATCH("4Q"&amp;RIGHT(FS_Y!Q$5,2),FS_Q!$5:$5,0))</f>
        <v/>
      </c>
      <c r="R32" s="517">
        <f>INDEX(FS_Q!32:32,MATCH("4Q"&amp;RIGHT(FS_Y!R$5,2),FS_Q!$5:$5,0))</f>
        <v/>
      </c>
      <c r="S32" s="517">
        <f>INDEX(FS_Q!32:32,MATCH("4Q"&amp;RIGHT(FS_Y!S$5,2),FS_Q!$5:$5,0))</f>
        <v/>
      </c>
      <c r="T32" s="517">
        <f>INDEX(FS_Q!32:32,MATCH("4Q"&amp;RIGHT(FS_Y!T$5,2),FS_Q!$5:$5,0))</f>
        <v/>
      </c>
      <c r="U32" s="517">
        <f>INDEX(FS_Q!32:32,MATCH("4Q"&amp;RIGHT(FS_Y!U$5,2),FS_Q!$5:$5,0))</f>
        <v/>
      </c>
      <c r="V32" s="517">
        <f>INDEX(FS_Q!32:32,MATCH("4Q"&amp;RIGHT(FS_Y!V$5,2),FS_Q!$5:$5,0))</f>
        <v/>
      </c>
      <c r="W32" s="517">
        <f>INDEX(FS_Q!32:32,MATCH("4Q"&amp;RIGHT(FS_Y!W$5,2),FS_Q!$5:$5,0))</f>
        <v/>
      </c>
      <c r="X32" s="148" t="n"/>
      <c r="Y32" s="148" t="n"/>
      <c r="Z32" s="148" t="n"/>
      <c r="AA32" s="148" t="n"/>
      <c r="AB32" s="148" t="n"/>
      <c r="AC32" s="148" t="n"/>
      <c r="AD32" s="148" t="n"/>
      <c r="AE32" s="148" t="n"/>
      <c r="AF32" s="148" t="n"/>
      <c r="AG32" s="148" t="n"/>
      <c r="AH32" s="148" t="n"/>
      <c r="AI32" s="148" t="n"/>
      <c r="AJ32" s="148" t="n"/>
      <c r="AK32" s="148" t="n"/>
      <c r="AL32" s="148" t="n"/>
      <c r="AM32" s="148" t="n"/>
      <c r="AN32" s="148" t="n"/>
      <c r="AO32" s="148" t="n"/>
      <c r="AP32" s="148" t="n"/>
      <c r="AQ32" s="148" t="n"/>
      <c r="AR32" s="148" t="n"/>
      <c r="AS32" s="148" t="n"/>
    </row>
    <row r="33" customFormat="1" s="281">
      <c r="A33" s="74">
        <f>FS_Q!A33</f>
        <v/>
      </c>
      <c r="B33" s="382" t="n"/>
      <c r="C33" s="382" t="n"/>
      <c r="D33" s="382" t="n"/>
      <c r="E33" s="517">
        <f>INDEX(FS_Q!33:33,MATCH("4Q"&amp;RIGHT(FS_Y!E$5,2),FS_Q!$5:$5,0))</f>
        <v/>
      </c>
      <c r="F33" s="517">
        <f>INDEX(FS_Q!33:33,MATCH("4Q"&amp;RIGHT(FS_Y!F$5,2),FS_Q!$5:$5,0))</f>
        <v/>
      </c>
      <c r="G33" s="517">
        <f>INDEX(FS_Q!33:33,MATCH("4Q"&amp;RIGHT(FS_Y!G$5,2),FS_Q!$5:$5,0))</f>
        <v/>
      </c>
      <c r="H33" s="517">
        <f>INDEX(FS_Q!33:33,MATCH("4Q"&amp;RIGHT(FS_Y!H$5,2),FS_Q!$5:$5,0))</f>
        <v/>
      </c>
      <c r="I33" s="517">
        <f>INDEX(FS_Q!33:33,MATCH("4Q"&amp;RIGHT(FS_Y!I$5,2),FS_Q!$5:$5,0))</f>
        <v/>
      </c>
      <c r="J33" s="517">
        <f>INDEX(FS_Q!33:33,MATCH("4Q"&amp;RIGHT(FS_Y!J$5,2),FS_Q!$5:$5,0))</f>
        <v/>
      </c>
      <c r="K33" s="517">
        <f>INDEX(FS_Q!33:33,MATCH("4Q"&amp;RIGHT(FS_Y!K$5,2),FS_Q!$5:$5,0))</f>
        <v/>
      </c>
      <c r="L33" s="517">
        <f>INDEX(FS_Q!33:33,MATCH("4Q"&amp;RIGHT(FS_Y!L$5,2),FS_Q!$5:$5,0))</f>
        <v/>
      </c>
      <c r="M33" s="517">
        <f>INDEX(FS_Q!33:33,MATCH("4Q"&amp;RIGHT(FS_Y!M$5,2),FS_Q!$5:$5,0))</f>
        <v/>
      </c>
      <c r="N33" s="517">
        <f>INDEX(FS_Q!33:33,MATCH("4Q"&amp;RIGHT(FS_Y!N$5,2),FS_Q!$5:$5,0))</f>
        <v/>
      </c>
      <c r="O33" s="517">
        <f>INDEX(FS_Q!33:33,MATCH("4Q"&amp;RIGHT(FS_Y!O$5,2),FS_Q!$5:$5,0))</f>
        <v/>
      </c>
      <c r="P33" s="517">
        <f>INDEX(FS_Q!33:33,MATCH("4Q"&amp;RIGHT(FS_Y!P$5,2),FS_Q!$5:$5,0))</f>
        <v/>
      </c>
      <c r="Q33" s="517">
        <f>INDEX(FS_Q!33:33,MATCH("4Q"&amp;RIGHT(FS_Y!Q$5,2),FS_Q!$5:$5,0))</f>
        <v/>
      </c>
      <c r="R33" s="517">
        <f>INDEX(FS_Q!33:33,MATCH("4Q"&amp;RIGHT(FS_Y!R$5,2),FS_Q!$5:$5,0))</f>
        <v/>
      </c>
      <c r="S33" s="517">
        <f>INDEX(FS_Q!33:33,MATCH("4Q"&amp;RIGHT(FS_Y!S$5,2),FS_Q!$5:$5,0))</f>
        <v/>
      </c>
      <c r="T33" s="517">
        <f>INDEX(FS_Q!33:33,MATCH("4Q"&amp;RIGHT(FS_Y!T$5,2),FS_Q!$5:$5,0))</f>
        <v/>
      </c>
      <c r="U33" s="517">
        <f>INDEX(FS_Q!33:33,MATCH("4Q"&amp;RIGHT(FS_Y!U$5,2),FS_Q!$5:$5,0))</f>
        <v/>
      </c>
      <c r="V33" s="517">
        <f>INDEX(FS_Q!33:33,MATCH("4Q"&amp;RIGHT(FS_Y!V$5,2),FS_Q!$5:$5,0))</f>
        <v/>
      </c>
      <c r="W33" s="517">
        <f>INDEX(FS_Q!33:33,MATCH("4Q"&amp;RIGHT(FS_Y!W$5,2),FS_Q!$5:$5,0))</f>
        <v/>
      </c>
      <c r="X33" s="382" t="n"/>
      <c r="Y33" s="382" t="n"/>
      <c r="Z33" s="382" t="n"/>
      <c r="AA33" s="382" t="n"/>
      <c r="AB33" s="382" t="n"/>
      <c r="AC33" s="382" t="n"/>
      <c r="AD33" s="382" t="n"/>
      <c r="AE33" s="382" t="n"/>
      <c r="AF33" s="382" t="n"/>
      <c r="AG33" s="382" t="n"/>
      <c r="AH33" s="382" t="n"/>
      <c r="AI33" s="382" t="n"/>
      <c r="AJ33" s="382" t="n"/>
      <c r="AK33" s="382" t="n"/>
      <c r="AL33" s="382" t="n"/>
      <c r="AM33" s="382" t="n"/>
      <c r="AN33" s="382" t="n"/>
      <c r="AO33" s="382" t="n"/>
      <c r="AP33" s="382" t="n"/>
      <c r="AQ33" s="382" t="n"/>
      <c r="AR33" s="382" t="n"/>
      <c r="AS33" s="382" t="n"/>
    </row>
    <row r="34" customFormat="1" s="281">
      <c r="A34" s="40" t="n"/>
      <c r="B34" s="382" t="n"/>
      <c r="C34" s="382" t="n"/>
      <c r="D34" s="382" t="n"/>
      <c r="E34" s="382" t="n"/>
      <c r="F34" s="382" t="n"/>
      <c r="G34" s="190" t="n"/>
      <c r="H34" s="190" t="n"/>
      <c r="I34" s="190" t="n"/>
      <c r="J34" s="190" t="n"/>
      <c r="K34" s="190" t="n"/>
      <c r="L34" s="190" t="n"/>
      <c r="M34" s="190" t="n"/>
      <c r="N34" s="143" t="n"/>
      <c r="O34" s="143" t="n"/>
      <c r="P34" s="143" t="n"/>
      <c r="Q34" s="143" t="n"/>
      <c r="R34" s="143" t="n"/>
      <c r="S34" s="143" t="n"/>
      <c r="T34" s="143" t="n"/>
      <c r="U34" s="143" t="n"/>
      <c r="V34" s="143" t="n"/>
      <c r="W34" s="143" t="n"/>
      <c r="X34" s="382" t="n"/>
      <c r="Y34" s="382" t="n"/>
      <c r="Z34" s="382" t="n"/>
      <c r="AA34" s="382" t="n"/>
      <c r="AB34" s="382" t="n"/>
      <c r="AC34" s="382" t="n"/>
      <c r="AD34" s="382" t="n"/>
      <c r="AE34" s="382" t="n"/>
      <c r="AF34" s="382" t="n"/>
      <c r="AG34" s="382" t="n"/>
      <c r="AH34" s="382" t="n"/>
      <c r="AI34" s="382" t="n"/>
      <c r="AJ34" s="382" t="n"/>
      <c r="AK34" s="382" t="n"/>
      <c r="AL34" s="382" t="n"/>
      <c r="AM34" s="382" t="n"/>
      <c r="AN34" s="382" t="n"/>
      <c r="AO34" s="382" t="n"/>
      <c r="AP34" s="382" t="n"/>
      <c r="AQ34" s="382" t="n"/>
      <c r="AR34" s="382" t="n"/>
      <c r="AS34" s="382" t="n"/>
    </row>
    <row r="35" customFormat="1" s="281">
      <c r="A35" s="455">
        <f>FS_Q!A35</f>
        <v/>
      </c>
      <c r="B35" s="382" t="n"/>
      <c r="C35" s="143" t="n"/>
      <c r="D35" s="143" t="n"/>
      <c r="E35" s="400">
        <f>E11-E12-SUM(E14:E17)-E19</f>
        <v/>
      </c>
      <c r="F35" s="400">
        <f>F11-F12-SUM(F14:F17)-F19</f>
        <v/>
      </c>
      <c r="G35" s="400">
        <f>G11-G12-SUM(G14:G17)-G19</f>
        <v/>
      </c>
      <c r="H35" s="400">
        <f>H11-H12-SUM(H14:H17)-H19</f>
        <v/>
      </c>
      <c r="I35" s="400">
        <f>I11-I12-SUM(I14:I17)-I19</f>
        <v/>
      </c>
      <c r="J35" s="400">
        <f>J11-J12-SUM(J14:J17)-J19</f>
        <v/>
      </c>
      <c r="K35" s="400">
        <f>K11-K12-SUM(K14:K17)-K19</f>
        <v/>
      </c>
      <c r="L35" s="400">
        <f>L11-L12-SUM(L14:L17)-L19</f>
        <v/>
      </c>
      <c r="M35" s="400">
        <f>M11-M12-SUM(M14:M17)-M19</f>
        <v/>
      </c>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382" t="n"/>
      <c r="Y35" s="382" t="n"/>
      <c r="Z35" s="382" t="n"/>
      <c r="AA35" s="382" t="n"/>
      <c r="AB35" s="382" t="n"/>
      <c r="AC35" s="382" t="n"/>
      <c r="AD35" s="382" t="n"/>
      <c r="AE35" s="382" t="n"/>
      <c r="AF35" s="382" t="n"/>
      <c r="AG35" s="382" t="n"/>
      <c r="AH35" s="382" t="n"/>
      <c r="AI35" s="382" t="n"/>
      <c r="AJ35" s="382" t="n"/>
      <c r="AK35" s="382" t="n"/>
      <c r="AL35" s="382" t="n"/>
      <c r="AM35" s="382" t="n"/>
      <c r="AN35" s="382" t="n"/>
      <c r="AO35" s="382" t="n"/>
      <c r="AP35" s="382" t="n"/>
      <c r="AQ35" s="382" t="n"/>
      <c r="AR35" s="382" t="n"/>
      <c r="AS35" s="382" t="n"/>
    </row>
    <row r="36">
      <c r="A36" s="455">
        <f>FS_Q!A36</f>
        <v/>
      </c>
      <c r="B36" s="148" t="n"/>
      <c r="C36" s="143" t="n"/>
      <c r="D36" s="143" t="n"/>
      <c r="E36" s="400">
        <f>E19+SUM(E20:E21)+E24-E26-E27</f>
        <v/>
      </c>
      <c r="F36" s="400">
        <f>F19+SUM(F20:F21)+F24-F26-F27</f>
        <v/>
      </c>
      <c r="G36" s="400">
        <f>G19+SUM(G20:G21)+G24-G26-G27</f>
        <v/>
      </c>
      <c r="H36" s="400">
        <f>H19+SUM(H20:H21)+H24-H26-H27</f>
        <v/>
      </c>
      <c r="I36" s="400">
        <f>I19+SUM(I20:I21)+I24-I26-I27</f>
        <v/>
      </c>
      <c r="J36" s="400">
        <f>J19+SUM(J20:J21)+J24-J26-J27</f>
        <v/>
      </c>
      <c r="K36" s="400">
        <f>K19+SUM(K20:K21)+K24-K26-K27</f>
        <v/>
      </c>
      <c r="L36" s="400">
        <f>L19+SUM(L20:L21)+L24-L26-L27</f>
        <v/>
      </c>
      <c r="M36" s="400">
        <f>M19+SUM(M20:M21)+M24-M26-M27</f>
        <v/>
      </c>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148" t="n"/>
      <c r="Y36" s="148" t="n"/>
      <c r="Z36" s="148" t="n"/>
      <c r="AA36" s="148" t="n"/>
      <c r="AB36" s="148" t="n"/>
      <c r="AC36" s="148" t="n"/>
      <c r="AD36" s="148" t="n"/>
      <c r="AE36" s="148" t="n"/>
      <c r="AF36" s="148" t="n"/>
      <c r="AG36" s="148" t="n"/>
      <c r="AH36" s="148" t="n"/>
      <c r="AI36" s="148" t="n"/>
      <c r="AJ36" s="148" t="n"/>
      <c r="AK36" s="148" t="n"/>
      <c r="AL36" s="148" t="n"/>
      <c r="AM36" s="148" t="n"/>
      <c r="AN36" s="148" t="n"/>
      <c r="AO36" s="148" t="n"/>
      <c r="AP36" s="148" t="n"/>
      <c r="AQ36" s="148" t="n"/>
      <c r="AR36" s="148" t="n"/>
      <c r="AS36" s="148" t="n"/>
    </row>
    <row r="37">
      <c r="A37" s="455">
        <f>FS_Q!A37</f>
        <v/>
      </c>
      <c r="B37" s="148" t="n"/>
      <c r="C37" s="899" t="n"/>
      <c r="D37" s="899" t="n"/>
      <c r="E37" s="400">
        <f>ROUND(E27/E32-E29,2)</f>
        <v/>
      </c>
      <c r="F37" s="400">
        <f>ROUND(F27/F32-F29,2)</f>
        <v/>
      </c>
      <c r="G37" s="400">
        <f>ROUND(G27/G32-G29,2)</f>
        <v/>
      </c>
      <c r="H37" s="400">
        <f>ROUND(H27/H32-H29,2)</f>
        <v/>
      </c>
      <c r="I37" s="400">
        <f>ROUND(I27/I32-I29,2)</f>
        <v/>
      </c>
      <c r="J37" s="400">
        <f>ROUND(J27/J32-J29,2)</f>
        <v/>
      </c>
      <c r="K37" s="400">
        <f>ROUND(K27/K32-K29,2)</f>
        <v/>
      </c>
      <c r="L37" s="400">
        <f>ROUND(L27/L32-L29,2)</f>
        <v/>
      </c>
      <c r="M37" s="400">
        <f>ROUND(M27/M32-M29,2)</f>
        <v/>
      </c>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148" t="n"/>
      <c r="Y37" s="148" t="n"/>
      <c r="Z37" s="148" t="n"/>
      <c r="AA37" s="148" t="n"/>
      <c r="AB37" s="148" t="n"/>
      <c r="AC37" s="148" t="n"/>
      <c r="AD37" s="148" t="n"/>
      <c r="AE37" s="148" t="n"/>
      <c r="AF37" s="148" t="n"/>
      <c r="AG37" s="148" t="n"/>
      <c r="AH37" s="148" t="n"/>
      <c r="AI37" s="148" t="n"/>
      <c r="AJ37" s="148" t="n"/>
      <c r="AK37" s="148" t="n"/>
      <c r="AL37" s="148" t="n"/>
      <c r="AM37" s="148" t="n"/>
      <c r="AN37" s="148" t="n"/>
      <c r="AO37" s="148" t="n"/>
      <c r="AP37" s="148" t="n"/>
      <c r="AQ37" s="148" t="n"/>
      <c r="AR37" s="148" t="n"/>
      <c r="AS37" s="148" t="n"/>
    </row>
    <row r="38">
      <c r="A38" s="455" t="n"/>
      <c r="B38" s="148" t="n"/>
      <c r="C38" s="148" t="n"/>
      <c r="D38" s="148" t="n"/>
      <c r="E38" s="148" t="n"/>
      <c r="F38" s="148" t="n"/>
      <c r="G38" s="148" t="n"/>
      <c r="H38" s="148" t="n"/>
      <c r="I38" s="148" t="n"/>
      <c r="J38" s="148" t="n"/>
      <c r="K38" s="148" t="n"/>
      <c r="L38" s="148" t="n"/>
      <c r="M38" s="148" t="n"/>
      <c r="N38" s="148" t="n"/>
      <c r="O38" s="148" t="n"/>
      <c r="P38" s="148" t="n"/>
      <c r="Q38" s="148" t="n"/>
      <c r="R38" s="148" t="n"/>
      <c r="S38" s="148" t="n"/>
      <c r="T38" s="148" t="n"/>
      <c r="U38" s="148" t="n"/>
      <c r="V38" s="148" t="n"/>
      <c r="W38" s="148" t="n"/>
      <c r="X38" s="148" t="n"/>
      <c r="Y38" s="148" t="n"/>
      <c r="Z38" s="148" t="n"/>
      <c r="AA38" s="148" t="n"/>
      <c r="AB38" s="148" t="n"/>
      <c r="AC38" s="148" t="n"/>
      <c r="AD38" s="148" t="n"/>
      <c r="AE38" s="148" t="n"/>
      <c r="AF38" s="148" t="n"/>
      <c r="AG38" s="148" t="n"/>
      <c r="AH38" s="148" t="n"/>
      <c r="AI38" s="148" t="n"/>
      <c r="AJ38" s="148" t="n"/>
      <c r="AK38" s="148" t="n"/>
      <c r="AL38" s="148" t="n"/>
      <c r="AM38" s="148" t="n"/>
      <c r="AN38" s="148" t="n"/>
      <c r="AO38" s="148" t="n"/>
      <c r="AP38" s="148" t="n"/>
      <c r="AQ38" s="148" t="n"/>
      <c r="AR38" s="148" t="n"/>
      <c r="AS38" s="148" t="n"/>
    </row>
    <row r="39">
      <c r="A39" s="455" t="n"/>
      <c r="B39" s="148" t="n"/>
      <c r="C39" s="148" t="n"/>
      <c r="D39" s="148" t="n"/>
      <c r="E39" s="148" t="n"/>
      <c r="F39" s="148" t="n"/>
      <c r="G39" s="148" t="n"/>
      <c r="H39" s="148" t="n"/>
      <c r="I39" s="148" t="n"/>
      <c r="J39" s="148" t="n"/>
      <c r="K39" s="148" t="n"/>
      <c r="L39" s="148" t="n"/>
      <c r="M39" s="148" t="n"/>
      <c r="N39" s="148" t="n"/>
      <c r="O39" s="148" t="n"/>
      <c r="P39" s="148" t="n"/>
      <c r="Q39" s="148" t="n"/>
      <c r="R39" s="148" t="n"/>
      <c r="S39" s="148" t="n"/>
      <c r="T39" s="148" t="n"/>
      <c r="U39" s="148" t="n"/>
      <c r="V39" s="148" t="n"/>
      <c r="W39" s="148" t="n"/>
      <c r="X39" s="148" t="n"/>
      <c r="Y39" s="148" t="n"/>
      <c r="Z39" s="148" t="n"/>
      <c r="AA39" s="148" t="n"/>
      <c r="AB39" s="148" t="n"/>
      <c r="AC39" s="148" t="n"/>
      <c r="AD39" s="148" t="n"/>
      <c r="AE39" s="148" t="n"/>
      <c r="AF39" s="148" t="n"/>
      <c r="AG39" s="148" t="n"/>
      <c r="AH39" s="148" t="n"/>
      <c r="AI39" s="148" t="n"/>
      <c r="AJ39" s="148" t="n"/>
      <c r="AK39" s="148" t="n"/>
      <c r="AL39" s="148" t="n"/>
      <c r="AM39" s="148" t="n"/>
      <c r="AN39" s="148" t="n"/>
      <c r="AO39" s="148" t="n"/>
      <c r="AP39" s="148" t="n"/>
      <c r="AQ39" s="148" t="n"/>
      <c r="AR39" s="148" t="n"/>
      <c r="AS39" s="148" t="n"/>
    </row>
    <row r="40">
      <c r="A40" s="455" t="n"/>
      <c r="B40" s="148" t="n"/>
      <c r="C40" s="148" t="n"/>
      <c r="D40" s="148" t="n"/>
      <c r="E40" s="148" t="n"/>
      <c r="F40" s="148" t="n"/>
      <c r="G40" s="148" t="n"/>
      <c r="H40" s="148" t="n"/>
      <c r="I40" s="148" t="n"/>
      <c r="J40" s="148" t="n"/>
      <c r="K40" s="148" t="n"/>
      <c r="L40" s="148" t="n"/>
      <c r="M40" s="148" t="n"/>
      <c r="N40" s="148" t="n"/>
      <c r="O40" s="148" t="n"/>
      <c r="P40" s="148" t="n"/>
      <c r="Q40" s="148" t="n"/>
      <c r="R40" s="148" t="n"/>
      <c r="S40" s="148" t="n"/>
      <c r="T40" s="148" t="n"/>
      <c r="U40" s="148" t="n"/>
      <c r="V40" s="148" t="n"/>
      <c r="W40" s="148" t="n"/>
      <c r="X40" s="148" t="n"/>
      <c r="Y40" s="148" t="n"/>
      <c r="Z40" s="148" t="n"/>
      <c r="AA40" s="148" t="n"/>
      <c r="AB40" s="148" t="n"/>
      <c r="AC40" s="148" t="n"/>
      <c r="AD40" s="148" t="n"/>
      <c r="AE40" s="148" t="n"/>
      <c r="AF40" s="148" t="n"/>
      <c r="AG40" s="148" t="n"/>
      <c r="AH40" s="148" t="n"/>
      <c r="AI40" s="148" t="n"/>
      <c r="AJ40" s="148" t="n"/>
      <c r="AK40" s="148" t="n"/>
      <c r="AL40" s="148" t="n"/>
      <c r="AM40" s="148" t="n"/>
      <c r="AN40" s="148" t="n"/>
      <c r="AO40" s="148" t="n"/>
      <c r="AP40" s="148" t="n"/>
      <c r="AQ40" s="148" t="n"/>
      <c r="AR40" s="148" t="n"/>
      <c r="AS40" s="148" t="n"/>
    </row>
    <row r="41">
      <c r="B41" s="148" t="n"/>
      <c r="C41" s="148" t="n"/>
      <c r="D41" s="148" t="n"/>
      <c r="E41" s="148" t="n"/>
      <c r="F41" s="148" t="n"/>
      <c r="G41" s="148" t="n"/>
      <c r="H41" s="148" t="n"/>
      <c r="I41" s="148" t="n"/>
      <c r="J41" s="148" t="n"/>
      <c r="K41" s="148" t="n"/>
      <c r="L41" s="148" t="n"/>
      <c r="M41" s="148" t="n"/>
      <c r="N41" s="148" t="n"/>
      <c r="O41" s="148" t="n"/>
      <c r="P41" s="148" t="n"/>
      <c r="Q41" s="148" t="n"/>
      <c r="R41" s="148" t="n"/>
      <c r="S41" s="148" t="n"/>
      <c r="T41" s="148" t="n"/>
      <c r="U41" s="148" t="n"/>
      <c r="V41" s="148" t="n"/>
      <c r="W41" s="148" t="n"/>
      <c r="X41" s="148" t="n"/>
      <c r="Y41" s="148" t="n"/>
      <c r="Z41" s="148" t="n"/>
      <c r="AA41" s="148" t="n"/>
      <c r="AB41" s="148" t="n"/>
      <c r="AC41" s="148" t="n"/>
      <c r="AD41" s="148" t="n"/>
      <c r="AE41" s="148" t="n"/>
      <c r="AF41" s="148" t="n"/>
      <c r="AG41" s="148" t="n"/>
      <c r="AH41" s="148" t="n"/>
      <c r="AI41" s="148" t="n"/>
      <c r="AJ41" s="148" t="n"/>
      <c r="AK41" s="148" t="n"/>
      <c r="AL41" s="148" t="n"/>
      <c r="AM41" s="148" t="n"/>
      <c r="AN41" s="148" t="n"/>
      <c r="AO41" s="148" t="n"/>
      <c r="AP41" s="148" t="n"/>
      <c r="AQ41" s="148" t="n"/>
      <c r="AR41" s="148" t="n"/>
      <c r="AS41" s="148" t="n"/>
    </row>
    <row r="42">
      <c r="A42" s="81">
        <f>FS_Q!A42</f>
        <v/>
      </c>
      <c r="B42" s="143" t="n"/>
      <c r="E42" s="142" t="n"/>
      <c r="F42" s="142" t="n"/>
      <c r="G42" s="142" t="n"/>
      <c r="H42" s="142" t="n"/>
      <c r="I42" s="142" t="n"/>
      <c r="J42" s="142" t="n"/>
      <c r="K42" s="142" t="n"/>
      <c r="L42" s="142" t="n"/>
      <c r="M42" s="142" t="n"/>
      <c r="N42" s="142" t="n"/>
      <c r="O42" s="142" t="n"/>
      <c r="P42" s="142" t="n"/>
      <c r="Q42" s="142" t="n"/>
      <c r="R42" s="142" t="n"/>
      <c r="S42" s="142" t="n"/>
      <c r="T42" s="142" t="n"/>
      <c r="U42" s="142" t="n"/>
      <c r="V42" s="142" t="n"/>
      <c r="W42" s="142" t="n"/>
      <c r="X42" s="148" t="n"/>
      <c r="Y42" s="148" t="n"/>
      <c r="Z42" s="148" t="n"/>
      <c r="AA42" s="148" t="n"/>
      <c r="AB42" s="148" t="n"/>
      <c r="AC42" s="148" t="n"/>
      <c r="AD42" s="148" t="n"/>
      <c r="AE42" s="148" t="n"/>
      <c r="AF42" s="148" t="n"/>
      <c r="AG42" s="148" t="n"/>
      <c r="AH42" s="148" t="n"/>
      <c r="AI42" s="148" t="n"/>
      <c r="AJ42" s="148" t="n"/>
      <c r="AK42" s="148" t="n"/>
      <c r="AL42" s="148" t="n"/>
      <c r="AM42" s="148" t="n"/>
      <c r="AN42" s="148" t="n"/>
      <c r="AO42" s="148" t="n"/>
      <c r="AP42" s="148" t="n"/>
      <c r="AQ42" s="148" t="n"/>
      <c r="AR42" s="148" t="n"/>
      <c r="AS42" s="148" t="n"/>
    </row>
    <row r="43">
      <c r="B43" s="143" t="n"/>
      <c r="C43" s="143" t="n"/>
      <c r="D43" s="143" t="n"/>
      <c r="E43" s="143" t="n"/>
      <c r="F43" s="143" t="n"/>
      <c r="G43" s="143" t="n"/>
      <c r="H43" s="143" t="n"/>
      <c r="I43" s="143" t="n"/>
      <c r="J43" s="143" t="n"/>
      <c r="K43" s="143" t="n"/>
      <c r="L43" s="143" t="n"/>
      <c r="M43" s="143" t="n"/>
      <c r="N43" s="143" t="n"/>
      <c r="O43" s="143" t="n"/>
      <c r="P43" s="143" t="n"/>
      <c r="Q43" s="143" t="n"/>
      <c r="R43" s="143" t="n"/>
      <c r="S43" s="143" t="n"/>
      <c r="T43" s="143" t="n"/>
      <c r="U43" s="143" t="n"/>
      <c r="V43" s="143" t="n"/>
      <c r="W43" s="143" t="n"/>
      <c r="X43" s="148" t="n"/>
      <c r="Y43" s="148" t="n"/>
      <c r="Z43" s="148" t="n"/>
      <c r="AA43" s="148" t="n"/>
      <c r="AB43" s="148" t="n"/>
      <c r="AC43" s="148" t="n"/>
      <c r="AD43" s="148" t="n"/>
      <c r="AE43" s="148" t="n"/>
      <c r="AF43" s="148" t="n"/>
      <c r="AG43" s="148" t="n"/>
      <c r="AH43" s="148" t="n"/>
      <c r="AI43" s="148" t="n"/>
      <c r="AJ43" s="148" t="n"/>
      <c r="AK43" s="148" t="n"/>
      <c r="AL43" s="148" t="n"/>
      <c r="AM43" s="148" t="n"/>
      <c r="AN43" s="148" t="n"/>
      <c r="AO43" s="148" t="n"/>
      <c r="AP43" s="148" t="n"/>
      <c r="AQ43" s="148" t="n"/>
      <c r="AR43" s="148" t="n"/>
      <c r="AS43" s="148" t="n"/>
    </row>
    <row r="44">
      <c r="A44" s="74">
        <f>FS_Q!A44</f>
        <v/>
      </c>
      <c r="B44" s="143" t="n"/>
      <c r="C44" s="143" t="n"/>
      <c r="D44" s="143" t="n"/>
      <c r="E44" s="108">
        <f>INDEX(FS_Q!44:44,MATCH("4Q"&amp;RIGHT(FS_Y!E$5,2),FS_Q!$5:$5,0))</f>
        <v/>
      </c>
      <c r="F44" s="108">
        <f>INDEX(FS_Q!44:44,MATCH("4Q"&amp;RIGHT(FS_Y!F$5,2),FS_Q!$5:$5,0))</f>
        <v/>
      </c>
      <c r="G44" s="108">
        <f>INDEX(FS_Q!44:44,MATCH("4Q"&amp;RIGHT(FS_Y!G$5,2),FS_Q!$5:$5,0))</f>
        <v/>
      </c>
      <c r="H44" s="108">
        <f>INDEX(FS_Q!44:44,MATCH("4Q"&amp;RIGHT(FS_Y!H$5,2),FS_Q!$5:$5,0))</f>
        <v/>
      </c>
      <c r="I44" s="108">
        <f>INDEX(FS_Q!44:44,MATCH("4Q"&amp;RIGHT(FS_Y!I$5,2),FS_Q!$5:$5,0))</f>
        <v/>
      </c>
      <c r="J44" s="108">
        <f>INDEX(FS_Q!44:44,MATCH("4Q"&amp;RIGHT(FS_Y!J$5,2),FS_Q!$5:$5,0))</f>
        <v/>
      </c>
      <c r="K44" s="108">
        <f>INDEX(FS_Q!44:44,MATCH("4Q"&amp;RIGHT(FS_Y!K$5,2),FS_Q!$5:$5,0))</f>
        <v/>
      </c>
      <c r="L44" s="108">
        <f>INDEX(FS_Q!44:44,MATCH("4Q"&amp;RIGHT(FS_Y!L$5,2),FS_Q!$5:$5,0))</f>
        <v/>
      </c>
      <c r="M44" s="108">
        <f>INDEX(FS_Q!44:44,MATCH("4Q"&amp;RIGHT(FS_Y!M$5,2),FS_Q!$5:$5,0))</f>
        <v/>
      </c>
      <c r="N44" s="108">
        <f>INDEX(FS_Q!44:44,MATCH("4Q"&amp;RIGHT(FS_Y!N$5,2),FS_Q!$5:$5,0))</f>
        <v/>
      </c>
      <c r="O44" s="108">
        <f>INDEX(FS_Q!44:44,MATCH("4Q"&amp;RIGHT(FS_Y!O$5,2),FS_Q!$5:$5,0))</f>
        <v/>
      </c>
      <c r="P44" s="108">
        <f>INDEX(FS_Q!44:44,MATCH("4Q"&amp;RIGHT(FS_Y!P$5,2),FS_Q!$5:$5,0))</f>
        <v/>
      </c>
      <c r="Q44" s="108">
        <f>INDEX(FS_Q!44:44,MATCH("4Q"&amp;RIGHT(FS_Y!Q$5,2),FS_Q!$5:$5,0))</f>
        <v/>
      </c>
      <c r="R44" s="108">
        <f>INDEX(FS_Q!44:44,MATCH("4Q"&amp;RIGHT(FS_Y!R$5,2),FS_Q!$5:$5,0))</f>
        <v/>
      </c>
      <c r="S44" s="108">
        <f>INDEX(FS_Q!44:44,MATCH("4Q"&amp;RIGHT(FS_Y!S$5,2),FS_Q!$5:$5,0))</f>
        <v/>
      </c>
      <c r="T44" s="108">
        <f>INDEX(FS_Q!44:44,MATCH("4Q"&amp;RIGHT(FS_Y!T$5,2),FS_Q!$5:$5,0))</f>
        <v/>
      </c>
      <c r="U44" s="108">
        <f>INDEX(FS_Q!44:44,MATCH("4Q"&amp;RIGHT(FS_Y!U$5,2),FS_Q!$5:$5,0))</f>
        <v/>
      </c>
      <c r="V44" s="108">
        <f>INDEX(FS_Q!44:44,MATCH("4Q"&amp;RIGHT(FS_Y!V$5,2),FS_Q!$5:$5,0))</f>
        <v/>
      </c>
      <c r="W44" s="108">
        <f>INDEX(FS_Q!44:44,MATCH("4Q"&amp;RIGHT(FS_Y!W$5,2),FS_Q!$5:$5,0))</f>
        <v/>
      </c>
      <c r="X44" s="148" t="n"/>
      <c r="Y44" s="148" t="n"/>
      <c r="Z44" s="148" t="n"/>
      <c r="AA44" s="148" t="n"/>
      <c r="AB44" s="148" t="n"/>
      <c r="AC44" s="148" t="n"/>
      <c r="AD44" s="148" t="n"/>
      <c r="AE44" s="148" t="n"/>
      <c r="AF44" s="148" t="n"/>
      <c r="AG44" s="148" t="n"/>
      <c r="AH44" s="148" t="n"/>
      <c r="AI44" s="148" t="n"/>
      <c r="AJ44" s="148" t="n"/>
      <c r="AK44" s="148" t="n"/>
      <c r="AL44" s="148" t="n"/>
      <c r="AM44" s="148" t="n"/>
      <c r="AN44" s="148" t="n"/>
      <c r="AO44" s="148" t="n"/>
      <c r="AP44" s="148" t="n"/>
      <c r="AQ44" s="148" t="n"/>
      <c r="AR44" s="148" t="n"/>
      <c r="AS44" s="148" t="n"/>
    </row>
    <row r="45">
      <c r="A45" s="74">
        <f>FS_Q!A45</f>
        <v/>
      </c>
      <c r="B45" s="143" t="n"/>
      <c r="C45" s="143" t="n"/>
      <c r="D45" s="143" t="n"/>
      <c r="E45" s="517">
        <f>INDEX(FS_Q!45:45,MATCH("4Q"&amp;RIGHT(FS_Y!E$5,2),FS_Q!$5:$5,0))</f>
        <v/>
      </c>
      <c r="F45" s="517">
        <f>INDEX(FS_Q!45:45,MATCH("4Q"&amp;RIGHT(FS_Y!F$5,2),FS_Q!$5:$5,0))</f>
        <v/>
      </c>
      <c r="G45" s="517">
        <f>INDEX(FS_Q!45:45,MATCH("4Q"&amp;RIGHT(FS_Y!G$5,2),FS_Q!$5:$5,0))</f>
        <v/>
      </c>
      <c r="H45" s="517">
        <f>INDEX(FS_Q!45:45,MATCH("4Q"&amp;RIGHT(FS_Y!H$5,2),FS_Q!$5:$5,0))</f>
        <v/>
      </c>
      <c r="I45" s="517">
        <f>INDEX(FS_Q!45:45,MATCH("4Q"&amp;RIGHT(FS_Y!I$5,2),FS_Q!$5:$5,0))</f>
        <v/>
      </c>
      <c r="J45" s="517">
        <f>INDEX(FS_Q!45:45,MATCH("4Q"&amp;RIGHT(FS_Y!J$5,2),FS_Q!$5:$5,0))</f>
        <v/>
      </c>
      <c r="K45" s="517">
        <f>INDEX(FS_Q!45:45,MATCH("4Q"&amp;RIGHT(FS_Y!K$5,2),FS_Q!$5:$5,0))</f>
        <v/>
      </c>
      <c r="L45" s="517">
        <f>INDEX(FS_Q!45:45,MATCH("4Q"&amp;RIGHT(FS_Y!L$5,2),FS_Q!$5:$5,0))</f>
        <v/>
      </c>
      <c r="M45" s="517">
        <f>INDEX(FS_Q!45:45,MATCH("4Q"&amp;RIGHT(FS_Y!M$5,2),FS_Q!$5:$5,0))</f>
        <v/>
      </c>
      <c r="N45" s="517">
        <f>INDEX(FS_Q!45:45,MATCH("4Q"&amp;RIGHT(FS_Y!N$5,2),FS_Q!$5:$5,0))</f>
        <v/>
      </c>
      <c r="O45" s="517">
        <f>INDEX(FS_Q!45:45,MATCH("4Q"&amp;RIGHT(FS_Y!O$5,2),FS_Q!$5:$5,0))</f>
        <v/>
      </c>
      <c r="P45" s="517">
        <f>INDEX(FS_Q!45:45,MATCH("4Q"&amp;RIGHT(FS_Y!P$5,2),FS_Q!$5:$5,0))</f>
        <v/>
      </c>
      <c r="Q45" s="517">
        <f>INDEX(FS_Q!45:45,MATCH("4Q"&amp;RIGHT(FS_Y!Q$5,2),FS_Q!$5:$5,0))</f>
        <v/>
      </c>
      <c r="R45" s="517">
        <f>INDEX(FS_Q!45:45,MATCH("4Q"&amp;RIGHT(FS_Y!R$5,2),FS_Q!$5:$5,0))</f>
        <v/>
      </c>
      <c r="S45" s="517">
        <f>INDEX(FS_Q!45:45,MATCH("4Q"&amp;RIGHT(FS_Y!S$5,2),FS_Q!$5:$5,0))</f>
        <v/>
      </c>
      <c r="T45" s="517">
        <f>INDEX(FS_Q!45:45,MATCH("4Q"&amp;RIGHT(FS_Y!T$5,2),FS_Q!$5:$5,0))</f>
        <v/>
      </c>
      <c r="U45" s="517">
        <f>INDEX(FS_Q!45:45,MATCH("4Q"&amp;RIGHT(FS_Y!U$5,2),FS_Q!$5:$5,0))</f>
        <v/>
      </c>
      <c r="V45" s="517">
        <f>INDEX(FS_Q!45:45,MATCH("4Q"&amp;RIGHT(FS_Y!V$5,2),FS_Q!$5:$5,0))</f>
        <v/>
      </c>
      <c r="W45" s="517">
        <f>INDEX(FS_Q!45:45,MATCH("4Q"&amp;RIGHT(FS_Y!W$5,2),FS_Q!$5:$5,0))</f>
        <v/>
      </c>
      <c r="X45" s="148" t="n"/>
      <c r="Y45" s="148" t="n"/>
      <c r="Z45" s="148" t="n"/>
      <c r="AA45" s="148" t="n"/>
      <c r="AB45" s="148" t="n"/>
      <c r="AC45" s="148" t="n"/>
      <c r="AD45" s="148" t="n"/>
      <c r="AE45" s="148" t="n"/>
      <c r="AF45" s="148" t="n"/>
      <c r="AG45" s="148" t="n"/>
      <c r="AH45" s="148" t="n"/>
      <c r="AI45" s="148" t="n"/>
      <c r="AJ45" s="148" t="n"/>
      <c r="AK45" s="148" t="n"/>
      <c r="AL45" s="148" t="n"/>
      <c r="AM45" s="148" t="n"/>
      <c r="AN45" s="148" t="n"/>
      <c r="AO45" s="148" t="n"/>
      <c r="AP45" s="148" t="n"/>
      <c r="AQ45" s="148" t="n"/>
      <c r="AR45" s="148" t="n"/>
      <c r="AS45" s="148" t="n"/>
    </row>
    <row r="46">
      <c r="A46" s="74">
        <f>FS_Q!A46</f>
        <v/>
      </c>
      <c r="B46" s="143" t="n"/>
      <c r="C46" s="143" t="n"/>
      <c r="D46" s="143" t="n"/>
      <c r="E46" s="517">
        <f>INDEX(FS_Q!46:46,MATCH("4Q"&amp;RIGHT(FS_Y!E$5,2),FS_Q!$5:$5,0))</f>
        <v/>
      </c>
      <c r="F46" s="517">
        <f>INDEX(FS_Q!46:46,MATCH("4Q"&amp;RIGHT(FS_Y!F$5,2),FS_Q!$5:$5,0))</f>
        <v/>
      </c>
      <c r="G46" s="517">
        <f>INDEX(FS_Q!46:46,MATCH("4Q"&amp;RIGHT(FS_Y!G$5,2),FS_Q!$5:$5,0))</f>
        <v/>
      </c>
      <c r="H46" s="517">
        <f>INDEX(FS_Q!46:46,MATCH("4Q"&amp;RIGHT(FS_Y!H$5,2),FS_Q!$5:$5,0))</f>
        <v/>
      </c>
      <c r="I46" s="517">
        <f>INDEX(FS_Q!46:46,MATCH("4Q"&amp;RIGHT(FS_Y!I$5,2),FS_Q!$5:$5,0))</f>
        <v/>
      </c>
      <c r="J46" s="517">
        <f>INDEX(FS_Q!46:46,MATCH("4Q"&amp;RIGHT(FS_Y!J$5,2),FS_Q!$5:$5,0))</f>
        <v/>
      </c>
      <c r="K46" s="517">
        <f>INDEX(FS_Q!46:46,MATCH("4Q"&amp;RIGHT(FS_Y!K$5,2),FS_Q!$5:$5,0))</f>
        <v/>
      </c>
      <c r="L46" s="517">
        <f>INDEX(FS_Q!46:46,MATCH("4Q"&amp;RIGHT(FS_Y!L$5,2),FS_Q!$5:$5,0))</f>
        <v/>
      </c>
      <c r="M46" s="517">
        <f>INDEX(FS_Q!46:46,MATCH("4Q"&amp;RIGHT(FS_Y!M$5,2),FS_Q!$5:$5,0))</f>
        <v/>
      </c>
      <c r="N46" s="517">
        <f>INDEX(FS_Q!46:46,MATCH("4Q"&amp;RIGHT(FS_Y!N$5,2),FS_Q!$5:$5,0))</f>
        <v/>
      </c>
      <c r="O46" s="517">
        <f>INDEX(FS_Q!46:46,MATCH("4Q"&amp;RIGHT(FS_Y!O$5,2),FS_Q!$5:$5,0))</f>
        <v/>
      </c>
      <c r="P46" s="517">
        <f>INDEX(FS_Q!46:46,MATCH("4Q"&amp;RIGHT(FS_Y!P$5,2),FS_Q!$5:$5,0))</f>
        <v/>
      </c>
      <c r="Q46" s="517">
        <f>INDEX(FS_Q!46:46,MATCH("4Q"&amp;RIGHT(FS_Y!Q$5,2),FS_Q!$5:$5,0))</f>
        <v/>
      </c>
      <c r="R46" s="517">
        <f>INDEX(FS_Q!46:46,MATCH("4Q"&amp;RIGHT(FS_Y!R$5,2),FS_Q!$5:$5,0))</f>
        <v/>
      </c>
      <c r="S46" s="517">
        <f>INDEX(FS_Q!46:46,MATCH("4Q"&amp;RIGHT(FS_Y!S$5,2),FS_Q!$5:$5,0))</f>
        <v/>
      </c>
      <c r="T46" s="517">
        <f>INDEX(FS_Q!46:46,MATCH("4Q"&amp;RIGHT(FS_Y!T$5,2),FS_Q!$5:$5,0))</f>
        <v/>
      </c>
      <c r="U46" s="517">
        <f>INDEX(FS_Q!46:46,MATCH("4Q"&amp;RIGHT(FS_Y!U$5,2),FS_Q!$5:$5,0))</f>
        <v/>
      </c>
      <c r="V46" s="517">
        <f>INDEX(FS_Q!46:46,MATCH("4Q"&amp;RIGHT(FS_Y!V$5,2),FS_Q!$5:$5,0))</f>
        <v/>
      </c>
      <c r="W46" s="517">
        <f>INDEX(FS_Q!46:46,MATCH("4Q"&amp;RIGHT(FS_Y!W$5,2),FS_Q!$5:$5,0))</f>
        <v/>
      </c>
      <c r="X46" s="148" t="n"/>
      <c r="Y46" s="148" t="n"/>
      <c r="Z46" s="148" t="n"/>
      <c r="AA46" s="148" t="n"/>
      <c r="AB46" s="148" t="n"/>
      <c r="AC46" s="148" t="n"/>
      <c r="AD46" s="148" t="n"/>
      <c r="AE46" s="148" t="n"/>
      <c r="AF46" s="148" t="n"/>
      <c r="AG46" s="148" t="n"/>
      <c r="AH46" s="148" t="n"/>
      <c r="AI46" s="148" t="n"/>
      <c r="AJ46" s="148" t="n"/>
      <c r="AK46" s="148" t="n"/>
      <c r="AL46" s="148" t="n"/>
      <c r="AM46" s="148" t="n"/>
      <c r="AN46" s="148" t="n"/>
      <c r="AO46" s="148" t="n"/>
      <c r="AP46" s="148" t="n"/>
      <c r="AQ46" s="148" t="n"/>
      <c r="AR46" s="148" t="n"/>
      <c r="AS46" s="148" t="n"/>
    </row>
    <row r="47">
      <c r="A47" s="74">
        <f>FS_Q!A47</f>
        <v/>
      </c>
      <c r="B47" s="143" t="n"/>
      <c r="C47" s="143" t="n"/>
      <c r="D47" s="143" t="n"/>
      <c r="E47" s="517">
        <f>INDEX(FS_Q!47:47,MATCH("4Q"&amp;RIGHT(FS_Y!E$5,2),FS_Q!$5:$5,0))</f>
        <v/>
      </c>
      <c r="F47" s="517">
        <f>INDEX(FS_Q!47:47,MATCH("4Q"&amp;RIGHT(FS_Y!F$5,2),FS_Q!$5:$5,0))</f>
        <v/>
      </c>
      <c r="G47" s="517">
        <f>INDEX(FS_Q!47:47,MATCH("4Q"&amp;RIGHT(FS_Y!G$5,2),FS_Q!$5:$5,0))</f>
        <v/>
      </c>
      <c r="H47" s="517">
        <f>INDEX(FS_Q!47:47,MATCH("4Q"&amp;RIGHT(FS_Y!H$5,2),FS_Q!$5:$5,0))</f>
        <v/>
      </c>
      <c r="I47" s="517">
        <f>INDEX(FS_Q!47:47,MATCH("4Q"&amp;RIGHT(FS_Y!I$5,2),FS_Q!$5:$5,0))</f>
        <v/>
      </c>
      <c r="J47" s="517">
        <f>INDEX(FS_Q!47:47,MATCH("4Q"&amp;RIGHT(FS_Y!J$5,2),FS_Q!$5:$5,0))</f>
        <v/>
      </c>
      <c r="K47" s="517">
        <f>INDEX(FS_Q!47:47,MATCH("4Q"&amp;RIGHT(FS_Y!K$5,2),FS_Q!$5:$5,0))</f>
        <v/>
      </c>
      <c r="L47" s="517">
        <f>INDEX(FS_Q!47:47,MATCH("4Q"&amp;RIGHT(FS_Y!L$5,2),FS_Q!$5:$5,0))</f>
        <v/>
      </c>
      <c r="M47" s="517">
        <f>INDEX(FS_Q!47:47,MATCH("4Q"&amp;RIGHT(FS_Y!M$5,2),FS_Q!$5:$5,0))</f>
        <v/>
      </c>
      <c r="N47" s="517">
        <f>INDEX(FS_Q!47:47,MATCH("4Q"&amp;RIGHT(FS_Y!N$5,2),FS_Q!$5:$5,0))</f>
        <v/>
      </c>
      <c r="O47" s="517">
        <f>INDEX(FS_Q!47:47,MATCH("4Q"&amp;RIGHT(FS_Y!O$5,2),FS_Q!$5:$5,0))</f>
        <v/>
      </c>
      <c r="P47" s="517">
        <f>INDEX(FS_Q!47:47,MATCH("4Q"&amp;RIGHT(FS_Y!P$5,2),FS_Q!$5:$5,0))</f>
        <v/>
      </c>
      <c r="Q47" s="517">
        <f>INDEX(FS_Q!47:47,MATCH("4Q"&amp;RIGHT(FS_Y!Q$5,2),FS_Q!$5:$5,0))</f>
        <v/>
      </c>
      <c r="R47" s="517">
        <f>INDEX(FS_Q!47:47,MATCH("4Q"&amp;RIGHT(FS_Y!R$5,2),FS_Q!$5:$5,0))</f>
        <v/>
      </c>
      <c r="S47" s="517">
        <f>INDEX(FS_Q!47:47,MATCH("4Q"&amp;RIGHT(FS_Y!S$5,2),FS_Q!$5:$5,0))</f>
        <v/>
      </c>
      <c r="T47" s="517">
        <f>INDEX(FS_Q!47:47,MATCH("4Q"&amp;RIGHT(FS_Y!T$5,2),FS_Q!$5:$5,0))</f>
        <v/>
      </c>
      <c r="U47" s="517">
        <f>INDEX(FS_Q!47:47,MATCH("4Q"&amp;RIGHT(FS_Y!U$5,2),FS_Q!$5:$5,0))</f>
        <v/>
      </c>
      <c r="V47" s="517">
        <f>INDEX(FS_Q!47:47,MATCH("4Q"&amp;RIGHT(FS_Y!V$5,2),FS_Q!$5:$5,0))</f>
        <v/>
      </c>
      <c r="W47" s="517">
        <f>INDEX(FS_Q!47:47,MATCH("4Q"&amp;RIGHT(FS_Y!W$5,2),FS_Q!$5:$5,0))</f>
        <v/>
      </c>
      <c r="X47" s="148" t="n"/>
      <c r="Y47" s="148" t="n"/>
      <c r="Z47" s="148" t="n"/>
      <c r="AA47" s="148" t="n"/>
      <c r="AB47" s="148" t="n"/>
      <c r="AC47" s="148" t="n"/>
      <c r="AD47" s="148" t="n"/>
      <c r="AE47" s="148" t="n"/>
      <c r="AF47" s="148" t="n"/>
      <c r="AG47" s="148" t="n"/>
      <c r="AH47" s="148" t="n"/>
      <c r="AI47" s="148" t="n"/>
      <c r="AJ47" s="148" t="n"/>
      <c r="AK47" s="148" t="n"/>
      <c r="AL47" s="148" t="n"/>
      <c r="AM47" s="148" t="n"/>
      <c r="AN47" s="148" t="n"/>
      <c r="AO47" s="148" t="n"/>
      <c r="AP47" s="148" t="n"/>
      <c r="AQ47" s="148" t="n"/>
      <c r="AR47" s="148" t="n"/>
      <c r="AS47" s="148" t="n"/>
    </row>
    <row r="48">
      <c r="A48" s="74">
        <f>FS_Q!A48</f>
        <v/>
      </c>
      <c r="B48" s="143" t="n"/>
      <c r="C48" s="143" t="n"/>
      <c r="D48" s="143" t="n"/>
      <c r="E48" s="517">
        <f>INDEX(FS_Q!48:48,MATCH("4Q"&amp;RIGHT(FS_Y!E$5,2),FS_Q!$5:$5,0))</f>
        <v/>
      </c>
      <c r="F48" s="517">
        <f>INDEX(FS_Q!48:48,MATCH("4Q"&amp;RIGHT(FS_Y!F$5,2),FS_Q!$5:$5,0))</f>
        <v/>
      </c>
      <c r="G48" s="517">
        <f>INDEX(FS_Q!48:48,MATCH("4Q"&amp;RIGHT(FS_Y!G$5,2),FS_Q!$5:$5,0))</f>
        <v/>
      </c>
      <c r="H48" s="517">
        <f>INDEX(FS_Q!48:48,MATCH("4Q"&amp;RIGHT(FS_Y!H$5,2),FS_Q!$5:$5,0))</f>
        <v/>
      </c>
      <c r="I48" s="517">
        <f>INDEX(FS_Q!48:48,MATCH("4Q"&amp;RIGHT(FS_Y!I$5,2),FS_Q!$5:$5,0))</f>
        <v/>
      </c>
      <c r="J48" s="517">
        <f>INDEX(FS_Q!48:48,MATCH("4Q"&amp;RIGHT(FS_Y!J$5,2),FS_Q!$5:$5,0))</f>
        <v/>
      </c>
      <c r="K48" s="517">
        <f>INDEX(FS_Q!48:48,MATCH("4Q"&amp;RIGHT(FS_Y!K$5,2),FS_Q!$5:$5,0))</f>
        <v/>
      </c>
      <c r="L48" s="517">
        <f>INDEX(FS_Q!48:48,MATCH("4Q"&amp;RIGHT(FS_Y!L$5,2),FS_Q!$5:$5,0))</f>
        <v/>
      </c>
      <c r="M48" s="517">
        <f>INDEX(FS_Q!48:48,MATCH("4Q"&amp;RIGHT(FS_Y!M$5,2),FS_Q!$5:$5,0))</f>
        <v/>
      </c>
      <c r="N48" s="517">
        <f>INDEX(FS_Q!48:48,MATCH("4Q"&amp;RIGHT(FS_Y!N$5,2),FS_Q!$5:$5,0))</f>
        <v/>
      </c>
      <c r="O48" s="517">
        <f>INDEX(FS_Q!48:48,MATCH("4Q"&amp;RIGHT(FS_Y!O$5,2),FS_Q!$5:$5,0))</f>
        <v/>
      </c>
      <c r="P48" s="517">
        <f>INDEX(FS_Q!48:48,MATCH("4Q"&amp;RIGHT(FS_Y!P$5,2),FS_Q!$5:$5,0))</f>
        <v/>
      </c>
      <c r="Q48" s="517">
        <f>INDEX(FS_Q!48:48,MATCH("4Q"&amp;RIGHT(FS_Y!Q$5,2),FS_Q!$5:$5,0))</f>
        <v/>
      </c>
      <c r="R48" s="517">
        <f>INDEX(FS_Q!48:48,MATCH("4Q"&amp;RIGHT(FS_Y!R$5,2),FS_Q!$5:$5,0))</f>
        <v/>
      </c>
      <c r="S48" s="517">
        <f>INDEX(FS_Q!48:48,MATCH("4Q"&amp;RIGHT(FS_Y!S$5,2),FS_Q!$5:$5,0))</f>
        <v/>
      </c>
      <c r="T48" s="517">
        <f>INDEX(FS_Q!48:48,MATCH("4Q"&amp;RIGHT(FS_Y!T$5,2),FS_Q!$5:$5,0))</f>
        <v/>
      </c>
      <c r="U48" s="517">
        <f>INDEX(FS_Q!48:48,MATCH("4Q"&amp;RIGHT(FS_Y!U$5,2),FS_Q!$5:$5,0))</f>
        <v/>
      </c>
      <c r="V48" s="517">
        <f>INDEX(FS_Q!48:48,MATCH("4Q"&amp;RIGHT(FS_Y!V$5,2),FS_Q!$5:$5,0))</f>
        <v/>
      </c>
      <c r="W48" s="517">
        <f>INDEX(FS_Q!48:48,MATCH("4Q"&amp;RIGHT(FS_Y!W$5,2),FS_Q!$5:$5,0))</f>
        <v/>
      </c>
      <c r="X48" s="148" t="n"/>
      <c r="Y48" s="148" t="n"/>
      <c r="Z48" s="148" t="n"/>
      <c r="AA48" s="148" t="n"/>
      <c r="AB48" s="148" t="n"/>
      <c r="AC48" s="148" t="n"/>
      <c r="AD48" s="148" t="n"/>
      <c r="AE48" s="148" t="n"/>
      <c r="AF48" s="148" t="n"/>
      <c r="AG48" s="148" t="n"/>
      <c r="AH48" s="148" t="n"/>
      <c r="AI48" s="148" t="n"/>
      <c r="AJ48" s="148" t="n"/>
      <c r="AK48" s="148" t="n"/>
      <c r="AL48" s="148" t="n"/>
      <c r="AM48" s="148" t="n"/>
      <c r="AN48" s="148" t="n"/>
      <c r="AO48" s="148" t="n"/>
      <c r="AP48" s="148" t="n"/>
      <c r="AQ48" s="148" t="n"/>
      <c r="AR48" s="148" t="n"/>
      <c r="AS48" s="148" t="n"/>
    </row>
    <row r="49">
      <c r="A49" s="74">
        <f>FS_Q!A49</f>
        <v/>
      </c>
      <c r="B49" s="143" t="n"/>
      <c r="C49" s="143" t="n"/>
      <c r="D49" s="143" t="n"/>
      <c r="E49" s="517">
        <f>INDEX(FS_Q!49:49,MATCH("4Q"&amp;RIGHT(FS_Y!E$5,2),FS_Q!$5:$5,0))</f>
        <v/>
      </c>
      <c r="F49" s="517">
        <f>INDEX(FS_Q!49:49,MATCH("4Q"&amp;RIGHT(FS_Y!F$5,2),FS_Q!$5:$5,0))</f>
        <v/>
      </c>
      <c r="G49" s="517">
        <f>INDEX(FS_Q!49:49,MATCH("4Q"&amp;RIGHT(FS_Y!G$5,2),FS_Q!$5:$5,0))</f>
        <v/>
      </c>
      <c r="H49" s="517">
        <f>INDEX(FS_Q!49:49,MATCH("4Q"&amp;RIGHT(FS_Y!H$5,2),FS_Q!$5:$5,0))</f>
        <v/>
      </c>
      <c r="I49" s="517">
        <f>INDEX(FS_Q!49:49,MATCH("4Q"&amp;RIGHT(FS_Y!I$5,2),FS_Q!$5:$5,0))</f>
        <v/>
      </c>
      <c r="J49" s="517">
        <f>INDEX(FS_Q!49:49,MATCH("4Q"&amp;RIGHT(FS_Y!J$5,2),FS_Q!$5:$5,0))</f>
        <v/>
      </c>
      <c r="K49" s="517">
        <f>INDEX(FS_Q!49:49,MATCH("4Q"&amp;RIGHT(FS_Y!K$5,2),FS_Q!$5:$5,0))</f>
        <v/>
      </c>
      <c r="L49" s="517">
        <f>INDEX(FS_Q!49:49,MATCH("4Q"&amp;RIGHT(FS_Y!L$5,2),FS_Q!$5:$5,0))</f>
        <v/>
      </c>
      <c r="M49" s="517">
        <f>INDEX(FS_Q!49:49,MATCH("4Q"&amp;RIGHT(FS_Y!M$5,2),FS_Q!$5:$5,0))</f>
        <v/>
      </c>
      <c r="N49" s="517">
        <f>INDEX(FS_Q!49:49,MATCH("4Q"&amp;RIGHT(FS_Y!N$5,2),FS_Q!$5:$5,0))</f>
        <v/>
      </c>
      <c r="O49" s="517">
        <f>INDEX(FS_Q!49:49,MATCH("4Q"&amp;RIGHT(FS_Y!O$5,2),FS_Q!$5:$5,0))</f>
        <v/>
      </c>
      <c r="P49" s="517">
        <f>INDEX(FS_Q!49:49,MATCH("4Q"&amp;RIGHT(FS_Y!P$5,2),FS_Q!$5:$5,0))</f>
        <v/>
      </c>
      <c r="Q49" s="517">
        <f>INDEX(FS_Q!49:49,MATCH("4Q"&amp;RIGHT(FS_Y!Q$5,2),FS_Q!$5:$5,0))</f>
        <v/>
      </c>
      <c r="R49" s="517">
        <f>INDEX(FS_Q!49:49,MATCH("4Q"&amp;RIGHT(FS_Y!R$5,2),FS_Q!$5:$5,0))</f>
        <v/>
      </c>
      <c r="S49" s="517">
        <f>INDEX(FS_Q!49:49,MATCH("4Q"&amp;RIGHT(FS_Y!S$5,2),FS_Q!$5:$5,0))</f>
        <v/>
      </c>
      <c r="T49" s="517">
        <f>INDEX(FS_Q!49:49,MATCH("4Q"&amp;RIGHT(FS_Y!T$5,2),FS_Q!$5:$5,0))</f>
        <v/>
      </c>
      <c r="U49" s="517">
        <f>INDEX(FS_Q!49:49,MATCH("4Q"&amp;RIGHT(FS_Y!U$5,2),FS_Q!$5:$5,0))</f>
        <v/>
      </c>
      <c r="V49" s="517">
        <f>INDEX(FS_Q!49:49,MATCH("4Q"&amp;RIGHT(FS_Y!V$5,2),FS_Q!$5:$5,0))</f>
        <v/>
      </c>
      <c r="W49" s="517">
        <f>INDEX(FS_Q!49:49,MATCH("4Q"&amp;RIGHT(FS_Y!W$5,2),FS_Q!$5:$5,0))</f>
        <v/>
      </c>
      <c r="X49" s="148" t="n"/>
      <c r="Y49" s="148" t="n"/>
      <c r="Z49" s="148" t="n"/>
      <c r="AA49" s="148" t="n"/>
      <c r="AB49" s="148" t="n"/>
      <c r="AC49" s="148" t="n"/>
      <c r="AD49" s="148" t="n"/>
      <c r="AE49" s="148" t="n"/>
      <c r="AF49" s="148" t="n"/>
      <c r="AG49" s="148" t="n"/>
      <c r="AH49" s="148" t="n"/>
      <c r="AI49" s="148" t="n"/>
      <c r="AJ49" s="148" t="n"/>
      <c r="AK49" s="148" t="n"/>
      <c r="AL49" s="148" t="n"/>
      <c r="AM49" s="148" t="n"/>
      <c r="AN49" s="148" t="n"/>
      <c r="AO49" s="148" t="n"/>
      <c r="AP49" s="148" t="n"/>
      <c r="AQ49" s="148" t="n"/>
      <c r="AR49" s="148" t="n"/>
      <c r="AS49" s="148" t="n"/>
    </row>
    <row r="50">
      <c r="A50" s="74">
        <f>FS_Q!A50</f>
        <v/>
      </c>
      <c r="B50" s="143" t="n"/>
      <c r="C50" s="143" t="n"/>
      <c r="D50" s="143" t="n"/>
      <c r="E50" s="517">
        <f>INDEX(FS_Q!50:50,MATCH("4Q"&amp;RIGHT(FS_Y!E$5,2),FS_Q!$5:$5,0))</f>
        <v/>
      </c>
      <c r="F50" s="517">
        <f>INDEX(FS_Q!50:50,MATCH("4Q"&amp;RIGHT(FS_Y!F$5,2),FS_Q!$5:$5,0))</f>
        <v/>
      </c>
      <c r="G50" s="517">
        <f>INDEX(FS_Q!50:50,MATCH("4Q"&amp;RIGHT(FS_Y!G$5,2),FS_Q!$5:$5,0))</f>
        <v/>
      </c>
      <c r="H50" s="517">
        <f>INDEX(FS_Q!50:50,MATCH("4Q"&amp;RIGHT(FS_Y!H$5,2),FS_Q!$5:$5,0))</f>
        <v/>
      </c>
      <c r="I50" s="517">
        <f>INDEX(FS_Q!50:50,MATCH("4Q"&amp;RIGHT(FS_Y!I$5,2),FS_Q!$5:$5,0))</f>
        <v/>
      </c>
      <c r="J50" s="517">
        <f>INDEX(FS_Q!50:50,MATCH("4Q"&amp;RIGHT(FS_Y!J$5,2),FS_Q!$5:$5,0))</f>
        <v/>
      </c>
      <c r="K50" s="517">
        <f>INDEX(FS_Q!50:50,MATCH("4Q"&amp;RIGHT(FS_Y!K$5,2),FS_Q!$5:$5,0))</f>
        <v/>
      </c>
      <c r="L50" s="517">
        <f>INDEX(FS_Q!50:50,MATCH("4Q"&amp;RIGHT(FS_Y!L$5,2),FS_Q!$5:$5,0))</f>
        <v/>
      </c>
      <c r="M50" s="517">
        <f>INDEX(FS_Q!50:50,MATCH("4Q"&amp;RIGHT(FS_Y!M$5,2),FS_Q!$5:$5,0))</f>
        <v/>
      </c>
      <c r="N50" s="517">
        <f>INDEX(FS_Q!50:50,MATCH("4Q"&amp;RIGHT(FS_Y!N$5,2),FS_Q!$5:$5,0))</f>
        <v/>
      </c>
      <c r="O50" s="517">
        <f>INDEX(FS_Q!50:50,MATCH("4Q"&amp;RIGHT(FS_Y!O$5,2),FS_Q!$5:$5,0))</f>
        <v/>
      </c>
      <c r="P50" s="517">
        <f>INDEX(FS_Q!50:50,MATCH("4Q"&amp;RIGHT(FS_Y!P$5,2),FS_Q!$5:$5,0))</f>
        <v/>
      </c>
      <c r="Q50" s="517">
        <f>INDEX(FS_Q!50:50,MATCH("4Q"&amp;RIGHT(FS_Y!Q$5,2),FS_Q!$5:$5,0))</f>
        <v/>
      </c>
      <c r="R50" s="517">
        <f>INDEX(FS_Q!50:50,MATCH("4Q"&amp;RIGHT(FS_Y!R$5,2),FS_Q!$5:$5,0))</f>
        <v/>
      </c>
      <c r="S50" s="517">
        <f>INDEX(FS_Q!50:50,MATCH("4Q"&amp;RIGHT(FS_Y!S$5,2),FS_Q!$5:$5,0))</f>
        <v/>
      </c>
      <c r="T50" s="517">
        <f>INDEX(FS_Q!50:50,MATCH("4Q"&amp;RIGHT(FS_Y!T$5,2),FS_Q!$5:$5,0))</f>
        <v/>
      </c>
      <c r="U50" s="517">
        <f>INDEX(FS_Q!50:50,MATCH("4Q"&amp;RIGHT(FS_Y!U$5,2),FS_Q!$5:$5,0))</f>
        <v/>
      </c>
      <c r="V50" s="517">
        <f>INDEX(FS_Q!50:50,MATCH("4Q"&amp;RIGHT(FS_Y!V$5,2),FS_Q!$5:$5,0))</f>
        <v/>
      </c>
      <c r="W50" s="517">
        <f>INDEX(FS_Q!50:50,MATCH("4Q"&amp;RIGHT(FS_Y!W$5,2),FS_Q!$5:$5,0))</f>
        <v/>
      </c>
      <c r="X50" s="148" t="n"/>
      <c r="Y50" s="148" t="n"/>
      <c r="Z50" s="148" t="n"/>
      <c r="AA50" s="148" t="n"/>
      <c r="AB50" s="148" t="n"/>
      <c r="AC50" s="148" t="n"/>
      <c r="AD50" s="148" t="n"/>
      <c r="AE50" s="148" t="n"/>
      <c r="AF50" s="148" t="n"/>
      <c r="AG50" s="148" t="n"/>
      <c r="AH50" s="148" t="n"/>
      <c r="AI50" s="148" t="n"/>
      <c r="AJ50" s="148" t="n"/>
      <c r="AK50" s="148" t="n"/>
      <c r="AL50" s="148" t="n"/>
      <c r="AM50" s="148" t="n"/>
      <c r="AN50" s="148" t="n"/>
      <c r="AO50" s="148" t="n"/>
      <c r="AP50" s="148" t="n"/>
      <c r="AQ50" s="148" t="n"/>
      <c r="AR50" s="148" t="n"/>
      <c r="AS50" s="148" t="n"/>
    </row>
    <row r="51">
      <c r="A51" s="40">
        <f>FS_Q!A51</f>
        <v/>
      </c>
      <c r="B51" s="147" t="n"/>
      <c r="C51" s="147" t="n"/>
      <c r="D51" s="147" t="n"/>
      <c r="E51" s="519">
        <f>INDEX(FS_Q!51:51,MATCH("4Q"&amp;RIGHT(FS_Y!E$5,2),FS_Q!$5:$5,0))</f>
        <v/>
      </c>
      <c r="F51" s="519">
        <f>INDEX(FS_Q!51:51,MATCH("4Q"&amp;RIGHT(FS_Y!F$5,2),FS_Q!$5:$5,0))</f>
        <v/>
      </c>
      <c r="G51" s="519">
        <f>INDEX(FS_Q!51:51,MATCH("4Q"&amp;RIGHT(FS_Y!G$5,2),FS_Q!$5:$5,0))</f>
        <v/>
      </c>
      <c r="H51" s="519">
        <f>INDEX(FS_Q!51:51,MATCH("4Q"&amp;RIGHT(FS_Y!H$5,2),FS_Q!$5:$5,0))</f>
        <v/>
      </c>
      <c r="I51" s="519">
        <f>INDEX(FS_Q!51:51,MATCH("4Q"&amp;RIGHT(FS_Y!I$5,2),FS_Q!$5:$5,0))</f>
        <v/>
      </c>
      <c r="J51" s="519">
        <f>INDEX(FS_Q!51:51,MATCH("4Q"&amp;RIGHT(FS_Y!J$5,2),FS_Q!$5:$5,0))</f>
        <v/>
      </c>
      <c r="K51" s="519">
        <f>INDEX(FS_Q!51:51,MATCH("4Q"&amp;RIGHT(FS_Y!K$5,2),FS_Q!$5:$5,0))</f>
        <v/>
      </c>
      <c r="L51" s="519">
        <f>INDEX(FS_Q!51:51,MATCH("4Q"&amp;RIGHT(FS_Y!L$5,2),FS_Q!$5:$5,0))</f>
        <v/>
      </c>
      <c r="M51" s="519">
        <f>INDEX(FS_Q!51:51,MATCH("4Q"&amp;RIGHT(FS_Y!M$5,2),FS_Q!$5:$5,0))</f>
        <v/>
      </c>
      <c r="N51" s="519">
        <f>INDEX(FS_Q!51:51,MATCH("4Q"&amp;RIGHT(FS_Y!N$5,2),FS_Q!$5:$5,0))</f>
        <v/>
      </c>
      <c r="O51" s="519">
        <f>INDEX(FS_Q!51:51,MATCH("4Q"&amp;RIGHT(FS_Y!O$5,2),FS_Q!$5:$5,0))</f>
        <v/>
      </c>
      <c r="P51" s="519">
        <f>INDEX(FS_Q!51:51,MATCH("4Q"&amp;RIGHT(FS_Y!P$5,2),FS_Q!$5:$5,0))</f>
        <v/>
      </c>
      <c r="Q51" s="519">
        <f>INDEX(FS_Q!51:51,MATCH("4Q"&amp;RIGHT(FS_Y!Q$5,2),FS_Q!$5:$5,0))</f>
        <v/>
      </c>
      <c r="R51" s="519">
        <f>INDEX(FS_Q!51:51,MATCH("4Q"&amp;RIGHT(FS_Y!R$5,2),FS_Q!$5:$5,0))</f>
        <v/>
      </c>
      <c r="S51" s="519">
        <f>INDEX(FS_Q!51:51,MATCH("4Q"&amp;RIGHT(FS_Y!S$5,2),FS_Q!$5:$5,0))</f>
        <v/>
      </c>
      <c r="T51" s="519">
        <f>INDEX(FS_Q!51:51,MATCH("4Q"&amp;RIGHT(FS_Y!T$5,2),FS_Q!$5:$5,0))</f>
        <v/>
      </c>
      <c r="U51" s="519">
        <f>INDEX(FS_Q!51:51,MATCH("4Q"&amp;RIGHT(FS_Y!U$5,2),FS_Q!$5:$5,0))</f>
        <v/>
      </c>
      <c r="V51" s="519">
        <f>INDEX(FS_Q!51:51,MATCH("4Q"&amp;RIGHT(FS_Y!V$5,2),FS_Q!$5:$5,0))</f>
        <v/>
      </c>
      <c r="W51" s="519">
        <f>INDEX(FS_Q!51:51,MATCH("4Q"&amp;RIGHT(FS_Y!W$5,2),FS_Q!$5:$5,0))</f>
        <v/>
      </c>
      <c r="X51" s="131" t="n"/>
      <c r="Y51" s="131" t="n"/>
      <c r="Z51" s="131" t="n"/>
      <c r="AA51" s="131" t="n"/>
      <c r="AB51" s="131" t="n"/>
      <c r="AC51" s="131" t="n"/>
      <c r="AD51" s="131" t="n"/>
      <c r="AE51" s="131" t="n"/>
      <c r="AF51" s="131" t="n"/>
      <c r="AG51" s="131" t="n"/>
      <c r="AH51" s="131" t="n"/>
      <c r="AI51" s="131" t="n"/>
      <c r="AJ51" s="131" t="n"/>
      <c r="AK51" s="131" t="n"/>
      <c r="AL51" s="131" t="n"/>
      <c r="AM51" s="131" t="n"/>
      <c r="AN51" s="131" t="n"/>
      <c r="AO51" s="131" t="n"/>
      <c r="AP51" s="131" t="n"/>
      <c r="AQ51" s="131" t="n"/>
      <c r="AR51" s="131" t="n"/>
      <c r="AS51" s="131" t="n"/>
    </row>
    <row r="52" customFormat="1" s="283">
      <c r="A52" s="74">
        <f>FS_Q!A52</f>
        <v/>
      </c>
      <c r="B52" s="382" t="n"/>
      <c r="C52" s="382" t="n"/>
      <c r="D52" s="382" t="n"/>
      <c r="E52" s="517">
        <f>INDEX(FS_Q!52:52,MATCH("4Q"&amp;RIGHT(FS_Y!E$5,2),FS_Q!$5:$5,0))</f>
        <v/>
      </c>
      <c r="F52" s="517">
        <f>INDEX(FS_Q!52:52,MATCH("4Q"&amp;RIGHT(FS_Y!F$5,2),FS_Q!$5:$5,0))</f>
        <v/>
      </c>
      <c r="G52" s="517">
        <f>INDEX(FS_Q!52:52,MATCH("4Q"&amp;RIGHT(FS_Y!G$5,2),FS_Q!$5:$5,0))</f>
        <v/>
      </c>
      <c r="H52" s="517">
        <f>INDEX(FS_Q!52:52,MATCH("4Q"&amp;RIGHT(FS_Y!H$5,2),FS_Q!$5:$5,0))</f>
        <v/>
      </c>
      <c r="I52" s="517">
        <f>INDEX(FS_Q!52:52,MATCH("4Q"&amp;RIGHT(FS_Y!I$5,2),FS_Q!$5:$5,0))</f>
        <v/>
      </c>
      <c r="J52" s="517">
        <f>INDEX(FS_Q!52:52,MATCH("4Q"&amp;RIGHT(FS_Y!J$5,2),FS_Q!$5:$5,0))</f>
        <v/>
      </c>
      <c r="K52" s="517">
        <f>INDEX(FS_Q!52:52,MATCH("4Q"&amp;RIGHT(FS_Y!K$5,2),FS_Q!$5:$5,0))</f>
        <v/>
      </c>
      <c r="L52" s="517">
        <f>INDEX(FS_Q!52:52,MATCH("4Q"&amp;RIGHT(FS_Y!L$5,2),FS_Q!$5:$5,0))</f>
        <v/>
      </c>
      <c r="M52" s="517">
        <f>INDEX(FS_Q!52:52,MATCH("4Q"&amp;RIGHT(FS_Y!M$5,2),FS_Q!$5:$5,0))</f>
        <v/>
      </c>
      <c r="N52" s="517">
        <f>INDEX(FS_Q!52:52,MATCH("4Q"&amp;RIGHT(FS_Y!N$5,2),FS_Q!$5:$5,0))</f>
        <v/>
      </c>
      <c r="O52" s="517">
        <f>INDEX(FS_Q!52:52,MATCH("4Q"&amp;RIGHT(FS_Y!O$5,2),FS_Q!$5:$5,0))</f>
        <v/>
      </c>
      <c r="P52" s="517">
        <f>INDEX(FS_Q!52:52,MATCH("4Q"&amp;RIGHT(FS_Y!P$5,2),FS_Q!$5:$5,0))</f>
        <v/>
      </c>
      <c r="Q52" s="517">
        <f>INDEX(FS_Q!52:52,MATCH("4Q"&amp;RIGHT(FS_Y!Q$5,2),FS_Q!$5:$5,0))</f>
        <v/>
      </c>
      <c r="R52" s="517">
        <f>INDEX(FS_Q!52:52,MATCH("4Q"&amp;RIGHT(FS_Y!R$5,2),FS_Q!$5:$5,0))</f>
        <v/>
      </c>
      <c r="S52" s="517">
        <f>INDEX(FS_Q!52:52,MATCH("4Q"&amp;RIGHT(FS_Y!S$5,2),FS_Q!$5:$5,0))</f>
        <v/>
      </c>
      <c r="T52" s="517">
        <f>INDEX(FS_Q!52:52,MATCH("4Q"&amp;RIGHT(FS_Y!T$5,2),FS_Q!$5:$5,0))</f>
        <v/>
      </c>
      <c r="U52" s="517">
        <f>INDEX(FS_Q!52:52,MATCH("4Q"&amp;RIGHT(FS_Y!U$5,2),FS_Q!$5:$5,0))</f>
        <v/>
      </c>
      <c r="V52" s="517">
        <f>INDEX(FS_Q!52:52,MATCH("4Q"&amp;RIGHT(FS_Y!V$5,2),FS_Q!$5:$5,0))</f>
        <v/>
      </c>
      <c r="W52" s="517">
        <f>INDEX(FS_Q!52:52,MATCH("4Q"&amp;RIGHT(FS_Y!W$5,2),FS_Q!$5:$5,0))</f>
        <v/>
      </c>
      <c r="X52" s="382" t="n"/>
      <c r="Y52" s="382" t="n"/>
      <c r="Z52" s="382" t="n"/>
      <c r="AA52" s="382" t="n"/>
      <c r="AB52" s="382" t="n"/>
      <c r="AC52" s="382" t="n"/>
      <c r="AD52" s="382" t="n"/>
      <c r="AE52" s="382" t="n"/>
      <c r="AF52" s="382" t="n"/>
      <c r="AG52" s="382" t="n"/>
      <c r="AH52" s="382" t="n"/>
      <c r="AI52" s="382" t="n"/>
      <c r="AJ52" s="382" t="n"/>
      <c r="AK52" s="382" t="n"/>
      <c r="AL52" s="382" t="n"/>
      <c r="AM52" s="382" t="n"/>
      <c r="AN52" s="382" t="n"/>
      <c r="AO52" s="382" t="n"/>
      <c r="AP52" s="382" t="n"/>
      <c r="AQ52" s="382" t="n"/>
      <c r="AR52" s="382" t="n"/>
      <c r="AS52" s="382" t="n"/>
    </row>
    <row r="53">
      <c r="A53" s="74">
        <f>FS_Q!A53</f>
        <v/>
      </c>
      <c r="B53" s="148" t="n"/>
      <c r="C53" s="148" t="n"/>
      <c r="D53" s="148" t="n"/>
      <c r="E53" s="517">
        <f>INDEX(FS_Q!53:53,MATCH("4Q"&amp;RIGHT(FS_Y!E$5,2),FS_Q!$5:$5,0))</f>
        <v/>
      </c>
      <c r="F53" s="517">
        <f>INDEX(FS_Q!53:53,MATCH("4Q"&amp;RIGHT(FS_Y!F$5,2),FS_Q!$5:$5,0))</f>
        <v/>
      </c>
      <c r="G53" s="517">
        <f>INDEX(FS_Q!53:53,MATCH("4Q"&amp;RIGHT(FS_Y!G$5,2),FS_Q!$5:$5,0))</f>
        <v/>
      </c>
      <c r="H53" s="517">
        <f>INDEX(FS_Q!53:53,MATCH("4Q"&amp;RIGHT(FS_Y!H$5,2),FS_Q!$5:$5,0))</f>
        <v/>
      </c>
      <c r="I53" s="517">
        <f>INDEX(FS_Q!53:53,MATCH("4Q"&amp;RIGHT(FS_Y!I$5,2),FS_Q!$5:$5,0))</f>
        <v/>
      </c>
      <c r="J53" s="517">
        <f>INDEX(FS_Q!53:53,MATCH("4Q"&amp;RIGHT(FS_Y!J$5,2),FS_Q!$5:$5,0))</f>
        <v/>
      </c>
      <c r="K53" s="517">
        <f>INDEX(FS_Q!53:53,MATCH("4Q"&amp;RIGHT(FS_Y!K$5,2),FS_Q!$5:$5,0))</f>
        <v/>
      </c>
      <c r="L53" s="517">
        <f>INDEX(FS_Q!53:53,MATCH("4Q"&amp;RIGHT(FS_Y!L$5,2),FS_Q!$5:$5,0))</f>
        <v/>
      </c>
      <c r="M53" s="517">
        <f>INDEX(FS_Q!53:53,MATCH("4Q"&amp;RIGHT(FS_Y!M$5,2),FS_Q!$5:$5,0))</f>
        <v/>
      </c>
      <c r="N53" s="517">
        <f>INDEX(FS_Q!53:53,MATCH("4Q"&amp;RIGHT(FS_Y!N$5,2),FS_Q!$5:$5,0))</f>
        <v/>
      </c>
      <c r="O53" s="517">
        <f>INDEX(FS_Q!53:53,MATCH("4Q"&amp;RIGHT(FS_Y!O$5,2),FS_Q!$5:$5,0))</f>
        <v/>
      </c>
      <c r="P53" s="517">
        <f>INDEX(FS_Q!53:53,MATCH("4Q"&amp;RIGHT(FS_Y!P$5,2),FS_Q!$5:$5,0))</f>
        <v/>
      </c>
      <c r="Q53" s="517">
        <f>INDEX(FS_Q!53:53,MATCH("4Q"&amp;RIGHT(FS_Y!Q$5,2),FS_Q!$5:$5,0))</f>
        <v/>
      </c>
      <c r="R53" s="517">
        <f>INDEX(FS_Q!53:53,MATCH("4Q"&amp;RIGHT(FS_Y!R$5,2),FS_Q!$5:$5,0))</f>
        <v/>
      </c>
      <c r="S53" s="517">
        <f>INDEX(FS_Q!53:53,MATCH("4Q"&amp;RIGHT(FS_Y!S$5,2),FS_Q!$5:$5,0))</f>
        <v/>
      </c>
      <c r="T53" s="517">
        <f>INDEX(FS_Q!53:53,MATCH("4Q"&amp;RIGHT(FS_Y!T$5,2),FS_Q!$5:$5,0))</f>
        <v/>
      </c>
      <c r="U53" s="517">
        <f>INDEX(FS_Q!53:53,MATCH("4Q"&amp;RIGHT(FS_Y!U$5,2),FS_Q!$5:$5,0))</f>
        <v/>
      </c>
      <c r="V53" s="517">
        <f>INDEX(FS_Q!53:53,MATCH("4Q"&amp;RIGHT(FS_Y!V$5,2),FS_Q!$5:$5,0))</f>
        <v/>
      </c>
      <c r="W53" s="517">
        <f>INDEX(FS_Q!53:53,MATCH("4Q"&amp;RIGHT(FS_Y!W$5,2),FS_Q!$5:$5,0))</f>
        <v/>
      </c>
      <c r="X53" s="148" t="n"/>
      <c r="Y53" s="148" t="n"/>
      <c r="Z53" s="148" t="n"/>
      <c r="AA53" s="148" t="n"/>
      <c r="AB53" s="148" t="n"/>
      <c r="AC53" s="148" t="n"/>
      <c r="AD53" s="148" t="n"/>
      <c r="AE53" s="148" t="n"/>
      <c r="AF53" s="148" t="n"/>
      <c r="AG53" s="148" t="n"/>
      <c r="AH53" s="148" t="n"/>
      <c r="AI53" s="148" t="n"/>
      <c r="AJ53" s="148" t="n"/>
      <c r="AK53" s="148" t="n"/>
      <c r="AL53" s="148" t="n"/>
      <c r="AM53" s="148" t="n"/>
      <c r="AN53" s="148" t="n"/>
      <c r="AO53" s="148" t="n"/>
      <c r="AP53" s="148" t="n"/>
      <c r="AQ53" s="148" t="n"/>
      <c r="AR53" s="148" t="n"/>
      <c r="AS53" s="148" t="n"/>
    </row>
    <row r="54">
      <c r="A54" s="74">
        <f>FS_Q!A54</f>
        <v/>
      </c>
      <c r="B54" s="143" t="n"/>
      <c r="C54" s="143" t="n"/>
      <c r="D54" s="143" t="n"/>
      <c r="E54" s="517">
        <f>INDEX(FS_Q!54:54,MATCH("4Q"&amp;RIGHT(FS_Y!E$5,2),FS_Q!$5:$5,0))</f>
        <v/>
      </c>
      <c r="F54" s="517">
        <f>INDEX(FS_Q!54:54,MATCH("4Q"&amp;RIGHT(FS_Y!F$5,2),FS_Q!$5:$5,0))</f>
        <v/>
      </c>
      <c r="G54" s="517">
        <f>INDEX(FS_Q!54:54,MATCH("4Q"&amp;RIGHT(FS_Y!G$5,2),FS_Q!$5:$5,0))</f>
        <v/>
      </c>
      <c r="H54" s="517">
        <f>INDEX(FS_Q!54:54,MATCH("4Q"&amp;RIGHT(FS_Y!H$5,2),FS_Q!$5:$5,0))</f>
        <v/>
      </c>
      <c r="I54" s="517">
        <f>INDEX(FS_Q!54:54,MATCH("4Q"&amp;RIGHT(FS_Y!I$5,2),FS_Q!$5:$5,0))</f>
        <v/>
      </c>
      <c r="J54" s="517">
        <f>INDEX(FS_Q!54:54,MATCH("4Q"&amp;RIGHT(FS_Y!J$5,2),FS_Q!$5:$5,0))</f>
        <v/>
      </c>
      <c r="K54" s="517">
        <f>INDEX(FS_Q!54:54,MATCH("4Q"&amp;RIGHT(FS_Y!K$5,2),FS_Q!$5:$5,0))</f>
        <v/>
      </c>
      <c r="L54" s="517">
        <f>INDEX(FS_Q!54:54,MATCH("4Q"&amp;RIGHT(FS_Y!L$5,2),FS_Q!$5:$5,0))</f>
        <v/>
      </c>
      <c r="M54" s="517">
        <f>INDEX(FS_Q!54:54,MATCH("4Q"&amp;RIGHT(FS_Y!M$5,2),FS_Q!$5:$5,0))</f>
        <v/>
      </c>
      <c r="N54" s="517">
        <f>INDEX(FS_Q!54:54,MATCH("4Q"&amp;RIGHT(FS_Y!N$5,2),FS_Q!$5:$5,0))</f>
        <v/>
      </c>
      <c r="O54" s="517">
        <f>INDEX(FS_Q!54:54,MATCH("4Q"&amp;RIGHT(FS_Y!O$5,2),FS_Q!$5:$5,0))</f>
        <v/>
      </c>
      <c r="P54" s="517">
        <f>INDEX(FS_Q!54:54,MATCH("4Q"&amp;RIGHT(FS_Y!P$5,2),FS_Q!$5:$5,0))</f>
        <v/>
      </c>
      <c r="Q54" s="517">
        <f>INDEX(FS_Q!54:54,MATCH("4Q"&amp;RIGHT(FS_Y!Q$5,2),FS_Q!$5:$5,0))</f>
        <v/>
      </c>
      <c r="R54" s="517">
        <f>INDEX(FS_Q!54:54,MATCH("4Q"&amp;RIGHT(FS_Y!R$5,2),FS_Q!$5:$5,0))</f>
        <v/>
      </c>
      <c r="S54" s="517">
        <f>INDEX(FS_Q!54:54,MATCH("4Q"&amp;RIGHT(FS_Y!S$5,2),FS_Q!$5:$5,0))</f>
        <v/>
      </c>
      <c r="T54" s="517">
        <f>INDEX(FS_Q!54:54,MATCH("4Q"&amp;RIGHT(FS_Y!T$5,2),FS_Q!$5:$5,0))</f>
        <v/>
      </c>
      <c r="U54" s="517">
        <f>INDEX(FS_Q!54:54,MATCH("4Q"&amp;RIGHT(FS_Y!U$5,2),FS_Q!$5:$5,0))</f>
        <v/>
      </c>
      <c r="V54" s="517">
        <f>INDEX(FS_Q!54:54,MATCH("4Q"&amp;RIGHT(FS_Y!V$5,2),FS_Q!$5:$5,0))</f>
        <v/>
      </c>
      <c r="W54" s="517">
        <f>INDEX(FS_Q!54:54,MATCH("4Q"&amp;RIGHT(FS_Y!W$5,2),FS_Q!$5:$5,0))</f>
        <v/>
      </c>
      <c r="X54" s="131" t="n"/>
      <c r="Y54" s="131" t="n"/>
      <c r="Z54" s="131" t="n"/>
      <c r="AA54" s="131" t="n"/>
      <c r="AB54" s="131" t="n"/>
      <c r="AC54" s="131" t="n"/>
      <c r="AD54" s="131" t="n"/>
      <c r="AE54" s="131" t="n"/>
      <c r="AF54" s="131" t="n"/>
      <c r="AG54" s="131" t="n"/>
      <c r="AH54" s="131" t="n"/>
      <c r="AI54" s="131" t="n"/>
      <c r="AJ54" s="131" t="n"/>
      <c r="AK54" s="131" t="n"/>
      <c r="AL54" s="131" t="n"/>
      <c r="AM54" s="131" t="n"/>
      <c r="AN54" s="131" t="n"/>
      <c r="AO54" s="131" t="n"/>
      <c r="AP54" s="131" t="n"/>
      <c r="AQ54" s="131" t="n"/>
      <c r="AR54" s="131" t="n"/>
      <c r="AS54" s="131" t="n"/>
    </row>
    <row r="55">
      <c r="A55" s="74">
        <f>FS_Q!A55</f>
        <v/>
      </c>
      <c r="B55" s="143" t="n"/>
      <c r="C55" s="143" t="n"/>
      <c r="D55" s="143" t="n"/>
      <c r="E55" s="517">
        <f>INDEX(FS_Q!55:55,MATCH("4Q"&amp;RIGHT(FS_Y!E$5,2),FS_Q!$5:$5,0))</f>
        <v/>
      </c>
      <c r="F55" s="517">
        <f>INDEX(FS_Q!55:55,MATCH("4Q"&amp;RIGHT(FS_Y!F$5,2),FS_Q!$5:$5,0))</f>
        <v/>
      </c>
      <c r="G55" s="517">
        <f>INDEX(FS_Q!55:55,MATCH("4Q"&amp;RIGHT(FS_Y!G$5,2),FS_Q!$5:$5,0))</f>
        <v/>
      </c>
      <c r="H55" s="517">
        <f>INDEX(FS_Q!55:55,MATCH("4Q"&amp;RIGHT(FS_Y!H$5,2),FS_Q!$5:$5,0))</f>
        <v/>
      </c>
      <c r="I55" s="517">
        <f>INDEX(FS_Q!55:55,MATCH("4Q"&amp;RIGHT(FS_Y!I$5,2),FS_Q!$5:$5,0))</f>
        <v/>
      </c>
      <c r="J55" s="517">
        <f>INDEX(FS_Q!55:55,MATCH("4Q"&amp;RIGHT(FS_Y!J$5,2),FS_Q!$5:$5,0))</f>
        <v/>
      </c>
      <c r="K55" s="517">
        <f>INDEX(FS_Q!55:55,MATCH("4Q"&amp;RIGHT(FS_Y!K$5,2),FS_Q!$5:$5,0))</f>
        <v/>
      </c>
      <c r="L55" s="517">
        <f>INDEX(FS_Q!55:55,MATCH("4Q"&amp;RIGHT(FS_Y!L$5,2),FS_Q!$5:$5,0))</f>
        <v/>
      </c>
      <c r="M55" s="517">
        <f>INDEX(FS_Q!55:55,MATCH("4Q"&amp;RIGHT(FS_Y!M$5,2),FS_Q!$5:$5,0))</f>
        <v/>
      </c>
      <c r="N55" s="517">
        <f>INDEX(FS_Q!55:55,MATCH("4Q"&amp;RIGHT(FS_Y!N$5,2),FS_Q!$5:$5,0))</f>
        <v/>
      </c>
      <c r="O55" s="517">
        <f>INDEX(FS_Q!55:55,MATCH("4Q"&amp;RIGHT(FS_Y!O$5,2),FS_Q!$5:$5,0))</f>
        <v/>
      </c>
      <c r="P55" s="517">
        <f>INDEX(FS_Q!55:55,MATCH("4Q"&amp;RIGHT(FS_Y!P$5,2),FS_Q!$5:$5,0))</f>
        <v/>
      </c>
      <c r="Q55" s="517">
        <f>INDEX(FS_Q!55:55,MATCH("4Q"&amp;RIGHT(FS_Y!Q$5,2),FS_Q!$5:$5,0))</f>
        <v/>
      </c>
      <c r="R55" s="517">
        <f>INDEX(FS_Q!55:55,MATCH("4Q"&amp;RIGHT(FS_Y!R$5,2),FS_Q!$5:$5,0))</f>
        <v/>
      </c>
      <c r="S55" s="517">
        <f>INDEX(FS_Q!55:55,MATCH("4Q"&amp;RIGHT(FS_Y!S$5,2),FS_Q!$5:$5,0))</f>
        <v/>
      </c>
      <c r="T55" s="517">
        <f>INDEX(FS_Q!55:55,MATCH("4Q"&amp;RIGHT(FS_Y!T$5,2),FS_Q!$5:$5,0))</f>
        <v/>
      </c>
      <c r="U55" s="517">
        <f>INDEX(FS_Q!55:55,MATCH("4Q"&amp;RIGHT(FS_Y!U$5,2),FS_Q!$5:$5,0))</f>
        <v/>
      </c>
      <c r="V55" s="517">
        <f>INDEX(FS_Q!55:55,MATCH("4Q"&amp;RIGHT(FS_Y!V$5,2),FS_Q!$5:$5,0))</f>
        <v/>
      </c>
      <c r="W55" s="517">
        <f>INDEX(FS_Q!55:55,MATCH("4Q"&amp;RIGHT(FS_Y!W$5,2),FS_Q!$5:$5,0))</f>
        <v/>
      </c>
      <c r="X55" s="190" t="n"/>
      <c r="Y55" s="190" t="n"/>
      <c r="Z55" s="190" t="n"/>
      <c r="AA55" s="190" t="n"/>
      <c r="AB55" s="190" t="n"/>
      <c r="AC55" s="190" t="n"/>
      <c r="AD55" s="190" t="n"/>
      <c r="AE55" s="190" t="n"/>
      <c r="AF55" s="190" t="n"/>
      <c r="AG55" s="190" t="n"/>
    </row>
    <row r="56">
      <c r="A56" s="22">
        <f>FS_Q!A56</f>
        <v/>
      </c>
      <c r="B56" s="143" t="n"/>
      <c r="C56" s="143" t="n"/>
      <c r="D56" s="143" t="n"/>
      <c r="E56" s="519">
        <f>INDEX(FS_Q!56:56,MATCH("4Q"&amp;RIGHT(FS_Y!E$5,2),FS_Q!$5:$5,0))</f>
        <v/>
      </c>
      <c r="F56" s="519">
        <f>INDEX(FS_Q!56:56,MATCH("4Q"&amp;RIGHT(FS_Y!F$5,2),FS_Q!$5:$5,0))</f>
        <v/>
      </c>
      <c r="G56" s="519">
        <f>INDEX(FS_Q!56:56,MATCH("4Q"&amp;RIGHT(FS_Y!G$5,2),FS_Q!$5:$5,0))</f>
        <v/>
      </c>
      <c r="H56" s="519">
        <f>INDEX(FS_Q!56:56,MATCH("4Q"&amp;RIGHT(FS_Y!H$5,2),FS_Q!$5:$5,0))</f>
        <v/>
      </c>
      <c r="I56" s="519">
        <f>INDEX(FS_Q!56:56,MATCH("4Q"&amp;RIGHT(FS_Y!I$5,2),FS_Q!$5:$5,0))</f>
        <v/>
      </c>
      <c r="J56" s="519">
        <f>INDEX(FS_Q!56:56,MATCH("4Q"&amp;RIGHT(FS_Y!J$5,2),FS_Q!$5:$5,0))</f>
        <v/>
      </c>
      <c r="K56" s="519">
        <f>INDEX(FS_Q!56:56,MATCH("4Q"&amp;RIGHT(FS_Y!K$5,2),FS_Q!$5:$5,0))</f>
        <v/>
      </c>
      <c r="L56" s="519">
        <f>INDEX(FS_Q!56:56,MATCH("4Q"&amp;RIGHT(FS_Y!L$5,2),FS_Q!$5:$5,0))</f>
        <v/>
      </c>
      <c r="M56" s="519">
        <f>INDEX(FS_Q!56:56,MATCH("4Q"&amp;RIGHT(FS_Y!M$5,2),FS_Q!$5:$5,0))</f>
        <v/>
      </c>
      <c r="N56" s="519">
        <f>INDEX(FS_Q!56:56,MATCH("4Q"&amp;RIGHT(FS_Y!N$5,2),FS_Q!$5:$5,0))</f>
        <v/>
      </c>
      <c r="O56" s="519">
        <f>INDEX(FS_Q!56:56,MATCH("4Q"&amp;RIGHT(FS_Y!O$5,2),FS_Q!$5:$5,0))</f>
        <v/>
      </c>
      <c r="P56" s="519">
        <f>INDEX(FS_Q!56:56,MATCH("4Q"&amp;RIGHT(FS_Y!P$5,2),FS_Q!$5:$5,0))</f>
        <v/>
      </c>
      <c r="Q56" s="519">
        <f>INDEX(FS_Q!56:56,MATCH("4Q"&amp;RIGHT(FS_Y!Q$5,2),FS_Q!$5:$5,0))</f>
        <v/>
      </c>
      <c r="R56" s="519">
        <f>INDEX(FS_Q!56:56,MATCH("4Q"&amp;RIGHT(FS_Y!R$5,2),FS_Q!$5:$5,0))</f>
        <v/>
      </c>
      <c r="S56" s="519">
        <f>INDEX(FS_Q!56:56,MATCH("4Q"&amp;RIGHT(FS_Y!S$5,2),FS_Q!$5:$5,0))</f>
        <v/>
      </c>
      <c r="T56" s="519">
        <f>INDEX(FS_Q!56:56,MATCH("4Q"&amp;RIGHT(FS_Y!T$5,2),FS_Q!$5:$5,0))</f>
        <v/>
      </c>
      <c r="U56" s="519">
        <f>INDEX(FS_Q!56:56,MATCH("4Q"&amp;RIGHT(FS_Y!U$5,2),FS_Q!$5:$5,0))</f>
        <v/>
      </c>
      <c r="V56" s="519">
        <f>INDEX(FS_Q!56:56,MATCH("4Q"&amp;RIGHT(FS_Y!V$5,2),FS_Q!$5:$5,0))</f>
        <v/>
      </c>
      <c r="W56" s="519">
        <f>INDEX(FS_Q!56:56,MATCH("4Q"&amp;RIGHT(FS_Y!W$5,2),FS_Q!$5:$5,0))</f>
        <v/>
      </c>
      <c r="X56" s="190" t="n"/>
      <c r="Y56" s="190" t="n"/>
      <c r="Z56" s="190" t="n"/>
      <c r="AA56" s="190" t="n"/>
      <c r="AB56" s="190" t="n"/>
      <c r="AC56" s="190" t="n"/>
      <c r="AD56" s="190" t="n"/>
      <c r="AE56" s="190" t="n"/>
      <c r="AF56" s="190" t="n"/>
      <c r="AG56" s="190" t="n"/>
    </row>
    <row r="57">
      <c r="A57" s="455" t="n"/>
      <c r="B57" s="143" t="n"/>
      <c r="C57" s="143" t="n"/>
      <c r="D57" s="143" t="n"/>
      <c r="X57" s="356" t="n"/>
      <c r="Y57" s="356" t="n"/>
      <c r="Z57" s="356" t="n"/>
      <c r="AA57" s="356" t="n"/>
      <c r="AB57" s="356" t="n"/>
      <c r="AC57" s="356" t="n"/>
      <c r="AD57" s="356" t="n"/>
      <c r="AE57" s="356" t="n"/>
      <c r="AF57" s="356" t="n"/>
      <c r="AG57" s="356" t="n"/>
    </row>
    <row r="58">
      <c r="A58" s="74">
        <f>FS_Q!A58</f>
        <v/>
      </c>
      <c r="B58" s="147" t="n"/>
      <c r="C58" s="147" t="n"/>
      <c r="D58" s="147" t="n"/>
      <c r="E58" s="517">
        <f>INDEX(FS_Q!58:58,MATCH("4Q"&amp;RIGHT(FS_Y!E$5,2),FS_Q!$5:$5,0))</f>
        <v/>
      </c>
      <c r="F58" s="517">
        <f>INDEX(FS_Q!58:58,MATCH("4Q"&amp;RIGHT(FS_Y!F$5,2),FS_Q!$5:$5,0))</f>
        <v/>
      </c>
      <c r="G58" s="517">
        <f>INDEX(FS_Q!58:58,MATCH("4Q"&amp;RIGHT(FS_Y!G$5,2),FS_Q!$5:$5,0))</f>
        <v/>
      </c>
      <c r="H58" s="517">
        <f>INDEX(FS_Q!58:58,MATCH("4Q"&amp;RIGHT(FS_Y!H$5,2),FS_Q!$5:$5,0))</f>
        <v/>
      </c>
      <c r="I58" s="517">
        <f>INDEX(FS_Q!58:58,MATCH("4Q"&amp;RIGHT(FS_Y!I$5,2),FS_Q!$5:$5,0))</f>
        <v/>
      </c>
      <c r="J58" s="517">
        <f>INDEX(FS_Q!58:58,MATCH("4Q"&amp;RIGHT(FS_Y!J$5,2),FS_Q!$5:$5,0))</f>
        <v/>
      </c>
      <c r="K58" s="517">
        <f>INDEX(FS_Q!58:58,MATCH("4Q"&amp;RIGHT(FS_Y!K$5,2),FS_Q!$5:$5,0))</f>
        <v/>
      </c>
      <c r="L58" s="517">
        <f>INDEX(FS_Q!58:58,MATCH("4Q"&amp;RIGHT(FS_Y!L$5,2),FS_Q!$5:$5,0))</f>
        <v/>
      </c>
      <c r="M58" s="517">
        <f>INDEX(FS_Q!58:58,MATCH("4Q"&amp;RIGHT(FS_Y!M$5,2),FS_Q!$5:$5,0))</f>
        <v/>
      </c>
      <c r="N58" s="517">
        <f>INDEX(FS_Q!58:58,MATCH("4Q"&amp;RIGHT(FS_Y!N$5,2),FS_Q!$5:$5,0))</f>
        <v/>
      </c>
      <c r="O58" s="517">
        <f>INDEX(FS_Q!58:58,MATCH("4Q"&amp;RIGHT(FS_Y!O$5,2),FS_Q!$5:$5,0))</f>
        <v/>
      </c>
      <c r="P58" s="517">
        <f>INDEX(FS_Q!58:58,MATCH("4Q"&amp;RIGHT(FS_Y!P$5,2),FS_Q!$5:$5,0))</f>
        <v/>
      </c>
      <c r="Q58" s="517">
        <f>INDEX(FS_Q!58:58,MATCH("4Q"&amp;RIGHT(FS_Y!Q$5,2),FS_Q!$5:$5,0))</f>
        <v/>
      </c>
      <c r="R58" s="517">
        <f>INDEX(FS_Q!58:58,MATCH("4Q"&amp;RIGHT(FS_Y!R$5,2),FS_Q!$5:$5,0))</f>
        <v/>
      </c>
      <c r="S58" s="517">
        <f>INDEX(FS_Q!58:58,MATCH("4Q"&amp;RIGHT(FS_Y!S$5,2),FS_Q!$5:$5,0))</f>
        <v/>
      </c>
      <c r="T58" s="517">
        <f>INDEX(FS_Q!58:58,MATCH("4Q"&amp;RIGHT(FS_Y!T$5,2),FS_Q!$5:$5,0))</f>
        <v/>
      </c>
      <c r="U58" s="517">
        <f>INDEX(FS_Q!58:58,MATCH("4Q"&amp;RIGHT(FS_Y!U$5,2),FS_Q!$5:$5,0))</f>
        <v/>
      </c>
      <c r="V58" s="517">
        <f>INDEX(FS_Q!58:58,MATCH("4Q"&amp;RIGHT(FS_Y!V$5,2),FS_Q!$5:$5,0))</f>
        <v/>
      </c>
      <c r="W58" s="517">
        <f>INDEX(FS_Q!58:58,MATCH("4Q"&amp;RIGHT(FS_Y!W$5,2),FS_Q!$5:$5,0))</f>
        <v/>
      </c>
      <c r="X58" s="356" t="n"/>
      <c r="Y58" s="356" t="n"/>
      <c r="Z58" s="356" t="n"/>
      <c r="AA58" s="356" t="n"/>
      <c r="AB58" s="356" t="n"/>
      <c r="AC58" s="356" t="n"/>
      <c r="AD58" s="356" t="n"/>
      <c r="AE58" s="356" t="n"/>
      <c r="AF58" s="356" t="n"/>
      <c r="AG58" s="356" t="n"/>
    </row>
    <row r="59" customFormat="1" s="281">
      <c r="A59" s="74">
        <f>FS_Q!A59</f>
        <v/>
      </c>
      <c r="B59" s="382" t="n"/>
      <c r="C59" s="382" t="n"/>
      <c r="D59" s="382" t="n"/>
      <c r="E59" s="517">
        <f>INDEX(FS_Q!59:59,MATCH("4Q"&amp;RIGHT(FS_Y!E$5,2),FS_Q!$5:$5,0))</f>
        <v/>
      </c>
      <c r="F59" s="517">
        <f>INDEX(FS_Q!59:59,MATCH("4Q"&amp;RIGHT(FS_Y!F$5,2),FS_Q!$5:$5,0))</f>
        <v/>
      </c>
      <c r="G59" s="517">
        <f>INDEX(FS_Q!59:59,MATCH("4Q"&amp;RIGHT(FS_Y!G$5,2),FS_Q!$5:$5,0))</f>
        <v/>
      </c>
      <c r="H59" s="517">
        <f>INDEX(FS_Q!59:59,MATCH("4Q"&amp;RIGHT(FS_Y!H$5,2),FS_Q!$5:$5,0))</f>
        <v/>
      </c>
      <c r="I59" s="517">
        <f>INDEX(FS_Q!59:59,MATCH("4Q"&amp;RIGHT(FS_Y!I$5,2),FS_Q!$5:$5,0))</f>
        <v/>
      </c>
      <c r="J59" s="517">
        <f>INDEX(FS_Q!59:59,MATCH("4Q"&amp;RIGHT(FS_Y!J$5,2),FS_Q!$5:$5,0))</f>
        <v/>
      </c>
      <c r="K59" s="517">
        <f>INDEX(FS_Q!59:59,MATCH("4Q"&amp;RIGHT(FS_Y!K$5,2),FS_Q!$5:$5,0))</f>
        <v/>
      </c>
      <c r="L59" s="517">
        <f>INDEX(FS_Q!59:59,MATCH("4Q"&amp;RIGHT(FS_Y!L$5,2),FS_Q!$5:$5,0))</f>
        <v/>
      </c>
      <c r="M59" s="517">
        <f>INDEX(FS_Q!59:59,MATCH("4Q"&amp;RIGHT(FS_Y!M$5,2),FS_Q!$5:$5,0))</f>
        <v/>
      </c>
      <c r="N59" s="517">
        <f>INDEX(FS_Q!59:59,MATCH("4Q"&amp;RIGHT(FS_Y!N$5,2),FS_Q!$5:$5,0))</f>
        <v/>
      </c>
      <c r="O59" s="517">
        <f>INDEX(FS_Q!59:59,MATCH("4Q"&amp;RIGHT(FS_Y!O$5,2),FS_Q!$5:$5,0))</f>
        <v/>
      </c>
      <c r="P59" s="517">
        <f>INDEX(FS_Q!59:59,MATCH("4Q"&amp;RIGHT(FS_Y!P$5,2),FS_Q!$5:$5,0))</f>
        <v/>
      </c>
      <c r="Q59" s="517">
        <f>INDEX(FS_Q!59:59,MATCH("4Q"&amp;RIGHT(FS_Y!Q$5,2),FS_Q!$5:$5,0))</f>
        <v/>
      </c>
      <c r="R59" s="517">
        <f>INDEX(FS_Q!59:59,MATCH("4Q"&amp;RIGHT(FS_Y!R$5,2),FS_Q!$5:$5,0))</f>
        <v/>
      </c>
      <c r="S59" s="517">
        <f>INDEX(FS_Q!59:59,MATCH("4Q"&amp;RIGHT(FS_Y!S$5,2),FS_Q!$5:$5,0))</f>
        <v/>
      </c>
      <c r="T59" s="517">
        <f>INDEX(FS_Q!59:59,MATCH("4Q"&amp;RIGHT(FS_Y!T$5,2),FS_Q!$5:$5,0))</f>
        <v/>
      </c>
      <c r="U59" s="517">
        <f>INDEX(FS_Q!59:59,MATCH("4Q"&amp;RIGHT(FS_Y!U$5,2),FS_Q!$5:$5,0))</f>
        <v/>
      </c>
      <c r="V59" s="517">
        <f>INDEX(FS_Q!59:59,MATCH("4Q"&amp;RIGHT(FS_Y!V$5,2),FS_Q!$5:$5,0))</f>
        <v/>
      </c>
      <c r="W59" s="517">
        <f>INDEX(FS_Q!59:59,MATCH("4Q"&amp;RIGHT(FS_Y!W$5,2),FS_Q!$5:$5,0))</f>
        <v/>
      </c>
      <c r="X59" s="398" t="n"/>
      <c r="Y59" s="398" t="n"/>
      <c r="Z59" s="398" t="n"/>
      <c r="AA59" s="398" t="n"/>
      <c r="AB59" s="398" t="n"/>
      <c r="AC59" s="398" t="n"/>
      <c r="AD59" s="398" t="n"/>
      <c r="AE59" s="398" t="n"/>
      <c r="AF59" s="398" t="n"/>
      <c r="AG59" s="398" t="n"/>
    </row>
    <row r="60">
      <c r="A60" s="74">
        <f>FS_Q!A60</f>
        <v/>
      </c>
      <c r="B60" s="147" t="n"/>
      <c r="C60" s="147" t="n"/>
      <c r="D60" s="147" t="n"/>
      <c r="E60" s="517">
        <f>INDEX(FS_Q!60:60,MATCH("4Q"&amp;RIGHT(FS_Y!E$5,2),FS_Q!$5:$5,0))</f>
        <v/>
      </c>
      <c r="F60" s="517">
        <f>INDEX(FS_Q!60:60,MATCH("4Q"&amp;RIGHT(FS_Y!F$5,2),FS_Q!$5:$5,0))</f>
        <v/>
      </c>
      <c r="G60" s="517">
        <f>INDEX(FS_Q!60:60,MATCH("4Q"&amp;RIGHT(FS_Y!G$5,2),FS_Q!$5:$5,0))</f>
        <v/>
      </c>
      <c r="H60" s="517">
        <f>INDEX(FS_Q!60:60,MATCH("4Q"&amp;RIGHT(FS_Y!H$5,2),FS_Q!$5:$5,0))</f>
        <v/>
      </c>
      <c r="I60" s="517">
        <f>INDEX(FS_Q!60:60,MATCH("4Q"&amp;RIGHT(FS_Y!I$5,2),FS_Q!$5:$5,0))</f>
        <v/>
      </c>
      <c r="J60" s="517">
        <f>INDEX(FS_Q!60:60,MATCH("4Q"&amp;RIGHT(FS_Y!J$5,2),FS_Q!$5:$5,0))</f>
        <v/>
      </c>
      <c r="K60" s="517">
        <f>INDEX(FS_Q!60:60,MATCH("4Q"&amp;RIGHT(FS_Y!K$5,2),FS_Q!$5:$5,0))</f>
        <v/>
      </c>
      <c r="L60" s="517">
        <f>INDEX(FS_Q!60:60,MATCH("4Q"&amp;RIGHT(FS_Y!L$5,2),FS_Q!$5:$5,0))</f>
        <v/>
      </c>
      <c r="M60" s="517">
        <f>INDEX(FS_Q!60:60,MATCH("4Q"&amp;RIGHT(FS_Y!M$5,2),FS_Q!$5:$5,0))</f>
        <v/>
      </c>
      <c r="N60" s="517">
        <f>INDEX(FS_Q!60:60,MATCH("4Q"&amp;RIGHT(FS_Y!N$5,2),FS_Q!$5:$5,0))</f>
        <v/>
      </c>
      <c r="O60" s="517">
        <f>INDEX(FS_Q!60:60,MATCH("4Q"&amp;RIGHT(FS_Y!O$5,2),FS_Q!$5:$5,0))</f>
        <v/>
      </c>
      <c r="P60" s="517">
        <f>INDEX(FS_Q!60:60,MATCH("4Q"&amp;RIGHT(FS_Y!P$5,2),FS_Q!$5:$5,0))</f>
        <v/>
      </c>
      <c r="Q60" s="517">
        <f>INDEX(FS_Q!60:60,MATCH("4Q"&amp;RIGHT(FS_Y!Q$5,2),FS_Q!$5:$5,0))</f>
        <v/>
      </c>
      <c r="R60" s="517">
        <f>INDEX(FS_Q!60:60,MATCH("4Q"&amp;RIGHT(FS_Y!R$5,2),FS_Q!$5:$5,0))</f>
        <v/>
      </c>
      <c r="S60" s="517">
        <f>INDEX(FS_Q!60:60,MATCH("4Q"&amp;RIGHT(FS_Y!S$5,2),FS_Q!$5:$5,0))</f>
        <v/>
      </c>
      <c r="T60" s="517">
        <f>INDEX(FS_Q!60:60,MATCH("4Q"&amp;RIGHT(FS_Y!T$5,2),FS_Q!$5:$5,0))</f>
        <v/>
      </c>
      <c r="U60" s="517">
        <f>INDEX(FS_Q!60:60,MATCH("4Q"&amp;RIGHT(FS_Y!U$5,2),FS_Q!$5:$5,0))</f>
        <v/>
      </c>
      <c r="V60" s="517">
        <f>INDEX(FS_Q!60:60,MATCH("4Q"&amp;RIGHT(FS_Y!V$5,2),FS_Q!$5:$5,0))</f>
        <v/>
      </c>
      <c r="W60" s="517">
        <f>INDEX(FS_Q!60:60,MATCH("4Q"&amp;RIGHT(FS_Y!W$5,2),FS_Q!$5:$5,0))</f>
        <v/>
      </c>
      <c r="X60" s="148" t="n"/>
      <c r="Y60" s="148" t="n"/>
      <c r="Z60" s="148" t="n"/>
      <c r="AA60" s="148" t="n"/>
      <c r="AB60" s="148" t="n"/>
      <c r="AC60" s="148" t="n"/>
      <c r="AD60" s="148" t="n"/>
      <c r="AE60" s="148" t="n"/>
      <c r="AF60" s="148" t="n"/>
      <c r="AG60" s="148" t="n"/>
      <c r="AH60" s="148" t="n"/>
      <c r="AI60" s="148" t="n"/>
      <c r="AJ60" s="148" t="n"/>
      <c r="AK60" s="148" t="n"/>
      <c r="AL60" s="148" t="n"/>
      <c r="AM60" s="148" t="n"/>
      <c r="AN60" s="148" t="n"/>
      <c r="AO60" s="148" t="n"/>
      <c r="AP60" s="148" t="n"/>
      <c r="AQ60" s="148" t="n"/>
      <c r="AR60" s="148" t="n"/>
      <c r="AS60" s="148" t="n"/>
    </row>
    <row r="61" customFormat="1" s="281">
      <c r="A61" s="74">
        <f>FS_Q!A61</f>
        <v/>
      </c>
      <c r="B61" s="382" t="n"/>
      <c r="C61" s="382" t="n"/>
      <c r="D61" s="382" t="n"/>
      <c r="E61" s="517">
        <f>INDEX(FS_Q!61:61,MATCH("4Q"&amp;RIGHT(FS_Y!E$5,2),FS_Q!$5:$5,0))</f>
        <v/>
      </c>
      <c r="F61" s="517">
        <f>INDEX(FS_Q!61:61,MATCH("4Q"&amp;RIGHT(FS_Y!F$5,2),FS_Q!$5:$5,0))</f>
        <v/>
      </c>
      <c r="G61" s="517">
        <f>INDEX(FS_Q!61:61,MATCH("4Q"&amp;RIGHT(FS_Y!G$5,2),FS_Q!$5:$5,0))</f>
        <v/>
      </c>
      <c r="H61" s="517">
        <f>INDEX(FS_Q!61:61,MATCH("4Q"&amp;RIGHT(FS_Y!H$5,2),FS_Q!$5:$5,0))</f>
        <v/>
      </c>
      <c r="I61" s="517">
        <f>INDEX(FS_Q!61:61,MATCH("4Q"&amp;RIGHT(FS_Y!I$5,2),FS_Q!$5:$5,0))</f>
        <v/>
      </c>
      <c r="J61" s="517">
        <f>INDEX(FS_Q!61:61,MATCH("4Q"&amp;RIGHT(FS_Y!J$5,2),FS_Q!$5:$5,0))</f>
        <v/>
      </c>
      <c r="K61" s="517">
        <f>INDEX(FS_Q!61:61,MATCH("4Q"&amp;RIGHT(FS_Y!K$5,2),FS_Q!$5:$5,0))</f>
        <v/>
      </c>
      <c r="L61" s="517">
        <f>INDEX(FS_Q!61:61,MATCH("4Q"&amp;RIGHT(FS_Y!L$5,2),FS_Q!$5:$5,0))</f>
        <v/>
      </c>
      <c r="M61" s="517">
        <f>INDEX(FS_Q!61:61,MATCH("4Q"&amp;RIGHT(FS_Y!M$5,2),FS_Q!$5:$5,0))</f>
        <v/>
      </c>
      <c r="N61" s="517">
        <f>INDEX(FS_Q!61:61,MATCH("4Q"&amp;RIGHT(FS_Y!N$5,2),FS_Q!$5:$5,0))</f>
        <v/>
      </c>
      <c r="O61" s="517">
        <f>INDEX(FS_Q!61:61,MATCH("4Q"&amp;RIGHT(FS_Y!O$5,2),FS_Q!$5:$5,0))</f>
        <v/>
      </c>
      <c r="P61" s="517">
        <f>INDEX(FS_Q!61:61,MATCH("4Q"&amp;RIGHT(FS_Y!P$5,2),FS_Q!$5:$5,0))</f>
        <v/>
      </c>
      <c r="Q61" s="517">
        <f>INDEX(FS_Q!61:61,MATCH("4Q"&amp;RIGHT(FS_Y!Q$5,2),FS_Q!$5:$5,0))</f>
        <v/>
      </c>
      <c r="R61" s="517">
        <f>INDEX(FS_Q!61:61,MATCH("4Q"&amp;RIGHT(FS_Y!R$5,2),FS_Q!$5:$5,0))</f>
        <v/>
      </c>
      <c r="S61" s="517">
        <f>INDEX(FS_Q!61:61,MATCH("4Q"&amp;RIGHT(FS_Y!S$5,2),FS_Q!$5:$5,0))</f>
        <v/>
      </c>
      <c r="T61" s="517">
        <f>INDEX(FS_Q!61:61,MATCH("4Q"&amp;RIGHT(FS_Y!T$5,2),FS_Q!$5:$5,0))</f>
        <v/>
      </c>
      <c r="U61" s="517">
        <f>INDEX(FS_Q!61:61,MATCH("4Q"&amp;RIGHT(FS_Y!U$5,2),FS_Q!$5:$5,0))</f>
        <v/>
      </c>
      <c r="V61" s="517">
        <f>INDEX(FS_Q!61:61,MATCH("4Q"&amp;RIGHT(FS_Y!V$5,2),FS_Q!$5:$5,0))</f>
        <v/>
      </c>
      <c r="W61" s="517">
        <f>INDEX(FS_Q!61:61,MATCH("4Q"&amp;RIGHT(FS_Y!W$5,2),FS_Q!$5:$5,0))</f>
        <v/>
      </c>
      <c r="X61" s="382" t="n"/>
      <c r="Y61" s="382" t="n"/>
      <c r="Z61" s="382" t="n"/>
      <c r="AA61" s="382" t="n"/>
      <c r="AB61" s="382" t="n"/>
      <c r="AC61" s="382" t="n"/>
      <c r="AD61" s="382" t="n"/>
      <c r="AE61" s="382" t="n"/>
      <c r="AF61" s="382" t="n"/>
      <c r="AG61" s="382" t="n"/>
      <c r="AH61" s="382" t="n"/>
      <c r="AI61" s="382" t="n"/>
      <c r="AJ61" s="382" t="n"/>
      <c r="AK61" s="382" t="n"/>
      <c r="AL61" s="382" t="n"/>
      <c r="AM61" s="382" t="n"/>
      <c r="AN61" s="382" t="n"/>
      <c r="AO61" s="382" t="n"/>
      <c r="AP61" s="382" t="n"/>
      <c r="AQ61" s="382" t="n"/>
      <c r="AR61" s="382" t="n"/>
      <c r="AS61" s="382" t="n"/>
    </row>
    <row r="62">
      <c r="A62" s="74">
        <f>FS_Q!A62</f>
        <v/>
      </c>
      <c r="B62" s="148" t="n"/>
      <c r="C62" s="148" t="n"/>
      <c r="D62" s="148" t="n"/>
      <c r="E62" s="517">
        <f>INDEX(FS_Q!62:62,MATCH("4Q"&amp;RIGHT(FS_Y!E$5,2),FS_Q!$5:$5,0))</f>
        <v/>
      </c>
      <c r="F62" s="517">
        <f>INDEX(FS_Q!62:62,MATCH("4Q"&amp;RIGHT(FS_Y!F$5,2),FS_Q!$5:$5,0))</f>
        <v/>
      </c>
      <c r="G62" s="517">
        <f>INDEX(FS_Q!62:62,MATCH("4Q"&amp;RIGHT(FS_Y!G$5,2),FS_Q!$5:$5,0))</f>
        <v/>
      </c>
      <c r="H62" s="517">
        <f>INDEX(FS_Q!62:62,MATCH("4Q"&amp;RIGHT(FS_Y!H$5,2),FS_Q!$5:$5,0))</f>
        <v/>
      </c>
      <c r="I62" s="517">
        <f>INDEX(FS_Q!62:62,MATCH("4Q"&amp;RIGHT(FS_Y!I$5,2),FS_Q!$5:$5,0))</f>
        <v/>
      </c>
      <c r="J62" s="517">
        <f>INDEX(FS_Q!62:62,MATCH("4Q"&amp;RIGHT(FS_Y!J$5,2),FS_Q!$5:$5,0))</f>
        <v/>
      </c>
      <c r="K62" s="517">
        <f>INDEX(FS_Q!62:62,MATCH("4Q"&amp;RIGHT(FS_Y!K$5,2),FS_Q!$5:$5,0))</f>
        <v/>
      </c>
      <c r="L62" s="517">
        <f>INDEX(FS_Q!62:62,MATCH("4Q"&amp;RIGHT(FS_Y!L$5,2),FS_Q!$5:$5,0))</f>
        <v/>
      </c>
      <c r="M62" s="517">
        <f>INDEX(FS_Q!62:62,MATCH("4Q"&amp;RIGHT(FS_Y!M$5,2),FS_Q!$5:$5,0))</f>
        <v/>
      </c>
      <c r="N62" s="517">
        <f>INDEX(FS_Q!62:62,MATCH("4Q"&amp;RIGHT(FS_Y!N$5,2),FS_Q!$5:$5,0))</f>
        <v/>
      </c>
      <c r="O62" s="517">
        <f>INDEX(FS_Q!62:62,MATCH("4Q"&amp;RIGHT(FS_Y!O$5,2),FS_Q!$5:$5,0))</f>
        <v/>
      </c>
      <c r="P62" s="517">
        <f>INDEX(FS_Q!62:62,MATCH("4Q"&amp;RIGHT(FS_Y!P$5,2),FS_Q!$5:$5,0))</f>
        <v/>
      </c>
      <c r="Q62" s="517">
        <f>INDEX(FS_Q!62:62,MATCH("4Q"&amp;RIGHT(FS_Y!Q$5,2),FS_Q!$5:$5,0))</f>
        <v/>
      </c>
      <c r="R62" s="517">
        <f>INDEX(FS_Q!62:62,MATCH("4Q"&amp;RIGHT(FS_Y!R$5,2),FS_Q!$5:$5,0))</f>
        <v/>
      </c>
      <c r="S62" s="517">
        <f>INDEX(FS_Q!62:62,MATCH("4Q"&amp;RIGHT(FS_Y!S$5,2),FS_Q!$5:$5,0))</f>
        <v/>
      </c>
      <c r="T62" s="517">
        <f>INDEX(FS_Q!62:62,MATCH("4Q"&amp;RIGHT(FS_Y!T$5,2),FS_Q!$5:$5,0))</f>
        <v/>
      </c>
      <c r="U62" s="517">
        <f>INDEX(FS_Q!62:62,MATCH("4Q"&amp;RIGHT(FS_Y!U$5,2),FS_Q!$5:$5,0))</f>
        <v/>
      </c>
      <c r="V62" s="517">
        <f>INDEX(FS_Q!62:62,MATCH("4Q"&amp;RIGHT(FS_Y!V$5,2),FS_Q!$5:$5,0))</f>
        <v/>
      </c>
      <c r="W62" s="517">
        <f>INDEX(FS_Q!62:62,MATCH("4Q"&amp;RIGHT(FS_Y!W$5,2),FS_Q!$5:$5,0))</f>
        <v/>
      </c>
      <c r="X62" s="148" t="n"/>
      <c r="Y62" s="148" t="n"/>
      <c r="Z62" s="148" t="n"/>
      <c r="AA62" s="148" t="n"/>
      <c r="AB62" s="148" t="n"/>
      <c r="AC62" s="148" t="n"/>
      <c r="AD62" s="148" t="n"/>
      <c r="AE62" s="148" t="n"/>
      <c r="AF62" s="148" t="n"/>
      <c r="AG62" s="148" t="n"/>
      <c r="AH62" s="148" t="n"/>
      <c r="AI62" s="148" t="n"/>
      <c r="AJ62" s="148" t="n"/>
      <c r="AK62" s="148" t="n"/>
      <c r="AL62" s="148" t="n"/>
      <c r="AM62" s="148" t="n"/>
      <c r="AN62" s="148" t="n"/>
      <c r="AO62" s="148" t="n"/>
      <c r="AP62" s="148" t="n"/>
      <c r="AQ62" s="148" t="n"/>
      <c r="AR62" s="148" t="n"/>
      <c r="AS62" s="148" t="n"/>
    </row>
    <row r="63">
      <c r="A63" s="22">
        <f>FS_Q!A63</f>
        <v/>
      </c>
      <c r="B63" s="143" t="n"/>
      <c r="C63" s="143" t="n"/>
      <c r="D63" s="143" t="n"/>
      <c r="E63" s="519">
        <f>INDEX(FS_Q!63:63,MATCH("4Q"&amp;RIGHT(FS_Y!E$5,2),FS_Q!$5:$5,0))</f>
        <v/>
      </c>
      <c r="F63" s="519">
        <f>INDEX(FS_Q!63:63,MATCH("4Q"&amp;RIGHT(FS_Y!F$5,2),FS_Q!$5:$5,0))</f>
        <v/>
      </c>
      <c r="G63" s="519">
        <f>INDEX(FS_Q!63:63,MATCH("4Q"&amp;RIGHT(FS_Y!G$5,2),FS_Q!$5:$5,0))</f>
        <v/>
      </c>
      <c r="H63" s="519">
        <f>INDEX(FS_Q!63:63,MATCH("4Q"&amp;RIGHT(FS_Y!H$5,2),FS_Q!$5:$5,0))</f>
        <v/>
      </c>
      <c r="I63" s="519">
        <f>INDEX(FS_Q!63:63,MATCH("4Q"&amp;RIGHT(FS_Y!I$5,2),FS_Q!$5:$5,0))</f>
        <v/>
      </c>
      <c r="J63" s="519">
        <f>INDEX(FS_Q!63:63,MATCH("4Q"&amp;RIGHT(FS_Y!J$5,2),FS_Q!$5:$5,0))</f>
        <v/>
      </c>
      <c r="K63" s="519">
        <f>INDEX(FS_Q!63:63,MATCH("4Q"&amp;RIGHT(FS_Y!K$5,2),FS_Q!$5:$5,0))</f>
        <v/>
      </c>
      <c r="L63" s="519">
        <f>INDEX(FS_Q!63:63,MATCH("4Q"&amp;RIGHT(FS_Y!L$5,2),FS_Q!$5:$5,0))</f>
        <v/>
      </c>
      <c r="M63" s="519">
        <f>INDEX(FS_Q!63:63,MATCH("4Q"&amp;RIGHT(FS_Y!M$5,2),FS_Q!$5:$5,0))</f>
        <v/>
      </c>
      <c r="N63" s="519">
        <f>INDEX(FS_Q!63:63,MATCH("4Q"&amp;RIGHT(FS_Y!N$5,2),FS_Q!$5:$5,0))</f>
        <v/>
      </c>
      <c r="O63" s="519">
        <f>INDEX(FS_Q!63:63,MATCH("4Q"&amp;RIGHT(FS_Y!O$5,2),FS_Q!$5:$5,0))</f>
        <v/>
      </c>
      <c r="P63" s="519">
        <f>INDEX(FS_Q!63:63,MATCH("4Q"&amp;RIGHT(FS_Y!P$5,2),FS_Q!$5:$5,0))</f>
        <v/>
      </c>
      <c r="Q63" s="519">
        <f>INDEX(FS_Q!63:63,MATCH("4Q"&amp;RIGHT(FS_Y!Q$5,2),FS_Q!$5:$5,0))</f>
        <v/>
      </c>
      <c r="R63" s="519">
        <f>INDEX(FS_Q!63:63,MATCH("4Q"&amp;RIGHT(FS_Y!R$5,2),FS_Q!$5:$5,0))</f>
        <v/>
      </c>
      <c r="S63" s="519">
        <f>INDEX(FS_Q!63:63,MATCH("4Q"&amp;RIGHT(FS_Y!S$5,2),FS_Q!$5:$5,0))</f>
        <v/>
      </c>
      <c r="T63" s="519">
        <f>INDEX(FS_Q!63:63,MATCH("4Q"&amp;RIGHT(FS_Y!T$5,2),FS_Q!$5:$5,0))</f>
        <v/>
      </c>
      <c r="U63" s="519">
        <f>INDEX(FS_Q!63:63,MATCH("4Q"&amp;RIGHT(FS_Y!U$5,2),FS_Q!$5:$5,0))</f>
        <v/>
      </c>
      <c r="V63" s="519">
        <f>INDEX(FS_Q!63:63,MATCH("4Q"&amp;RIGHT(FS_Y!V$5,2),FS_Q!$5:$5,0))</f>
        <v/>
      </c>
      <c r="W63" s="519">
        <f>INDEX(FS_Q!63:63,MATCH("4Q"&amp;RIGHT(FS_Y!W$5,2),FS_Q!$5:$5,0))</f>
        <v/>
      </c>
      <c r="X63" s="148" t="n"/>
      <c r="Y63" s="148" t="n"/>
      <c r="Z63" s="148" t="n"/>
      <c r="AA63" s="148" t="n"/>
      <c r="AB63" s="148" t="n"/>
      <c r="AC63" s="148" t="n"/>
      <c r="AD63" s="148" t="n"/>
      <c r="AE63" s="148" t="n"/>
      <c r="AF63" s="148" t="n"/>
      <c r="AG63" s="148" t="n"/>
      <c r="AH63" s="148" t="n"/>
      <c r="AI63" s="148" t="n"/>
      <c r="AJ63" s="148" t="n"/>
      <c r="AK63" s="148" t="n"/>
      <c r="AL63" s="148" t="n"/>
      <c r="AM63" s="148" t="n"/>
      <c r="AN63" s="148" t="n"/>
      <c r="AO63" s="148" t="n"/>
      <c r="AP63" s="148" t="n"/>
      <c r="AQ63" s="148" t="n"/>
      <c r="AR63" s="148" t="n"/>
      <c r="AS63" s="148" t="n"/>
    </row>
    <row r="64">
      <c r="A64" s="74">
        <f>FS_Q!A64</f>
        <v/>
      </c>
      <c r="B64" s="143" t="n"/>
      <c r="C64" s="143" t="n"/>
      <c r="D64" s="143" t="n"/>
      <c r="E64" s="517">
        <f>INDEX(FS_Q!64:64,MATCH("4Q"&amp;RIGHT(FS_Y!E$5,2),FS_Q!$5:$5,0))</f>
        <v/>
      </c>
      <c r="F64" s="517">
        <f>INDEX(FS_Q!64:64,MATCH("4Q"&amp;RIGHT(FS_Y!F$5,2),FS_Q!$5:$5,0))</f>
        <v/>
      </c>
      <c r="G64" s="517">
        <f>INDEX(FS_Q!64:64,MATCH("4Q"&amp;RIGHT(FS_Y!G$5,2),FS_Q!$5:$5,0))</f>
        <v/>
      </c>
      <c r="H64" s="517">
        <f>INDEX(FS_Q!64:64,MATCH("4Q"&amp;RIGHT(FS_Y!H$5,2),FS_Q!$5:$5,0))</f>
        <v/>
      </c>
      <c r="I64" s="517">
        <f>INDEX(FS_Q!64:64,MATCH("4Q"&amp;RIGHT(FS_Y!I$5,2),FS_Q!$5:$5,0))</f>
        <v/>
      </c>
      <c r="J64" s="517">
        <f>INDEX(FS_Q!64:64,MATCH("4Q"&amp;RIGHT(FS_Y!J$5,2),FS_Q!$5:$5,0))</f>
        <v/>
      </c>
      <c r="K64" s="517">
        <f>INDEX(FS_Q!64:64,MATCH("4Q"&amp;RIGHT(FS_Y!K$5,2),FS_Q!$5:$5,0))</f>
        <v/>
      </c>
      <c r="L64" s="517">
        <f>INDEX(FS_Q!64:64,MATCH("4Q"&amp;RIGHT(FS_Y!L$5,2),FS_Q!$5:$5,0))</f>
        <v/>
      </c>
      <c r="M64" s="517">
        <f>INDEX(FS_Q!64:64,MATCH("4Q"&amp;RIGHT(FS_Y!M$5,2),FS_Q!$5:$5,0))</f>
        <v/>
      </c>
      <c r="N64" s="517">
        <f>INDEX(FS_Q!64:64,MATCH("4Q"&amp;RIGHT(FS_Y!N$5,2),FS_Q!$5:$5,0))</f>
        <v/>
      </c>
      <c r="O64" s="517">
        <f>INDEX(FS_Q!64:64,MATCH("4Q"&amp;RIGHT(FS_Y!O$5,2),FS_Q!$5:$5,0))</f>
        <v/>
      </c>
      <c r="P64" s="517">
        <f>INDEX(FS_Q!64:64,MATCH("4Q"&amp;RIGHT(FS_Y!P$5,2),FS_Q!$5:$5,0))</f>
        <v/>
      </c>
      <c r="Q64" s="517">
        <f>INDEX(FS_Q!64:64,MATCH("4Q"&amp;RIGHT(FS_Y!Q$5,2),FS_Q!$5:$5,0))</f>
        <v/>
      </c>
      <c r="R64" s="517">
        <f>INDEX(FS_Q!64:64,MATCH("4Q"&amp;RIGHT(FS_Y!R$5,2),FS_Q!$5:$5,0))</f>
        <v/>
      </c>
      <c r="S64" s="517">
        <f>INDEX(FS_Q!64:64,MATCH("4Q"&amp;RIGHT(FS_Y!S$5,2),FS_Q!$5:$5,0))</f>
        <v/>
      </c>
      <c r="T64" s="517">
        <f>INDEX(FS_Q!64:64,MATCH("4Q"&amp;RIGHT(FS_Y!T$5,2),FS_Q!$5:$5,0))</f>
        <v/>
      </c>
      <c r="U64" s="517">
        <f>INDEX(FS_Q!64:64,MATCH("4Q"&amp;RIGHT(FS_Y!U$5,2),FS_Q!$5:$5,0))</f>
        <v/>
      </c>
      <c r="V64" s="517">
        <f>INDEX(FS_Q!64:64,MATCH("4Q"&amp;RIGHT(FS_Y!V$5,2),FS_Q!$5:$5,0))</f>
        <v/>
      </c>
      <c r="W64" s="517">
        <f>INDEX(FS_Q!64:64,MATCH("4Q"&amp;RIGHT(FS_Y!W$5,2),FS_Q!$5:$5,0))</f>
        <v/>
      </c>
      <c r="X64" s="148" t="n"/>
      <c r="Y64" s="148" t="n"/>
      <c r="Z64" s="148" t="n"/>
      <c r="AA64" s="148" t="n"/>
      <c r="AB64" s="148" t="n"/>
      <c r="AC64" s="148" t="n"/>
      <c r="AD64" s="148" t="n"/>
      <c r="AE64" s="148" t="n"/>
      <c r="AF64" s="148" t="n"/>
      <c r="AG64" s="148" t="n"/>
      <c r="AH64" s="148" t="n"/>
      <c r="AI64" s="148" t="n"/>
      <c r="AJ64" s="148" t="n"/>
      <c r="AK64" s="148" t="n"/>
      <c r="AL64" s="148" t="n"/>
      <c r="AM64" s="148" t="n"/>
      <c r="AN64" s="148" t="n"/>
      <c r="AO64" s="148" t="n"/>
      <c r="AP64" s="148" t="n"/>
      <c r="AQ64" s="148" t="n"/>
      <c r="AR64" s="148" t="n"/>
      <c r="AS64" s="148" t="n"/>
    </row>
    <row r="65">
      <c r="A65" s="74">
        <f>FS_Q!A65</f>
        <v/>
      </c>
      <c r="B65" s="143" t="n"/>
      <c r="C65" s="143" t="n"/>
      <c r="D65" s="143" t="n"/>
      <c r="E65" s="517">
        <f>INDEX(FS_Q!65:65,MATCH("4Q"&amp;RIGHT(FS_Y!E$5,2),FS_Q!$5:$5,0))</f>
        <v/>
      </c>
      <c r="F65" s="517">
        <f>INDEX(FS_Q!65:65,MATCH("4Q"&amp;RIGHT(FS_Y!F$5,2),FS_Q!$5:$5,0))</f>
        <v/>
      </c>
      <c r="G65" s="517">
        <f>INDEX(FS_Q!65:65,MATCH("4Q"&amp;RIGHT(FS_Y!G$5,2),FS_Q!$5:$5,0))</f>
        <v/>
      </c>
      <c r="H65" s="517">
        <f>INDEX(FS_Q!65:65,MATCH("4Q"&amp;RIGHT(FS_Y!H$5,2),FS_Q!$5:$5,0))</f>
        <v/>
      </c>
      <c r="I65" s="517">
        <f>INDEX(FS_Q!65:65,MATCH("4Q"&amp;RIGHT(FS_Y!I$5,2),FS_Q!$5:$5,0))</f>
        <v/>
      </c>
      <c r="J65" s="517">
        <f>INDEX(FS_Q!65:65,MATCH("4Q"&amp;RIGHT(FS_Y!J$5,2),FS_Q!$5:$5,0))</f>
        <v/>
      </c>
      <c r="K65" s="517">
        <f>INDEX(FS_Q!65:65,MATCH("4Q"&amp;RIGHT(FS_Y!K$5,2),FS_Q!$5:$5,0))</f>
        <v/>
      </c>
      <c r="L65" s="517">
        <f>INDEX(FS_Q!65:65,MATCH("4Q"&amp;RIGHT(FS_Y!L$5,2),FS_Q!$5:$5,0))</f>
        <v/>
      </c>
      <c r="M65" s="517">
        <f>INDEX(FS_Q!65:65,MATCH("4Q"&amp;RIGHT(FS_Y!M$5,2),FS_Q!$5:$5,0))</f>
        <v/>
      </c>
      <c r="N65" s="517">
        <f>INDEX(FS_Q!65:65,MATCH("4Q"&amp;RIGHT(FS_Y!N$5,2),FS_Q!$5:$5,0))</f>
        <v/>
      </c>
      <c r="O65" s="517">
        <f>INDEX(FS_Q!65:65,MATCH("4Q"&amp;RIGHT(FS_Y!O$5,2),FS_Q!$5:$5,0))</f>
        <v/>
      </c>
      <c r="P65" s="517">
        <f>INDEX(FS_Q!65:65,MATCH("4Q"&amp;RIGHT(FS_Y!P$5,2),FS_Q!$5:$5,0))</f>
        <v/>
      </c>
      <c r="Q65" s="517">
        <f>INDEX(FS_Q!65:65,MATCH("4Q"&amp;RIGHT(FS_Y!Q$5,2),FS_Q!$5:$5,0))</f>
        <v/>
      </c>
      <c r="R65" s="517">
        <f>INDEX(FS_Q!65:65,MATCH("4Q"&amp;RIGHT(FS_Y!R$5,2),FS_Q!$5:$5,0))</f>
        <v/>
      </c>
      <c r="S65" s="517">
        <f>INDEX(FS_Q!65:65,MATCH("4Q"&amp;RIGHT(FS_Y!S$5,2),FS_Q!$5:$5,0))</f>
        <v/>
      </c>
      <c r="T65" s="517">
        <f>INDEX(FS_Q!65:65,MATCH("4Q"&amp;RIGHT(FS_Y!T$5,2),FS_Q!$5:$5,0))</f>
        <v/>
      </c>
      <c r="U65" s="517">
        <f>INDEX(FS_Q!65:65,MATCH("4Q"&amp;RIGHT(FS_Y!U$5,2),FS_Q!$5:$5,0))</f>
        <v/>
      </c>
      <c r="V65" s="517">
        <f>INDEX(FS_Q!65:65,MATCH("4Q"&amp;RIGHT(FS_Y!V$5,2),FS_Q!$5:$5,0))</f>
        <v/>
      </c>
      <c r="W65" s="517">
        <f>INDEX(FS_Q!65:65,MATCH("4Q"&amp;RIGHT(FS_Y!W$5,2),FS_Q!$5:$5,0))</f>
        <v/>
      </c>
      <c r="X65" s="148" t="n"/>
      <c r="Y65" s="148" t="n"/>
      <c r="Z65" s="148" t="n"/>
      <c r="AA65" s="148" t="n"/>
      <c r="AB65" s="148" t="n"/>
      <c r="AC65" s="148" t="n"/>
      <c r="AD65" s="148" t="n"/>
      <c r="AE65" s="148" t="n"/>
      <c r="AF65" s="148" t="n"/>
      <c r="AG65" s="148" t="n"/>
      <c r="AH65" s="148" t="n"/>
      <c r="AI65" s="148" t="n"/>
      <c r="AJ65" s="148" t="n"/>
      <c r="AK65" s="148" t="n"/>
      <c r="AL65" s="148" t="n"/>
      <c r="AM65" s="148" t="n"/>
      <c r="AN65" s="148" t="n"/>
      <c r="AO65" s="148" t="n"/>
      <c r="AP65" s="148" t="n"/>
      <c r="AQ65" s="148" t="n"/>
      <c r="AR65" s="148" t="n"/>
      <c r="AS65" s="148" t="n"/>
    </row>
    <row r="66">
      <c r="A66" s="22">
        <f>FS_Q!A66</f>
        <v/>
      </c>
      <c r="B66" s="143" t="n"/>
      <c r="C66" s="143" t="n"/>
      <c r="D66" s="143" t="n"/>
      <c r="E66" s="517">
        <f>INDEX(FS_Q!66:66,MATCH("4Q"&amp;RIGHT(FS_Y!E$5,2),FS_Q!$5:$5,0))</f>
        <v/>
      </c>
      <c r="F66" s="517">
        <f>INDEX(FS_Q!66:66,MATCH("4Q"&amp;RIGHT(FS_Y!F$5,2),FS_Q!$5:$5,0))</f>
        <v/>
      </c>
      <c r="G66" s="517">
        <f>INDEX(FS_Q!66:66,MATCH("4Q"&amp;RIGHT(FS_Y!G$5,2),FS_Q!$5:$5,0))</f>
        <v/>
      </c>
      <c r="H66" s="517">
        <f>INDEX(FS_Q!66:66,MATCH("4Q"&amp;RIGHT(FS_Y!H$5,2),FS_Q!$5:$5,0))</f>
        <v/>
      </c>
      <c r="I66" s="517">
        <f>INDEX(FS_Q!66:66,MATCH("4Q"&amp;RIGHT(FS_Y!I$5,2),FS_Q!$5:$5,0))</f>
        <v/>
      </c>
      <c r="J66" s="517">
        <f>INDEX(FS_Q!66:66,MATCH("4Q"&amp;RIGHT(FS_Y!J$5,2),FS_Q!$5:$5,0))</f>
        <v/>
      </c>
      <c r="K66" s="517">
        <f>INDEX(FS_Q!66:66,MATCH("4Q"&amp;RIGHT(FS_Y!K$5,2),FS_Q!$5:$5,0))</f>
        <v/>
      </c>
      <c r="L66" s="517">
        <f>INDEX(FS_Q!66:66,MATCH("4Q"&amp;RIGHT(FS_Y!L$5,2),FS_Q!$5:$5,0))</f>
        <v/>
      </c>
      <c r="M66" s="517">
        <f>INDEX(FS_Q!66:66,MATCH("4Q"&amp;RIGHT(FS_Y!M$5,2),FS_Q!$5:$5,0))</f>
        <v/>
      </c>
      <c r="N66" s="517">
        <f>INDEX(FS_Q!66:66,MATCH("4Q"&amp;RIGHT(FS_Y!N$5,2),FS_Q!$5:$5,0))</f>
        <v/>
      </c>
      <c r="O66" s="517">
        <f>INDEX(FS_Q!66:66,MATCH("4Q"&amp;RIGHT(FS_Y!O$5,2),FS_Q!$5:$5,0))</f>
        <v/>
      </c>
      <c r="P66" s="517">
        <f>INDEX(FS_Q!66:66,MATCH("4Q"&amp;RIGHT(FS_Y!P$5,2),FS_Q!$5:$5,0))</f>
        <v/>
      </c>
      <c r="Q66" s="517">
        <f>INDEX(FS_Q!66:66,MATCH("4Q"&amp;RIGHT(FS_Y!Q$5,2),FS_Q!$5:$5,0))</f>
        <v/>
      </c>
      <c r="R66" s="517">
        <f>INDEX(FS_Q!66:66,MATCH("4Q"&amp;RIGHT(FS_Y!R$5,2),FS_Q!$5:$5,0))</f>
        <v/>
      </c>
      <c r="S66" s="517">
        <f>INDEX(FS_Q!66:66,MATCH("4Q"&amp;RIGHT(FS_Y!S$5,2),FS_Q!$5:$5,0))</f>
        <v/>
      </c>
      <c r="T66" s="517">
        <f>INDEX(FS_Q!66:66,MATCH("4Q"&amp;RIGHT(FS_Y!T$5,2),FS_Q!$5:$5,0))</f>
        <v/>
      </c>
      <c r="U66" s="517">
        <f>INDEX(FS_Q!66:66,MATCH("4Q"&amp;RIGHT(FS_Y!U$5,2),FS_Q!$5:$5,0))</f>
        <v/>
      </c>
      <c r="V66" s="517">
        <f>INDEX(FS_Q!66:66,MATCH("4Q"&amp;RIGHT(FS_Y!V$5,2),FS_Q!$5:$5,0))</f>
        <v/>
      </c>
      <c r="W66" s="517">
        <f>INDEX(FS_Q!66:66,MATCH("4Q"&amp;RIGHT(FS_Y!W$5,2),FS_Q!$5:$5,0))</f>
        <v/>
      </c>
      <c r="X66" s="148" t="n"/>
      <c r="Y66" s="148" t="n"/>
      <c r="Z66" s="148" t="n"/>
      <c r="AA66" s="148" t="n"/>
      <c r="AB66" s="148" t="n"/>
      <c r="AC66" s="148" t="n"/>
      <c r="AD66" s="148" t="n"/>
      <c r="AE66" s="148" t="n"/>
      <c r="AF66" s="148" t="n"/>
      <c r="AG66" s="148" t="n"/>
      <c r="AH66" s="148" t="n"/>
      <c r="AI66" s="148" t="n"/>
      <c r="AJ66" s="148" t="n"/>
      <c r="AK66" s="148" t="n"/>
      <c r="AL66" s="148" t="n"/>
      <c r="AM66" s="148" t="n"/>
      <c r="AN66" s="148" t="n"/>
      <c r="AO66" s="148" t="n"/>
      <c r="AP66" s="148" t="n"/>
      <c r="AQ66" s="148" t="n"/>
      <c r="AR66" s="148" t="n"/>
      <c r="AS66" s="148" t="n"/>
    </row>
    <row r="67">
      <c r="A67" s="22" t="n"/>
      <c r="B67" s="147" t="n"/>
      <c r="C67" s="147" t="n"/>
      <c r="D67" s="147" t="n"/>
      <c r="X67" s="148" t="n"/>
      <c r="Y67" s="148" t="n"/>
      <c r="Z67" s="148" t="n"/>
      <c r="AA67" s="148" t="n"/>
      <c r="AB67" s="148" t="n"/>
      <c r="AC67" s="148" t="n"/>
      <c r="AD67" s="148" t="n"/>
      <c r="AE67" s="148" t="n"/>
      <c r="AF67" s="148" t="n"/>
      <c r="AG67" s="148" t="n"/>
      <c r="AH67" s="148" t="n"/>
      <c r="AI67" s="148" t="n"/>
      <c r="AJ67" s="148" t="n"/>
      <c r="AK67" s="148" t="n"/>
      <c r="AL67" s="148" t="n"/>
      <c r="AM67" s="148" t="n"/>
      <c r="AN67" s="148" t="n"/>
      <c r="AO67" s="148" t="n"/>
      <c r="AP67" s="148" t="n"/>
      <c r="AQ67" s="148" t="n"/>
      <c r="AR67" s="148" t="n"/>
      <c r="AS67" s="148" t="n"/>
      <c r="AT67" s="227" t="n"/>
      <c r="AU67" s="227" t="n"/>
      <c r="AV67" s="227" t="n"/>
      <c r="AW67" s="227" t="n"/>
      <c r="AX67" s="227" t="n"/>
    </row>
    <row r="68" customFormat="1" s="283">
      <c r="A68" s="33">
        <f>FS_Q!A68</f>
        <v/>
      </c>
      <c r="B68" s="382" t="n"/>
      <c r="C68" s="382" t="n"/>
      <c r="D68" s="382" t="n"/>
      <c r="E68" s="517">
        <f>INDEX(FS_Q!68:68,MATCH("4Q"&amp;RIGHT(FS_Y!E$5,2),FS_Q!$5:$5,0))</f>
        <v/>
      </c>
      <c r="F68" s="517">
        <f>INDEX(FS_Q!68:68,MATCH("4Q"&amp;RIGHT(FS_Y!F$5,2),FS_Q!$5:$5,0))</f>
        <v/>
      </c>
      <c r="G68" s="517">
        <f>INDEX(FS_Q!68:68,MATCH("4Q"&amp;RIGHT(FS_Y!G$5,2),FS_Q!$5:$5,0))</f>
        <v/>
      </c>
      <c r="H68" s="517">
        <f>INDEX(FS_Q!68:68,MATCH("4Q"&amp;RIGHT(FS_Y!H$5,2),FS_Q!$5:$5,0))</f>
        <v/>
      </c>
      <c r="I68" s="517">
        <f>INDEX(FS_Q!68:68,MATCH("4Q"&amp;RIGHT(FS_Y!I$5,2),FS_Q!$5:$5,0))</f>
        <v/>
      </c>
      <c r="J68" s="517">
        <f>INDEX(FS_Q!68:68,MATCH("4Q"&amp;RIGHT(FS_Y!J$5,2),FS_Q!$5:$5,0))</f>
        <v/>
      </c>
      <c r="K68" s="517">
        <f>INDEX(FS_Q!68:68,MATCH("4Q"&amp;RIGHT(FS_Y!K$5,2),FS_Q!$5:$5,0))</f>
        <v/>
      </c>
      <c r="L68" s="517">
        <f>INDEX(FS_Q!68:68,MATCH("4Q"&amp;RIGHT(FS_Y!L$5,2),FS_Q!$5:$5,0))</f>
        <v/>
      </c>
      <c r="M68" s="517">
        <f>INDEX(FS_Q!68:68,MATCH("4Q"&amp;RIGHT(FS_Y!M$5,2),FS_Q!$5:$5,0))</f>
        <v/>
      </c>
      <c r="N68" s="517">
        <f>INDEX(FS_Q!68:68,MATCH("4Q"&amp;RIGHT(FS_Y!N$5,2),FS_Q!$5:$5,0))</f>
        <v/>
      </c>
      <c r="O68" s="517">
        <f>INDEX(FS_Q!68:68,MATCH("4Q"&amp;RIGHT(FS_Y!O$5,2),FS_Q!$5:$5,0))</f>
        <v/>
      </c>
      <c r="P68" s="517">
        <f>INDEX(FS_Q!68:68,MATCH("4Q"&amp;RIGHT(FS_Y!P$5,2),FS_Q!$5:$5,0))</f>
        <v/>
      </c>
      <c r="Q68" s="517">
        <f>INDEX(FS_Q!68:68,MATCH("4Q"&amp;RIGHT(FS_Y!Q$5,2),FS_Q!$5:$5,0))</f>
        <v/>
      </c>
      <c r="R68" s="517">
        <f>INDEX(FS_Q!68:68,MATCH("4Q"&amp;RIGHT(FS_Y!R$5,2),FS_Q!$5:$5,0))</f>
        <v/>
      </c>
      <c r="S68" s="517">
        <f>INDEX(FS_Q!68:68,MATCH("4Q"&amp;RIGHT(FS_Y!S$5,2),FS_Q!$5:$5,0))</f>
        <v/>
      </c>
      <c r="T68" s="517">
        <f>INDEX(FS_Q!68:68,MATCH("4Q"&amp;RIGHT(FS_Y!T$5,2),FS_Q!$5:$5,0))</f>
        <v/>
      </c>
      <c r="U68" s="517">
        <f>INDEX(FS_Q!68:68,MATCH("4Q"&amp;RIGHT(FS_Y!U$5,2),FS_Q!$5:$5,0))</f>
        <v/>
      </c>
      <c r="V68" s="517">
        <f>INDEX(FS_Q!68:68,MATCH("4Q"&amp;RIGHT(FS_Y!V$5,2),FS_Q!$5:$5,0))</f>
        <v/>
      </c>
      <c r="W68" s="517">
        <f>INDEX(FS_Q!68:68,MATCH("4Q"&amp;RIGHT(FS_Y!W$5,2),FS_Q!$5:$5,0))</f>
        <v/>
      </c>
      <c r="X68" s="382" t="n"/>
      <c r="Y68" s="382" t="n"/>
      <c r="Z68" s="382" t="n"/>
      <c r="AA68" s="382" t="n"/>
      <c r="AB68" s="382" t="n"/>
      <c r="AC68" s="382" t="n"/>
      <c r="AD68" s="382" t="n"/>
      <c r="AE68" s="382" t="n"/>
      <c r="AF68" s="382" t="n"/>
      <c r="AG68" s="382" t="n"/>
      <c r="AH68" s="382" t="n"/>
      <c r="AI68" s="382" t="n"/>
      <c r="AJ68" s="382" t="n"/>
      <c r="AK68" s="382" t="n"/>
      <c r="AL68" s="382" t="n"/>
      <c r="AM68" s="382" t="n"/>
      <c r="AN68" s="382" t="n"/>
      <c r="AO68" s="382" t="n"/>
      <c r="AP68" s="382" t="n"/>
      <c r="AQ68" s="382" t="n"/>
      <c r="AR68" s="382" t="n"/>
      <c r="AS68" s="382" t="n"/>
    </row>
    <row r="69">
      <c r="A69" s="33">
        <f>FS_Q!A69</f>
        <v/>
      </c>
      <c r="B69" s="148" t="n"/>
      <c r="C69" s="148" t="n"/>
      <c r="D69" s="148" t="n"/>
      <c r="E69" s="517">
        <f>INDEX(FS_Q!69:69,MATCH("4Q"&amp;RIGHT(FS_Y!E$5,2),FS_Q!$5:$5,0))</f>
        <v/>
      </c>
      <c r="F69" s="517">
        <f>INDEX(FS_Q!69:69,MATCH("4Q"&amp;RIGHT(FS_Y!F$5,2),FS_Q!$5:$5,0))</f>
        <v/>
      </c>
      <c r="G69" s="517">
        <f>INDEX(FS_Q!69:69,MATCH("4Q"&amp;RIGHT(FS_Y!G$5,2),FS_Q!$5:$5,0))</f>
        <v/>
      </c>
      <c r="H69" s="517">
        <f>INDEX(FS_Q!69:69,MATCH("4Q"&amp;RIGHT(FS_Y!H$5,2),FS_Q!$5:$5,0))</f>
        <v/>
      </c>
      <c r="I69" s="517">
        <f>INDEX(FS_Q!69:69,MATCH("4Q"&amp;RIGHT(FS_Y!I$5,2),FS_Q!$5:$5,0))</f>
        <v/>
      </c>
      <c r="J69" s="517">
        <f>INDEX(FS_Q!69:69,MATCH("4Q"&amp;RIGHT(FS_Y!J$5,2),FS_Q!$5:$5,0))</f>
        <v/>
      </c>
      <c r="K69" s="517">
        <f>INDEX(FS_Q!69:69,MATCH("4Q"&amp;RIGHT(FS_Y!K$5,2),FS_Q!$5:$5,0))</f>
        <v/>
      </c>
      <c r="L69" s="517">
        <f>INDEX(FS_Q!69:69,MATCH("4Q"&amp;RIGHT(FS_Y!L$5,2),FS_Q!$5:$5,0))</f>
        <v/>
      </c>
      <c r="M69" s="517">
        <f>INDEX(FS_Q!69:69,MATCH("4Q"&amp;RIGHT(FS_Y!M$5,2),FS_Q!$5:$5,0))</f>
        <v/>
      </c>
      <c r="N69" s="517">
        <f>INDEX(FS_Q!69:69,MATCH("4Q"&amp;RIGHT(FS_Y!N$5,2),FS_Q!$5:$5,0))</f>
        <v/>
      </c>
      <c r="O69" s="517">
        <f>INDEX(FS_Q!69:69,MATCH("4Q"&amp;RIGHT(FS_Y!O$5,2),FS_Q!$5:$5,0))</f>
        <v/>
      </c>
      <c r="P69" s="517">
        <f>INDEX(FS_Q!69:69,MATCH("4Q"&amp;RIGHT(FS_Y!P$5,2),FS_Q!$5:$5,0))</f>
        <v/>
      </c>
      <c r="Q69" s="517">
        <f>INDEX(FS_Q!69:69,MATCH("4Q"&amp;RIGHT(FS_Y!Q$5,2),FS_Q!$5:$5,0))</f>
        <v/>
      </c>
      <c r="R69" s="517">
        <f>INDEX(FS_Q!69:69,MATCH("4Q"&amp;RIGHT(FS_Y!R$5,2),FS_Q!$5:$5,0))</f>
        <v/>
      </c>
      <c r="S69" s="517">
        <f>INDEX(FS_Q!69:69,MATCH("4Q"&amp;RIGHT(FS_Y!S$5,2),FS_Q!$5:$5,0))</f>
        <v/>
      </c>
      <c r="T69" s="517">
        <f>INDEX(FS_Q!69:69,MATCH("4Q"&amp;RIGHT(FS_Y!T$5,2),FS_Q!$5:$5,0))</f>
        <v/>
      </c>
      <c r="U69" s="517">
        <f>INDEX(FS_Q!69:69,MATCH("4Q"&amp;RIGHT(FS_Y!U$5,2),FS_Q!$5:$5,0))</f>
        <v/>
      </c>
      <c r="V69" s="517">
        <f>INDEX(FS_Q!69:69,MATCH("4Q"&amp;RIGHT(FS_Y!V$5,2),FS_Q!$5:$5,0))</f>
        <v/>
      </c>
      <c r="W69" s="517">
        <f>INDEX(FS_Q!69:69,MATCH("4Q"&amp;RIGHT(FS_Y!W$5,2),FS_Q!$5:$5,0))</f>
        <v/>
      </c>
      <c r="X69" s="148" t="n"/>
      <c r="Y69" s="148" t="n"/>
      <c r="Z69" s="148" t="n"/>
      <c r="AA69" s="148" t="n"/>
      <c r="AB69" s="148" t="n"/>
      <c r="AC69" s="148" t="n"/>
      <c r="AD69" s="148" t="n"/>
      <c r="AE69" s="148" t="n"/>
      <c r="AF69" s="148" t="n"/>
      <c r="AG69" s="148" t="n"/>
      <c r="AH69" s="148" t="n"/>
      <c r="AI69" s="148" t="n"/>
      <c r="AJ69" s="148" t="n"/>
      <c r="AK69" s="148" t="n"/>
      <c r="AL69" s="148" t="n"/>
      <c r="AM69" s="148" t="n"/>
      <c r="AN69" s="148" t="n"/>
      <c r="AO69" s="148" t="n"/>
      <c r="AP69" s="148" t="n"/>
      <c r="AQ69" s="148" t="n"/>
      <c r="AR69" s="148" t="n"/>
      <c r="AS69" s="148" t="n"/>
    </row>
    <row r="70">
      <c r="A70" s="33">
        <f>FS_Q!A70</f>
        <v/>
      </c>
      <c r="B70" s="405" t="n"/>
      <c r="C70" s="405" t="n"/>
      <c r="D70" s="405" t="n"/>
      <c r="E70" s="517">
        <f>INDEX(FS_Q!70:70,MATCH("4Q"&amp;RIGHT(FS_Y!E$5,2),FS_Q!$5:$5,0))</f>
        <v/>
      </c>
      <c r="F70" s="517">
        <f>INDEX(FS_Q!70:70,MATCH("4Q"&amp;RIGHT(FS_Y!F$5,2),FS_Q!$5:$5,0))</f>
        <v/>
      </c>
      <c r="G70" s="517">
        <f>INDEX(FS_Q!70:70,MATCH("4Q"&amp;RIGHT(FS_Y!G$5,2),FS_Q!$5:$5,0))</f>
        <v/>
      </c>
      <c r="H70" s="517">
        <f>INDEX(FS_Q!70:70,MATCH("4Q"&amp;RIGHT(FS_Y!H$5,2),FS_Q!$5:$5,0))</f>
        <v/>
      </c>
      <c r="I70" s="517">
        <f>INDEX(FS_Q!70:70,MATCH("4Q"&amp;RIGHT(FS_Y!I$5,2),FS_Q!$5:$5,0))</f>
        <v/>
      </c>
      <c r="J70" s="517">
        <f>INDEX(FS_Q!70:70,MATCH("4Q"&amp;RIGHT(FS_Y!J$5,2),FS_Q!$5:$5,0))</f>
        <v/>
      </c>
      <c r="K70" s="517">
        <f>INDEX(FS_Q!70:70,MATCH("4Q"&amp;RIGHT(FS_Y!K$5,2),FS_Q!$5:$5,0))</f>
        <v/>
      </c>
      <c r="L70" s="517">
        <f>INDEX(FS_Q!70:70,MATCH("4Q"&amp;RIGHT(FS_Y!L$5,2),FS_Q!$5:$5,0))</f>
        <v/>
      </c>
      <c r="M70" s="517">
        <f>INDEX(FS_Q!70:70,MATCH("4Q"&amp;RIGHT(FS_Y!M$5,2),FS_Q!$5:$5,0))</f>
        <v/>
      </c>
      <c r="N70" s="517">
        <f>INDEX(FS_Q!70:70,MATCH("4Q"&amp;RIGHT(FS_Y!N$5,2),FS_Q!$5:$5,0))</f>
        <v/>
      </c>
      <c r="O70" s="517">
        <f>INDEX(FS_Q!70:70,MATCH("4Q"&amp;RIGHT(FS_Y!O$5,2),FS_Q!$5:$5,0))</f>
        <v/>
      </c>
      <c r="P70" s="517">
        <f>INDEX(FS_Q!70:70,MATCH("4Q"&amp;RIGHT(FS_Y!P$5,2),FS_Q!$5:$5,0))</f>
        <v/>
      </c>
      <c r="Q70" s="517">
        <f>INDEX(FS_Q!70:70,MATCH("4Q"&amp;RIGHT(FS_Y!Q$5,2),FS_Q!$5:$5,0))</f>
        <v/>
      </c>
      <c r="R70" s="517">
        <f>INDEX(FS_Q!70:70,MATCH("4Q"&amp;RIGHT(FS_Y!R$5,2),FS_Q!$5:$5,0))</f>
        <v/>
      </c>
      <c r="S70" s="517">
        <f>INDEX(FS_Q!70:70,MATCH("4Q"&amp;RIGHT(FS_Y!S$5,2),FS_Q!$5:$5,0))</f>
        <v/>
      </c>
      <c r="T70" s="517">
        <f>INDEX(FS_Q!70:70,MATCH("4Q"&amp;RIGHT(FS_Y!T$5,2),FS_Q!$5:$5,0))</f>
        <v/>
      </c>
      <c r="U70" s="517">
        <f>INDEX(FS_Q!70:70,MATCH("4Q"&amp;RIGHT(FS_Y!U$5,2),FS_Q!$5:$5,0))</f>
        <v/>
      </c>
      <c r="V70" s="517">
        <f>INDEX(FS_Q!70:70,MATCH("4Q"&amp;RIGHT(FS_Y!V$5,2),FS_Q!$5:$5,0))</f>
        <v/>
      </c>
      <c r="W70" s="517">
        <f>INDEX(FS_Q!70:70,MATCH("4Q"&amp;RIGHT(FS_Y!W$5,2),FS_Q!$5:$5,0))</f>
        <v/>
      </c>
      <c r="X70" s="148" t="n"/>
      <c r="Y70" s="148" t="n"/>
      <c r="Z70" s="148" t="n"/>
      <c r="AA70" s="148" t="n"/>
      <c r="AB70" s="148" t="n"/>
      <c r="AC70" s="148" t="n"/>
      <c r="AD70" s="148" t="n"/>
      <c r="AE70" s="148" t="n"/>
      <c r="AF70" s="148" t="n"/>
      <c r="AG70" s="148" t="n"/>
      <c r="AH70" s="148" t="n"/>
      <c r="AI70" s="148" t="n"/>
      <c r="AJ70" s="148" t="n"/>
      <c r="AK70" s="148" t="n"/>
      <c r="AL70" s="148" t="n"/>
      <c r="AM70" s="148" t="n"/>
      <c r="AN70" s="148" t="n"/>
      <c r="AO70" s="148" t="n"/>
      <c r="AP70" s="148" t="n"/>
      <c r="AQ70" s="148" t="n"/>
      <c r="AR70" s="148" t="n"/>
      <c r="AS70" s="148" t="n"/>
    </row>
    <row r="71" customFormat="1" s="396">
      <c r="A71" s="33">
        <f>FS_Q!A71</f>
        <v/>
      </c>
      <c r="E71" s="517">
        <f>INDEX(FS_Q!71:71,MATCH("4Q"&amp;RIGHT(FS_Y!E$5,2),FS_Q!$5:$5,0))</f>
        <v/>
      </c>
      <c r="F71" s="517">
        <f>INDEX(FS_Q!71:71,MATCH("4Q"&amp;RIGHT(FS_Y!F$5,2),FS_Q!$5:$5,0))</f>
        <v/>
      </c>
      <c r="G71" s="517">
        <f>INDEX(FS_Q!71:71,MATCH("4Q"&amp;RIGHT(FS_Y!G$5,2),FS_Q!$5:$5,0))</f>
        <v/>
      </c>
      <c r="H71" s="517">
        <f>INDEX(FS_Q!71:71,MATCH("4Q"&amp;RIGHT(FS_Y!H$5,2),FS_Q!$5:$5,0))</f>
        <v/>
      </c>
      <c r="I71" s="517">
        <f>INDEX(FS_Q!71:71,MATCH("4Q"&amp;RIGHT(FS_Y!I$5,2),FS_Q!$5:$5,0))</f>
        <v/>
      </c>
      <c r="J71" s="517">
        <f>INDEX(FS_Q!71:71,MATCH("4Q"&amp;RIGHT(FS_Y!J$5,2),FS_Q!$5:$5,0))</f>
        <v/>
      </c>
      <c r="K71" s="517">
        <f>INDEX(FS_Q!71:71,MATCH("4Q"&amp;RIGHT(FS_Y!K$5,2),FS_Q!$5:$5,0))</f>
        <v/>
      </c>
      <c r="L71" s="517">
        <f>INDEX(FS_Q!71:71,MATCH("4Q"&amp;RIGHT(FS_Y!L$5,2),FS_Q!$5:$5,0))</f>
        <v/>
      </c>
      <c r="M71" s="517">
        <f>INDEX(FS_Q!71:71,MATCH("4Q"&amp;RIGHT(FS_Y!M$5,2),FS_Q!$5:$5,0))</f>
        <v/>
      </c>
      <c r="N71" s="517">
        <f>INDEX(FS_Q!71:71,MATCH("4Q"&amp;RIGHT(FS_Y!N$5,2),FS_Q!$5:$5,0))</f>
        <v/>
      </c>
      <c r="O71" s="517">
        <f>INDEX(FS_Q!71:71,MATCH("4Q"&amp;RIGHT(FS_Y!O$5,2),FS_Q!$5:$5,0))</f>
        <v/>
      </c>
      <c r="P71" s="517">
        <f>INDEX(FS_Q!71:71,MATCH("4Q"&amp;RIGHT(FS_Y!P$5,2),FS_Q!$5:$5,0))</f>
        <v/>
      </c>
      <c r="Q71" s="517">
        <f>INDEX(FS_Q!71:71,MATCH("4Q"&amp;RIGHT(FS_Y!Q$5,2),FS_Q!$5:$5,0))</f>
        <v/>
      </c>
      <c r="R71" s="517">
        <f>INDEX(FS_Q!71:71,MATCH("4Q"&amp;RIGHT(FS_Y!R$5,2),FS_Q!$5:$5,0))</f>
        <v/>
      </c>
      <c r="S71" s="517">
        <f>INDEX(FS_Q!71:71,MATCH("4Q"&amp;RIGHT(FS_Y!S$5,2),FS_Q!$5:$5,0))</f>
        <v/>
      </c>
      <c r="T71" s="517">
        <f>INDEX(FS_Q!71:71,MATCH("4Q"&amp;RIGHT(FS_Y!T$5,2),FS_Q!$5:$5,0))</f>
        <v/>
      </c>
      <c r="U71" s="517">
        <f>INDEX(FS_Q!71:71,MATCH("4Q"&amp;RIGHT(FS_Y!U$5,2),FS_Q!$5:$5,0))</f>
        <v/>
      </c>
      <c r="V71" s="517">
        <f>INDEX(FS_Q!71:71,MATCH("4Q"&amp;RIGHT(FS_Y!V$5,2),FS_Q!$5:$5,0))</f>
        <v/>
      </c>
      <c r="W71" s="517">
        <f>INDEX(FS_Q!71:71,MATCH("4Q"&amp;RIGHT(FS_Y!W$5,2),FS_Q!$5:$5,0))</f>
        <v/>
      </c>
    </row>
    <row r="72">
      <c r="A72" s="33">
        <f>FS_Q!A72</f>
        <v/>
      </c>
      <c r="B72" s="147" t="n"/>
      <c r="C72" s="147" t="n"/>
      <c r="D72" s="147" t="n"/>
      <c r="E72" s="517">
        <f>INDEX(FS_Q!72:72,MATCH("4Q"&amp;RIGHT(FS_Y!E$5,2),FS_Q!$5:$5,0))</f>
        <v/>
      </c>
      <c r="F72" s="517">
        <f>INDEX(FS_Q!72:72,MATCH("4Q"&amp;RIGHT(FS_Y!F$5,2),FS_Q!$5:$5,0))</f>
        <v/>
      </c>
      <c r="G72" s="517">
        <f>INDEX(FS_Q!72:72,MATCH("4Q"&amp;RIGHT(FS_Y!G$5,2),FS_Q!$5:$5,0))</f>
        <v/>
      </c>
      <c r="H72" s="517">
        <f>INDEX(FS_Q!72:72,MATCH("4Q"&amp;RIGHT(FS_Y!H$5,2),FS_Q!$5:$5,0))</f>
        <v/>
      </c>
      <c r="I72" s="517">
        <f>INDEX(FS_Q!72:72,MATCH("4Q"&amp;RIGHT(FS_Y!I$5,2),FS_Q!$5:$5,0))</f>
        <v/>
      </c>
      <c r="J72" s="517">
        <f>INDEX(FS_Q!72:72,MATCH("4Q"&amp;RIGHT(FS_Y!J$5,2),FS_Q!$5:$5,0))</f>
        <v/>
      </c>
      <c r="K72" s="517">
        <f>INDEX(FS_Q!72:72,MATCH("4Q"&amp;RIGHT(FS_Y!K$5,2),FS_Q!$5:$5,0))</f>
        <v/>
      </c>
      <c r="L72" s="517">
        <f>INDEX(FS_Q!72:72,MATCH("4Q"&amp;RIGHT(FS_Y!L$5,2),FS_Q!$5:$5,0))</f>
        <v/>
      </c>
      <c r="M72" s="517">
        <f>INDEX(FS_Q!72:72,MATCH("4Q"&amp;RIGHT(FS_Y!M$5,2),FS_Q!$5:$5,0))</f>
        <v/>
      </c>
      <c r="N72" s="517">
        <f>INDEX(FS_Q!72:72,MATCH("4Q"&amp;RIGHT(FS_Y!N$5,2),FS_Q!$5:$5,0))</f>
        <v/>
      </c>
      <c r="O72" s="517">
        <f>INDEX(FS_Q!72:72,MATCH("4Q"&amp;RIGHT(FS_Y!O$5,2),FS_Q!$5:$5,0))</f>
        <v/>
      </c>
      <c r="P72" s="517">
        <f>INDEX(FS_Q!72:72,MATCH("4Q"&amp;RIGHT(FS_Y!P$5,2),FS_Q!$5:$5,0))</f>
        <v/>
      </c>
      <c r="Q72" s="517">
        <f>INDEX(FS_Q!72:72,MATCH("4Q"&amp;RIGHT(FS_Y!Q$5,2),FS_Q!$5:$5,0))</f>
        <v/>
      </c>
      <c r="R72" s="517">
        <f>INDEX(FS_Q!72:72,MATCH("4Q"&amp;RIGHT(FS_Y!R$5,2),FS_Q!$5:$5,0))</f>
        <v/>
      </c>
      <c r="S72" s="517">
        <f>INDEX(FS_Q!72:72,MATCH("4Q"&amp;RIGHT(FS_Y!S$5,2),FS_Q!$5:$5,0))</f>
        <v/>
      </c>
      <c r="T72" s="517">
        <f>INDEX(FS_Q!72:72,MATCH("4Q"&amp;RIGHT(FS_Y!T$5,2),FS_Q!$5:$5,0))</f>
        <v/>
      </c>
      <c r="U72" s="517">
        <f>INDEX(FS_Q!72:72,MATCH("4Q"&amp;RIGHT(FS_Y!U$5,2),FS_Q!$5:$5,0))</f>
        <v/>
      </c>
      <c r="V72" s="517">
        <f>INDEX(FS_Q!72:72,MATCH("4Q"&amp;RIGHT(FS_Y!V$5,2),FS_Q!$5:$5,0))</f>
        <v/>
      </c>
      <c r="W72" s="517">
        <f>INDEX(FS_Q!72:72,MATCH("4Q"&amp;RIGHT(FS_Y!W$5,2),FS_Q!$5:$5,0))</f>
        <v/>
      </c>
      <c r="X72" s="148" t="n"/>
      <c r="Y72" s="148" t="n"/>
      <c r="Z72" s="148" t="n"/>
      <c r="AA72" s="148" t="n"/>
      <c r="AB72" s="148" t="n"/>
      <c r="AC72" s="148" t="n"/>
      <c r="AD72" s="148" t="n"/>
      <c r="AE72" s="148" t="n"/>
      <c r="AF72" s="148" t="n"/>
      <c r="AG72" s="148" t="n"/>
      <c r="AH72" s="148" t="n"/>
      <c r="AI72" s="148" t="n"/>
      <c r="AJ72" s="148" t="n"/>
      <c r="AK72" s="148" t="n"/>
      <c r="AL72" s="148" t="n"/>
      <c r="AM72" s="148" t="n"/>
      <c r="AN72" s="148" t="n"/>
      <c r="AO72" s="148" t="n"/>
      <c r="AP72" s="148" t="n"/>
      <c r="AQ72" s="148" t="n"/>
      <c r="AR72" s="148" t="n"/>
      <c r="AS72" s="148" t="n"/>
    </row>
    <row r="73">
      <c r="A73" s="74">
        <f>FS_Q!A73</f>
        <v/>
      </c>
      <c r="B73" s="382" t="n"/>
      <c r="C73" s="382" t="n"/>
      <c r="D73" s="382" t="n"/>
      <c r="E73" s="517">
        <f>INDEX(FS_Q!73:73,MATCH("4Q"&amp;RIGHT(FS_Y!E$5,2),FS_Q!$5:$5,0))</f>
        <v/>
      </c>
      <c r="F73" s="517">
        <f>INDEX(FS_Q!73:73,MATCH("4Q"&amp;RIGHT(FS_Y!F$5,2),FS_Q!$5:$5,0))</f>
        <v/>
      </c>
      <c r="G73" s="517">
        <f>INDEX(FS_Q!73:73,MATCH("4Q"&amp;RIGHT(FS_Y!G$5,2),FS_Q!$5:$5,0))</f>
        <v/>
      </c>
      <c r="H73" s="517">
        <f>INDEX(FS_Q!73:73,MATCH("4Q"&amp;RIGHT(FS_Y!H$5,2),FS_Q!$5:$5,0))</f>
        <v/>
      </c>
      <c r="I73" s="517">
        <f>INDEX(FS_Q!73:73,MATCH("4Q"&amp;RIGHT(FS_Y!I$5,2),FS_Q!$5:$5,0))</f>
        <v/>
      </c>
      <c r="J73" s="517">
        <f>INDEX(FS_Q!73:73,MATCH("4Q"&amp;RIGHT(FS_Y!J$5,2),FS_Q!$5:$5,0))</f>
        <v/>
      </c>
      <c r="K73" s="517">
        <f>INDEX(FS_Q!73:73,MATCH("4Q"&amp;RIGHT(FS_Y!K$5,2),FS_Q!$5:$5,0))</f>
        <v/>
      </c>
      <c r="L73" s="517">
        <f>INDEX(FS_Q!73:73,MATCH("4Q"&amp;RIGHT(FS_Y!L$5,2),FS_Q!$5:$5,0))</f>
        <v/>
      </c>
      <c r="M73" s="517">
        <f>INDEX(FS_Q!73:73,MATCH("4Q"&amp;RIGHT(FS_Y!M$5,2),FS_Q!$5:$5,0))</f>
        <v/>
      </c>
      <c r="N73" s="517">
        <f>INDEX(FS_Q!73:73,MATCH("4Q"&amp;RIGHT(FS_Y!N$5,2),FS_Q!$5:$5,0))</f>
        <v/>
      </c>
      <c r="O73" s="517">
        <f>INDEX(FS_Q!73:73,MATCH("4Q"&amp;RIGHT(FS_Y!O$5,2),FS_Q!$5:$5,0))</f>
        <v/>
      </c>
      <c r="P73" s="517">
        <f>INDEX(FS_Q!73:73,MATCH("4Q"&amp;RIGHT(FS_Y!P$5,2),FS_Q!$5:$5,0))</f>
        <v/>
      </c>
      <c r="Q73" s="517">
        <f>INDEX(FS_Q!73:73,MATCH("4Q"&amp;RIGHT(FS_Y!Q$5,2),FS_Q!$5:$5,0))</f>
        <v/>
      </c>
      <c r="R73" s="517">
        <f>INDEX(FS_Q!73:73,MATCH("4Q"&amp;RIGHT(FS_Y!R$5,2),FS_Q!$5:$5,0))</f>
        <v/>
      </c>
      <c r="S73" s="517">
        <f>INDEX(FS_Q!73:73,MATCH("4Q"&amp;RIGHT(FS_Y!S$5,2),FS_Q!$5:$5,0))</f>
        <v/>
      </c>
      <c r="T73" s="517">
        <f>INDEX(FS_Q!73:73,MATCH("4Q"&amp;RIGHT(FS_Y!T$5,2),FS_Q!$5:$5,0))</f>
        <v/>
      </c>
      <c r="U73" s="517">
        <f>INDEX(FS_Q!73:73,MATCH("4Q"&amp;RIGHT(FS_Y!U$5,2),FS_Q!$5:$5,0))</f>
        <v/>
      </c>
      <c r="V73" s="517">
        <f>INDEX(FS_Q!73:73,MATCH("4Q"&amp;RIGHT(FS_Y!V$5,2),FS_Q!$5:$5,0))</f>
        <v/>
      </c>
      <c r="W73" s="517">
        <f>INDEX(FS_Q!73:73,MATCH("4Q"&amp;RIGHT(FS_Y!W$5,2),FS_Q!$5:$5,0))</f>
        <v/>
      </c>
      <c r="X73" s="148" t="n"/>
      <c r="Y73" s="148" t="n"/>
      <c r="Z73" s="148" t="n"/>
      <c r="AA73" s="148" t="n"/>
      <c r="AB73" s="148" t="n"/>
      <c r="AC73" s="148" t="n"/>
      <c r="AD73" s="148" t="n"/>
      <c r="AE73" s="148" t="n"/>
      <c r="AF73" s="148" t="n"/>
      <c r="AG73" s="148" t="n"/>
      <c r="AH73" s="148" t="n"/>
      <c r="AI73" s="148" t="n"/>
      <c r="AJ73" s="148" t="n"/>
      <c r="AK73" s="148" t="n"/>
      <c r="AL73" s="148" t="n"/>
      <c r="AM73" s="148" t="n"/>
      <c r="AN73" s="148" t="n"/>
      <c r="AO73" s="148" t="n"/>
      <c r="AP73" s="148" t="n"/>
      <c r="AQ73" s="148" t="n"/>
      <c r="AR73" s="148" t="n"/>
      <c r="AS73" s="148" t="n"/>
    </row>
    <row r="74">
      <c r="A74" s="74">
        <f>FS_Q!A74</f>
        <v/>
      </c>
      <c r="B74" s="147" t="n"/>
      <c r="C74" s="147" t="n"/>
      <c r="D74" s="147" t="n"/>
      <c r="E74" s="517">
        <f>INDEX(FS_Q!74:74,MATCH("4Q"&amp;RIGHT(FS_Y!E$5,2),FS_Q!$5:$5,0))</f>
        <v/>
      </c>
      <c r="F74" s="517">
        <f>INDEX(FS_Q!74:74,MATCH("4Q"&amp;RIGHT(FS_Y!F$5,2),FS_Q!$5:$5,0))</f>
        <v/>
      </c>
      <c r="G74" s="517">
        <f>INDEX(FS_Q!74:74,MATCH("4Q"&amp;RIGHT(FS_Y!G$5,2),FS_Q!$5:$5,0))</f>
        <v/>
      </c>
      <c r="H74" s="517">
        <f>INDEX(FS_Q!74:74,MATCH("4Q"&amp;RIGHT(FS_Y!H$5,2),FS_Q!$5:$5,0))</f>
        <v/>
      </c>
      <c r="I74" s="517">
        <f>INDEX(FS_Q!74:74,MATCH("4Q"&amp;RIGHT(FS_Y!I$5,2),FS_Q!$5:$5,0))</f>
        <v/>
      </c>
      <c r="J74" s="517">
        <f>INDEX(FS_Q!74:74,MATCH("4Q"&amp;RIGHT(FS_Y!J$5,2),FS_Q!$5:$5,0))</f>
        <v/>
      </c>
      <c r="K74" s="517">
        <f>INDEX(FS_Q!74:74,MATCH("4Q"&amp;RIGHT(FS_Y!K$5,2),FS_Q!$5:$5,0))</f>
        <v/>
      </c>
      <c r="L74" s="517">
        <f>INDEX(FS_Q!74:74,MATCH("4Q"&amp;RIGHT(FS_Y!L$5,2),FS_Q!$5:$5,0))</f>
        <v/>
      </c>
      <c r="M74" s="517">
        <f>INDEX(FS_Q!74:74,MATCH("4Q"&amp;RIGHT(FS_Y!M$5,2),FS_Q!$5:$5,0))</f>
        <v/>
      </c>
      <c r="N74" s="517">
        <f>INDEX(FS_Q!74:74,MATCH("4Q"&amp;RIGHT(FS_Y!N$5,2),FS_Q!$5:$5,0))</f>
        <v/>
      </c>
      <c r="O74" s="517">
        <f>INDEX(FS_Q!74:74,MATCH("4Q"&amp;RIGHT(FS_Y!O$5,2),FS_Q!$5:$5,0))</f>
        <v/>
      </c>
      <c r="P74" s="517">
        <f>INDEX(FS_Q!74:74,MATCH("4Q"&amp;RIGHT(FS_Y!P$5,2),FS_Q!$5:$5,0))</f>
        <v/>
      </c>
      <c r="Q74" s="517">
        <f>INDEX(FS_Q!74:74,MATCH("4Q"&amp;RIGHT(FS_Y!Q$5,2),FS_Q!$5:$5,0))</f>
        <v/>
      </c>
      <c r="R74" s="517">
        <f>INDEX(FS_Q!74:74,MATCH("4Q"&amp;RIGHT(FS_Y!R$5,2),FS_Q!$5:$5,0))</f>
        <v/>
      </c>
      <c r="S74" s="517">
        <f>INDEX(FS_Q!74:74,MATCH("4Q"&amp;RIGHT(FS_Y!S$5,2),FS_Q!$5:$5,0))</f>
        <v/>
      </c>
      <c r="T74" s="517">
        <f>INDEX(FS_Q!74:74,MATCH("4Q"&amp;RIGHT(FS_Y!T$5,2),FS_Q!$5:$5,0))</f>
        <v/>
      </c>
      <c r="U74" s="517">
        <f>INDEX(FS_Q!74:74,MATCH("4Q"&amp;RIGHT(FS_Y!U$5,2),FS_Q!$5:$5,0))</f>
        <v/>
      </c>
      <c r="V74" s="517">
        <f>INDEX(FS_Q!74:74,MATCH("4Q"&amp;RIGHT(FS_Y!V$5,2),FS_Q!$5:$5,0))</f>
        <v/>
      </c>
      <c r="W74" s="517">
        <f>INDEX(FS_Q!74:74,MATCH("4Q"&amp;RIGHT(FS_Y!W$5,2),FS_Q!$5:$5,0))</f>
        <v/>
      </c>
      <c r="X74" s="148" t="n"/>
      <c r="Y74" s="148" t="n"/>
      <c r="Z74" s="148" t="n"/>
      <c r="AA74" s="148" t="n"/>
      <c r="AB74" s="148" t="n"/>
      <c r="AC74" s="148" t="n"/>
      <c r="AD74" s="148" t="n"/>
      <c r="AE74" s="148" t="n"/>
      <c r="AF74" s="148" t="n"/>
      <c r="AG74" s="148" t="n"/>
      <c r="AH74" s="148" t="n"/>
      <c r="AI74" s="148" t="n"/>
      <c r="AJ74" s="148" t="n"/>
      <c r="AK74" s="148" t="n"/>
      <c r="AL74" s="148" t="n"/>
      <c r="AM74" s="148" t="n"/>
      <c r="AN74" s="148" t="n"/>
      <c r="AO74" s="148" t="n"/>
      <c r="AP74" s="148" t="n"/>
      <c r="AQ74" s="148" t="n"/>
      <c r="AR74" s="148" t="n"/>
      <c r="AS74" s="148" t="n"/>
    </row>
    <row r="75" customFormat="1" s="281">
      <c r="A75" s="22">
        <f>FS_Q!A75</f>
        <v/>
      </c>
      <c r="B75" s="382" t="n"/>
      <c r="C75" s="382" t="n"/>
      <c r="D75" s="382" t="n"/>
      <c r="E75" s="519">
        <f>INDEX(FS_Q!75:75,MATCH("4Q"&amp;RIGHT(FS_Y!E$5,2),FS_Q!$5:$5,0))</f>
        <v/>
      </c>
      <c r="F75" s="519">
        <f>INDEX(FS_Q!75:75,MATCH("4Q"&amp;RIGHT(FS_Y!F$5,2),FS_Q!$5:$5,0))</f>
        <v/>
      </c>
      <c r="G75" s="519">
        <f>INDEX(FS_Q!75:75,MATCH("4Q"&amp;RIGHT(FS_Y!G$5,2),FS_Q!$5:$5,0))</f>
        <v/>
      </c>
      <c r="H75" s="519">
        <f>INDEX(FS_Q!75:75,MATCH("4Q"&amp;RIGHT(FS_Y!H$5,2),FS_Q!$5:$5,0))</f>
        <v/>
      </c>
      <c r="I75" s="519">
        <f>INDEX(FS_Q!75:75,MATCH("4Q"&amp;RIGHT(FS_Y!I$5,2),FS_Q!$5:$5,0))</f>
        <v/>
      </c>
      <c r="J75" s="519">
        <f>INDEX(FS_Q!75:75,MATCH("4Q"&amp;RIGHT(FS_Y!J$5,2),FS_Q!$5:$5,0))</f>
        <v/>
      </c>
      <c r="K75" s="519">
        <f>INDEX(FS_Q!75:75,MATCH("4Q"&amp;RIGHT(FS_Y!K$5,2),FS_Q!$5:$5,0))</f>
        <v/>
      </c>
      <c r="L75" s="519">
        <f>INDEX(FS_Q!75:75,MATCH("4Q"&amp;RIGHT(FS_Y!L$5,2),FS_Q!$5:$5,0))</f>
        <v/>
      </c>
      <c r="M75" s="519">
        <f>INDEX(FS_Q!75:75,MATCH("4Q"&amp;RIGHT(FS_Y!M$5,2),FS_Q!$5:$5,0))</f>
        <v/>
      </c>
      <c r="N75" s="519">
        <f>INDEX(FS_Q!75:75,MATCH("4Q"&amp;RIGHT(FS_Y!N$5,2),FS_Q!$5:$5,0))</f>
        <v/>
      </c>
      <c r="O75" s="519">
        <f>INDEX(FS_Q!75:75,MATCH("4Q"&amp;RIGHT(FS_Y!O$5,2),FS_Q!$5:$5,0))</f>
        <v/>
      </c>
      <c r="P75" s="519">
        <f>INDEX(FS_Q!75:75,MATCH("4Q"&amp;RIGHT(FS_Y!P$5,2),FS_Q!$5:$5,0))</f>
        <v/>
      </c>
      <c r="Q75" s="519">
        <f>INDEX(FS_Q!75:75,MATCH("4Q"&amp;RIGHT(FS_Y!Q$5,2),FS_Q!$5:$5,0))</f>
        <v/>
      </c>
      <c r="R75" s="519">
        <f>INDEX(FS_Q!75:75,MATCH("4Q"&amp;RIGHT(FS_Y!R$5,2),FS_Q!$5:$5,0))</f>
        <v/>
      </c>
      <c r="S75" s="519">
        <f>INDEX(FS_Q!75:75,MATCH("4Q"&amp;RIGHT(FS_Y!S$5,2),FS_Q!$5:$5,0))</f>
        <v/>
      </c>
      <c r="T75" s="519">
        <f>INDEX(FS_Q!75:75,MATCH("4Q"&amp;RIGHT(FS_Y!T$5,2),FS_Q!$5:$5,0))</f>
        <v/>
      </c>
      <c r="U75" s="519">
        <f>INDEX(FS_Q!75:75,MATCH("4Q"&amp;RIGHT(FS_Y!U$5,2),FS_Q!$5:$5,0))</f>
        <v/>
      </c>
      <c r="V75" s="519">
        <f>INDEX(FS_Q!75:75,MATCH("4Q"&amp;RIGHT(FS_Y!V$5,2),FS_Q!$5:$5,0))</f>
        <v/>
      </c>
      <c r="W75" s="519">
        <f>INDEX(FS_Q!75:75,MATCH("4Q"&amp;RIGHT(FS_Y!W$5,2),FS_Q!$5:$5,0))</f>
        <v/>
      </c>
      <c r="X75" s="382" t="n"/>
      <c r="Y75" s="382" t="n"/>
      <c r="Z75" s="382" t="n"/>
      <c r="AA75" s="382" t="n"/>
      <c r="AB75" s="382" t="n"/>
      <c r="AC75" s="382" t="n"/>
      <c r="AD75" s="382" t="n"/>
      <c r="AE75" s="382" t="n"/>
      <c r="AF75" s="382" t="n"/>
      <c r="AG75" s="382" t="n"/>
      <c r="AH75" s="382" t="n"/>
      <c r="AI75" s="382" t="n"/>
      <c r="AJ75" s="382" t="n"/>
      <c r="AK75" s="382" t="n"/>
      <c r="AL75" s="382" t="n"/>
      <c r="AM75" s="382" t="n"/>
      <c r="AN75" s="382" t="n"/>
      <c r="AO75" s="382" t="n"/>
      <c r="AP75" s="382" t="n"/>
      <c r="AQ75" s="382" t="n"/>
      <c r="AR75" s="382" t="n"/>
      <c r="AS75" s="382" t="n"/>
    </row>
    <row r="76">
      <c r="A76" s="22">
        <f>FS_Q!A76</f>
        <v/>
      </c>
      <c r="B76" s="148" t="n"/>
      <c r="C76" s="148" t="n"/>
      <c r="D76" s="148" t="n"/>
      <c r="E76" s="519">
        <f>INDEX(FS_Q!76:76,MATCH("4Q"&amp;RIGHT(FS_Y!E$5,2),FS_Q!$5:$5,0))</f>
        <v/>
      </c>
      <c r="F76" s="519">
        <f>INDEX(FS_Q!76:76,MATCH("4Q"&amp;RIGHT(FS_Y!F$5,2),FS_Q!$5:$5,0))</f>
        <v/>
      </c>
      <c r="G76" s="519">
        <f>INDEX(FS_Q!76:76,MATCH("4Q"&amp;RIGHT(FS_Y!G$5,2),FS_Q!$5:$5,0))</f>
        <v/>
      </c>
      <c r="H76" s="519">
        <f>INDEX(FS_Q!76:76,MATCH("4Q"&amp;RIGHT(FS_Y!H$5,2),FS_Q!$5:$5,0))</f>
        <v/>
      </c>
      <c r="I76" s="519">
        <f>INDEX(FS_Q!76:76,MATCH("4Q"&amp;RIGHT(FS_Y!I$5,2),FS_Q!$5:$5,0))</f>
        <v/>
      </c>
      <c r="J76" s="519">
        <f>INDEX(FS_Q!76:76,MATCH("4Q"&amp;RIGHT(FS_Y!J$5,2),FS_Q!$5:$5,0))</f>
        <v/>
      </c>
      <c r="K76" s="519">
        <f>INDEX(FS_Q!76:76,MATCH("4Q"&amp;RIGHT(FS_Y!K$5,2),FS_Q!$5:$5,0))</f>
        <v/>
      </c>
      <c r="L76" s="519">
        <f>INDEX(FS_Q!76:76,MATCH("4Q"&amp;RIGHT(FS_Y!L$5,2),FS_Q!$5:$5,0))</f>
        <v/>
      </c>
      <c r="M76" s="519">
        <f>INDEX(FS_Q!76:76,MATCH("4Q"&amp;RIGHT(FS_Y!M$5,2),FS_Q!$5:$5,0))</f>
        <v/>
      </c>
      <c r="N76" s="519">
        <f>INDEX(FS_Q!76:76,MATCH("4Q"&amp;RIGHT(FS_Y!N$5,2),FS_Q!$5:$5,0))</f>
        <v/>
      </c>
      <c r="O76" s="519">
        <f>INDEX(FS_Q!76:76,MATCH("4Q"&amp;RIGHT(FS_Y!O$5,2),FS_Q!$5:$5,0))</f>
        <v/>
      </c>
      <c r="P76" s="519">
        <f>INDEX(FS_Q!76:76,MATCH("4Q"&amp;RIGHT(FS_Y!P$5,2),FS_Q!$5:$5,0))</f>
        <v/>
      </c>
      <c r="Q76" s="519">
        <f>INDEX(FS_Q!76:76,MATCH("4Q"&amp;RIGHT(FS_Y!Q$5,2),FS_Q!$5:$5,0))</f>
        <v/>
      </c>
      <c r="R76" s="519">
        <f>INDEX(FS_Q!76:76,MATCH("4Q"&amp;RIGHT(FS_Y!R$5,2),FS_Q!$5:$5,0))</f>
        <v/>
      </c>
      <c r="S76" s="519">
        <f>INDEX(FS_Q!76:76,MATCH("4Q"&amp;RIGHT(FS_Y!S$5,2),FS_Q!$5:$5,0))</f>
        <v/>
      </c>
      <c r="T76" s="519">
        <f>INDEX(FS_Q!76:76,MATCH("4Q"&amp;RIGHT(FS_Y!T$5,2),FS_Q!$5:$5,0))</f>
        <v/>
      </c>
      <c r="U76" s="519">
        <f>INDEX(FS_Q!76:76,MATCH("4Q"&amp;RIGHT(FS_Y!U$5,2),FS_Q!$5:$5,0))</f>
        <v/>
      </c>
      <c r="V76" s="519">
        <f>INDEX(FS_Q!76:76,MATCH("4Q"&amp;RIGHT(FS_Y!V$5,2),FS_Q!$5:$5,0))</f>
        <v/>
      </c>
      <c r="W76" s="519">
        <f>INDEX(FS_Q!76:76,MATCH("4Q"&amp;RIGHT(FS_Y!W$5,2),FS_Q!$5:$5,0))</f>
        <v/>
      </c>
      <c r="X76" s="148" t="n"/>
      <c r="Y76" s="148" t="n"/>
      <c r="Z76" s="148" t="n"/>
      <c r="AA76" s="148" t="n"/>
      <c r="AB76" s="148" t="n"/>
      <c r="AC76" s="148" t="n"/>
      <c r="AD76" s="148" t="n"/>
      <c r="AE76" s="148" t="n"/>
      <c r="AF76" s="148" t="n"/>
      <c r="AG76" s="148" t="n"/>
      <c r="AH76" s="148" t="n"/>
      <c r="AI76" s="148" t="n"/>
      <c r="AJ76" s="148" t="n"/>
      <c r="AK76" s="148" t="n"/>
      <c r="AL76" s="148" t="n"/>
      <c r="AM76" s="148" t="n"/>
      <c r="AN76" s="148" t="n"/>
      <c r="AO76" s="148" t="n"/>
      <c r="AP76" s="148" t="n"/>
      <c r="AQ76" s="148" t="n"/>
      <c r="AR76" s="148" t="n"/>
      <c r="AS76" s="148" t="n"/>
    </row>
    <row r="77">
      <c r="A77" s="22" t="n"/>
      <c r="B77" s="143" t="n"/>
      <c r="C77" s="444" t="n"/>
      <c r="D77" s="444" t="n"/>
      <c r="E77" s="444" t="n"/>
      <c r="F77" s="444" t="n"/>
      <c r="G77" s="444" t="n"/>
      <c r="H77" s="444" t="n"/>
      <c r="I77" s="444" t="n"/>
      <c r="J77" s="444" t="n"/>
      <c r="K77" s="444" t="n"/>
      <c r="L77" s="444" t="n"/>
      <c r="M77" s="444" t="n"/>
      <c r="N77" s="444" t="n"/>
      <c r="O77" s="444" t="n"/>
      <c r="P77" s="444" t="n"/>
      <c r="Q77" s="444" t="n"/>
      <c r="R77" s="444" t="n"/>
      <c r="S77" s="444" t="n"/>
      <c r="T77" s="444" t="n"/>
      <c r="U77" s="444" t="n"/>
      <c r="V77" s="444" t="n"/>
      <c r="W77" s="444" t="n"/>
      <c r="X77" s="148" t="n"/>
      <c r="Y77" s="148" t="n"/>
      <c r="Z77" s="148" t="n"/>
      <c r="AA77" s="148" t="n"/>
      <c r="AB77" s="148" t="n"/>
      <c r="AC77" s="148" t="n"/>
      <c r="AD77" s="148" t="n"/>
      <c r="AE77" s="148" t="n"/>
      <c r="AF77" s="148" t="n"/>
      <c r="AG77" s="148" t="n"/>
      <c r="AH77" s="148" t="n"/>
      <c r="AI77" s="148" t="n"/>
      <c r="AJ77" s="148" t="n"/>
      <c r="AK77" s="148" t="n"/>
      <c r="AL77" s="148" t="n"/>
      <c r="AM77" s="148" t="n"/>
      <c r="AN77" s="148" t="n"/>
      <c r="AO77" s="148" t="n"/>
      <c r="AP77" s="148" t="n"/>
      <c r="AQ77" s="148" t="n"/>
      <c r="AR77" s="148" t="n"/>
      <c r="AS77" s="148" t="n"/>
    </row>
    <row r="78">
      <c r="A78" s="455">
        <f>FS_Q!A78</f>
        <v/>
      </c>
      <c r="B78" s="143" t="n"/>
      <c r="C78" s="143" t="n"/>
      <c r="D78" s="143" t="n"/>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148" t="n"/>
      <c r="Y78" s="148" t="n"/>
      <c r="Z78" s="148" t="n"/>
      <c r="AA78" s="148" t="n"/>
      <c r="AB78" s="148" t="n"/>
      <c r="AC78" s="148" t="n"/>
      <c r="AD78" s="148" t="n"/>
      <c r="AE78" s="148" t="n"/>
      <c r="AF78" s="148" t="n"/>
      <c r="AG78" s="148" t="n"/>
      <c r="AH78" s="148" t="n"/>
      <c r="AI78" s="148" t="n"/>
      <c r="AJ78" s="148" t="n"/>
      <c r="AK78" s="148" t="n"/>
      <c r="AL78" s="148" t="n"/>
      <c r="AM78" s="148" t="n"/>
      <c r="AN78" s="148" t="n"/>
      <c r="AO78" s="148" t="n"/>
      <c r="AP78" s="148" t="n"/>
      <c r="AQ78" s="148" t="n"/>
      <c r="AR78" s="148" t="n"/>
      <c r="AS78" s="148" t="n"/>
    </row>
    <row r="79">
      <c r="A79" s="455">
        <f>FS_Q!A79</f>
        <v/>
      </c>
      <c r="B79" s="143" t="n"/>
      <c r="C79" s="143" t="n"/>
      <c r="D79" s="143" t="n"/>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148" t="n"/>
      <c r="Y79" s="148" t="n"/>
      <c r="Z79" s="148" t="n"/>
      <c r="AA79" s="148" t="n"/>
      <c r="AB79" s="148" t="n"/>
      <c r="AC79" s="148" t="n"/>
      <c r="AD79" s="148" t="n"/>
      <c r="AE79" s="148" t="n"/>
      <c r="AF79" s="148" t="n"/>
      <c r="AG79" s="148" t="n"/>
      <c r="AH79" s="148" t="n"/>
      <c r="AI79" s="148" t="n"/>
      <c r="AJ79" s="148" t="n"/>
      <c r="AK79" s="148" t="n"/>
      <c r="AL79" s="148" t="n"/>
      <c r="AM79" s="148" t="n"/>
      <c r="AN79" s="148" t="n"/>
      <c r="AO79" s="148" t="n"/>
      <c r="AP79" s="148" t="n"/>
      <c r="AQ79" s="148" t="n"/>
      <c r="AR79" s="148" t="n"/>
      <c r="AS79" s="148" t="n"/>
    </row>
    <row r="80">
      <c r="A80" s="455">
        <f>FS_Q!A80</f>
        <v/>
      </c>
      <c r="B80" s="143" t="n"/>
      <c r="C80" s="143" t="n"/>
      <c r="D80" s="143" t="n"/>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148" t="n"/>
      <c r="Y80" s="148" t="n"/>
      <c r="Z80" s="148" t="n"/>
      <c r="AA80" s="148" t="n"/>
      <c r="AB80" s="148" t="n"/>
      <c r="AC80" s="148" t="n"/>
      <c r="AD80" s="148" t="n"/>
      <c r="AE80" s="148" t="n"/>
      <c r="AF80" s="148" t="n"/>
      <c r="AG80" s="148" t="n"/>
      <c r="AH80" s="148" t="n"/>
      <c r="AI80" s="148" t="n"/>
      <c r="AJ80" s="148" t="n"/>
      <c r="AK80" s="148" t="n"/>
      <c r="AL80" s="148" t="n"/>
      <c r="AM80" s="148" t="n"/>
      <c r="AN80" s="148" t="n"/>
      <c r="AO80" s="148" t="n"/>
      <c r="AP80" s="148" t="n"/>
      <c r="AQ80" s="148" t="n"/>
      <c r="AR80" s="148" t="n"/>
      <c r="AS80" s="148" t="n"/>
    </row>
    <row r="81">
      <c r="A81" s="455">
        <f>FS_Q!A81</f>
        <v/>
      </c>
      <c r="B81" s="143" t="n"/>
      <c r="C81" s="143" t="n"/>
      <c r="D81" s="143" t="n"/>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148" t="n"/>
      <c r="Y81" s="148" t="n"/>
      <c r="Z81" s="148" t="n"/>
      <c r="AA81" s="148" t="n"/>
      <c r="AB81" s="148" t="n"/>
      <c r="AC81" s="148" t="n"/>
      <c r="AD81" s="148" t="n"/>
      <c r="AE81" s="148" t="n"/>
      <c r="AF81" s="148" t="n"/>
      <c r="AG81" s="148" t="n"/>
      <c r="AH81" s="148" t="n"/>
      <c r="AI81" s="148" t="n"/>
      <c r="AJ81" s="148" t="n"/>
      <c r="AK81" s="148" t="n"/>
      <c r="AL81" s="148" t="n"/>
      <c r="AM81" s="148" t="n"/>
      <c r="AN81" s="148" t="n"/>
      <c r="AO81" s="148" t="n"/>
      <c r="AP81" s="148" t="n"/>
      <c r="AQ81" s="148" t="n"/>
      <c r="AR81" s="148" t="n"/>
      <c r="AS81" s="148" t="n"/>
    </row>
    <row r="82">
      <c r="A82" s="455">
        <f>FS_Q!A82</f>
        <v/>
      </c>
      <c r="B82" s="147" t="n"/>
      <c r="C82" s="147" t="n"/>
      <c r="D82" s="147" t="n"/>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148" t="n"/>
      <c r="Y82" s="148" t="n"/>
      <c r="Z82" s="148" t="n"/>
      <c r="AA82" s="148" t="n"/>
      <c r="AB82" s="148" t="n"/>
      <c r="AC82" s="148" t="n"/>
      <c r="AD82" s="148" t="n"/>
      <c r="AE82" s="148" t="n"/>
      <c r="AF82" s="148" t="n"/>
      <c r="AG82" s="148" t="n"/>
      <c r="AH82" s="148" t="n"/>
      <c r="AI82" s="148" t="n"/>
      <c r="AJ82" s="148" t="n"/>
      <c r="AK82" s="148" t="n"/>
      <c r="AL82" s="148" t="n"/>
      <c r="AM82" s="148" t="n"/>
      <c r="AN82" s="148" t="n"/>
      <c r="AO82" s="148" t="n"/>
      <c r="AP82" s="148" t="n"/>
      <c r="AQ82" s="148" t="n"/>
      <c r="AR82" s="148" t="n"/>
      <c r="AS82" s="148" t="n"/>
    </row>
    <row r="83" customFormat="1" s="281">
      <c r="A83" s="455">
        <f>FS_Q!A83</f>
        <v/>
      </c>
      <c r="B83" s="382" t="n"/>
      <c r="C83" s="382" t="n"/>
      <c r="D83" s="382" t="n"/>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382" t="n"/>
      <c r="Y83" s="382" t="n"/>
      <c r="Z83" s="382" t="n"/>
      <c r="AA83" s="382" t="n"/>
      <c r="AB83" s="382" t="n"/>
      <c r="AC83" s="382" t="n"/>
      <c r="AD83" s="382" t="n"/>
      <c r="AE83" s="382" t="n"/>
      <c r="AF83" s="382" t="n"/>
      <c r="AG83" s="382" t="n"/>
      <c r="AH83" s="382" t="n"/>
      <c r="AI83" s="382" t="n"/>
      <c r="AJ83" s="382" t="n"/>
      <c r="AK83" s="382" t="n"/>
      <c r="AL83" s="382" t="n"/>
      <c r="AM83" s="382" t="n"/>
      <c r="AN83" s="382" t="n"/>
      <c r="AO83" s="382" t="n"/>
      <c r="AP83" s="382" t="n"/>
      <c r="AQ83" s="382" t="n"/>
      <c r="AR83" s="382" t="n"/>
      <c r="AS83" s="382" t="n"/>
    </row>
    <row r="84">
      <c r="A84" s="455" t="n"/>
      <c r="B84" s="143" t="n"/>
      <c r="C84" s="143" t="n"/>
      <c r="D84" s="143" t="n"/>
      <c r="E84" s="143" t="n"/>
      <c r="F84" s="143" t="n"/>
      <c r="G84" s="143" t="n"/>
      <c r="H84" s="143" t="n"/>
      <c r="I84" s="143" t="n"/>
      <c r="J84" s="143" t="n"/>
      <c r="K84" s="143" t="n"/>
      <c r="L84" s="143" t="n"/>
      <c r="M84" s="143" t="n"/>
      <c r="N84" s="143" t="n"/>
      <c r="O84" s="143" t="n"/>
      <c r="P84" s="143" t="n"/>
      <c r="Q84" s="143" t="n"/>
      <c r="R84" s="143" t="n"/>
      <c r="S84" s="143" t="n"/>
      <c r="T84" s="143" t="n"/>
      <c r="U84" s="143" t="n"/>
      <c r="V84" s="143" t="n"/>
      <c r="W84" s="143" t="n"/>
      <c r="X84" s="148" t="n"/>
      <c r="Y84" s="148" t="n"/>
      <c r="Z84" s="148" t="n"/>
      <c r="AA84" s="148" t="n"/>
      <c r="AB84" s="148" t="n"/>
      <c r="AC84" s="148" t="n"/>
      <c r="AD84" s="148" t="n"/>
      <c r="AE84" s="148" t="n"/>
      <c r="AF84" s="148" t="n"/>
      <c r="AG84" s="148" t="n"/>
      <c r="AH84" s="148" t="n"/>
      <c r="AI84" s="148" t="n"/>
      <c r="AJ84" s="148" t="n"/>
      <c r="AK84" s="148" t="n"/>
      <c r="AL84" s="148" t="n"/>
      <c r="AM84" s="148" t="n"/>
      <c r="AN84" s="148" t="n"/>
      <c r="AO84" s="148" t="n"/>
      <c r="AP84" s="148" t="n"/>
      <c r="AQ84" s="148" t="n"/>
      <c r="AR84" s="148" t="n"/>
      <c r="AS84" s="148" t="n"/>
    </row>
    <row r="85">
      <c r="A85" s="455" t="n"/>
      <c r="B85" s="143" t="n"/>
      <c r="C85" s="143" t="n"/>
      <c r="D85" s="143" t="n"/>
      <c r="E85" s="143" t="n"/>
      <c r="F85" s="143" t="n"/>
      <c r="G85" s="143" t="n"/>
      <c r="H85" s="143" t="n"/>
      <c r="I85" s="143" t="n"/>
      <c r="J85" s="143" t="n"/>
      <c r="K85" s="143" t="n"/>
      <c r="L85" s="143" t="n"/>
      <c r="M85" s="143" t="n"/>
      <c r="N85" s="143" t="n"/>
      <c r="O85" s="143" t="n"/>
      <c r="P85" s="143" t="n"/>
      <c r="Q85" s="143" t="n"/>
      <c r="R85" s="143" t="n"/>
      <c r="S85" s="143" t="n"/>
      <c r="T85" s="143" t="n"/>
      <c r="U85" s="143" t="n"/>
      <c r="V85" s="143" t="n"/>
      <c r="W85" s="143" t="n"/>
      <c r="X85" s="148" t="n"/>
      <c r="Y85" s="148" t="n"/>
      <c r="Z85" s="148" t="n"/>
      <c r="AA85" s="148" t="n"/>
      <c r="AB85" s="148" t="n"/>
      <c r="AC85" s="148" t="n"/>
      <c r="AD85" s="148" t="n"/>
      <c r="AE85" s="148" t="n"/>
      <c r="AF85" s="148" t="n"/>
      <c r="AG85" s="148" t="n"/>
      <c r="AH85" s="148" t="n"/>
      <c r="AI85" s="148" t="n"/>
      <c r="AJ85" s="148" t="n"/>
      <c r="AK85" s="148" t="n"/>
      <c r="AL85" s="148" t="n"/>
      <c r="AM85" s="148" t="n"/>
      <c r="AN85" s="148" t="n"/>
      <c r="AO85" s="148" t="n"/>
      <c r="AP85" s="148" t="n"/>
      <c r="AQ85" s="148" t="n"/>
      <c r="AR85" s="148" t="n"/>
      <c r="AS85" s="148" t="n"/>
    </row>
    <row r="86">
      <c r="A86" s="455" t="n"/>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8" t="n"/>
      <c r="Y86" s="148" t="n"/>
      <c r="Z86" s="148" t="n"/>
      <c r="AA86" s="148" t="n"/>
      <c r="AB86" s="148" t="n"/>
      <c r="AC86" s="148" t="n"/>
      <c r="AD86" s="148" t="n"/>
      <c r="AE86" s="148" t="n"/>
      <c r="AF86" s="148" t="n"/>
      <c r="AG86" s="148" t="n"/>
      <c r="AH86" s="148" t="n"/>
      <c r="AI86" s="148" t="n"/>
      <c r="AJ86" s="148" t="n"/>
      <c r="AK86" s="148" t="n"/>
      <c r="AL86" s="148" t="n"/>
      <c r="AM86" s="148" t="n"/>
      <c r="AN86" s="148" t="n"/>
      <c r="AO86" s="148" t="n"/>
      <c r="AP86" s="148" t="n"/>
      <c r="AQ86" s="148" t="n"/>
      <c r="AR86" s="148" t="n"/>
      <c r="AS86" s="148" t="n"/>
    </row>
    <row r="87" customFormat="1" s="281">
      <c r="B87" s="382" t="n"/>
      <c r="C87" s="382" t="n"/>
      <c r="D87" s="382" t="n"/>
      <c r="E87" s="382" t="n"/>
      <c r="F87" s="382" t="n"/>
      <c r="G87" s="382" t="n"/>
      <c r="H87" s="382" t="n"/>
      <c r="I87" s="382" t="n"/>
      <c r="J87" s="382" t="n"/>
      <c r="K87" s="382" t="n"/>
      <c r="L87" s="382" t="n"/>
      <c r="M87" s="382" t="n"/>
      <c r="N87" s="382" t="n"/>
      <c r="O87" s="382" t="n"/>
      <c r="P87" s="382" t="n"/>
      <c r="Q87" s="382" t="n"/>
      <c r="R87" s="382" t="n"/>
      <c r="S87" s="382" t="n"/>
      <c r="T87" s="382" t="n"/>
      <c r="U87" s="382" t="n"/>
      <c r="V87" s="382" t="n"/>
      <c r="W87" s="382" t="n"/>
      <c r="X87" s="382" t="n"/>
      <c r="Y87" s="382" t="n"/>
      <c r="Z87" s="382" t="n"/>
      <c r="AA87" s="382" t="n"/>
      <c r="AB87" s="382" t="n"/>
      <c r="AC87" s="382" t="n"/>
      <c r="AD87" s="382" t="n"/>
      <c r="AE87" s="382" t="n"/>
      <c r="AF87" s="382" t="n"/>
      <c r="AG87" s="382" t="n"/>
      <c r="AH87" s="382" t="n"/>
      <c r="AI87" s="382" t="n"/>
      <c r="AJ87" s="382" t="n"/>
      <c r="AK87" s="382" t="n"/>
      <c r="AL87" s="382" t="n"/>
      <c r="AM87" s="382" t="n"/>
      <c r="AN87" s="382" t="n"/>
      <c r="AO87" s="382" t="n"/>
      <c r="AP87" s="382" t="n"/>
      <c r="AQ87" s="382" t="n"/>
      <c r="AR87" s="382" t="n"/>
      <c r="AS87" s="382" t="n"/>
    </row>
    <row r="88">
      <c r="A88" s="81">
        <f>FS_Q!A88</f>
        <v/>
      </c>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8" t="n"/>
      <c r="Y88" s="148" t="n"/>
      <c r="Z88" s="148" t="n"/>
      <c r="AA88" s="148" t="n"/>
      <c r="AB88" s="148" t="n"/>
      <c r="AC88" s="148" t="n"/>
      <c r="AD88" s="148" t="n"/>
      <c r="AE88" s="148" t="n"/>
      <c r="AF88" s="148" t="n"/>
      <c r="AG88" s="148" t="n"/>
      <c r="AH88" s="148" t="n"/>
      <c r="AI88" s="148" t="n"/>
      <c r="AJ88" s="148" t="n"/>
      <c r="AK88" s="148" t="n"/>
      <c r="AL88" s="148" t="n"/>
      <c r="AM88" s="148" t="n"/>
      <c r="AN88" s="148" t="n"/>
      <c r="AO88" s="148" t="n"/>
      <c r="AP88" s="148" t="n"/>
      <c r="AQ88" s="148" t="n"/>
      <c r="AR88" s="148" t="n"/>
      <c r="AS88" s="148" t="n"/>
    </row>
    <row r="89" customFormat="1" s="281">
      <c r="B89" s="382" t="n"/>
      <c r="C89" s="382" t="n"/>
      <c r="D89" s="382" t="n"/>
      <c r="E89" s="382" t="n"/>
      <c r="F89" s="382" t="n"/>
      <c r="G89" s="382" t="n"/>
      <c r="H89" s="382" t="n"/>
      <c r="I89" s="382" t="n"/>
      <c r="J89" s="382" t="n"/>
      <c r="K89" s="382" t="n"/>
      <c r="L89" s="382" t="n"/>
      <c r="M89" s="382" t="n"/>
      <c r="N89" s="382" t="n"/>
      <c r="O89" s="382" t="n"/>
      <c r="P89" s="382" t="n"/>
      <c r="Q89" s="382" t="n"/>
      <c r="R89" s="382" t="n"/>
      <c r="S89" s="382" t="n"/>
      <c r="T89" s="382" t="n"/>
      <c r="U89" s="382" t="n"/>
      <c r="V89" s="382" t="n"/>
      <c r="W89" s="382" t="n"/>
      <c r="X89" s="382" t="n"/>
      <c r="Y89" s="382" t="n"/>
      <c r="Z89" s="382" t="n"/>
      <c r="AA89" s="382" t="n"/>
      <c r="AB89" s="382" t="n"/>
      <c r="AC89" s="382" t="n"/>
      <c r="AD89" s="382" t="n"/>
      <c r="AE89" s="382" t="n"/>
      <c r="AF89" s="382" t="n"/>
      <c r="AG89" s="382" t="n"/>
      <c r="AH89" s="382" t="n"/>
      <c r="AI89" s="382" t="n"/>
      <c r="AJ89" s="382" t="n"/>
      <c r="AK89" s="382" t="n"/>
      <c r="AL89" s="382" t="n"/>
      <c r="AM89" s="382" t="n"/>
      <c r="AN89" s="382" t="n"/>
      <c r="AO89" s="382" t="n"/>
      <c r="AP89" s="382" t="n"/>
      <c r="AQ89" s="382" t="n"/>
      <c r="AR89" s="382" t="n"/>
      <c r="AS89" s="382" t="n"/>
    </row>
    <row r="90">
      <c r="A90" s="22">
        <f>FS_Q!A90</f>
        <v/>
      </c>
      <c r="B90" s="131" t="n"/>
      <c r="C90" s="148" t="n"/>
      <c r="D90" s="148" t="n"/>
      <c r="E90" s="148" t="n"/>
      <c r="F90" s="148" t="n"/>
      <c r="G90" s="148" t="n"/>
      <c r="H90" s="148" t="n"/>
      <c r="I90" s="148" t="n"/>
      <c r="J90" s="148" t="n"/>
      <c r="K90" s="148" t="n"/>
      <c r="L90" s="148" t="n"/>
      <c r="M90" s="148" t="n"/>
      <c r="N90" s="148" t="n"/>
      <c r="O90" s="148" t="n"/>
      <c r="P90" s="148" t="n"/>
      <c r="Q90" s="148" t="n"/>
      <c r="R90" s="148" t="n"/>
      <c r="S90" s="148" t="n"/>
      <c r="T90" s="148" t="n"/>
      <c r="U90" s="148" t="n"/>
      <c r="V90" s="131" t="n"/>
      <c r="W90" s="131" t="n"/>
      <c r="X90" s="131" t="n"/>
      <c r="Y90" s="131" t="n"/>
      <c r="Z90" s="131" t="n"/>
      <c r="AA90" s="131" t="n"/>
      <c r="AB90" s="131" t="n"/>
      <c r="AC90" s="131" t="n"/>
      <c r="AD90" s="131" t="n"/>
      <c r="AE90" s="131" t="n"/>
      <c r="AF90" s="131" t="n"/>
      <c r="AG90" s="131" t="n"/>
      <c r="AH90" s="131" t="n"/>
      <c r="AI90" s="131" t="n"/>
      <c r="AJ90" s="131" t="n"/>
      <c r="AK90" s="131" t="n"/>
      <c r="AL90" s="131" t="n"/>
      <c r="AM90" s="131" t="n"/>
      <c r="AN90" s="131" t="n"/>
      <c r="AO90" s="131" t="n"/>
      <c r="AP90" s="131" t="n"/>
      <c r="AQ90" s="131" t="n"/>
      <c r="AR90" s="131" t="n"/>
      <c r="AS90" s="131" t="n"/>
    </row>
    <row r="91">
      <c r="A91" s="74">
        <f>FS_Q!A91</f>
        <v/>
      </c>
      <c r="B91" s="148" t="n"/>
      <c r="C91" s="148" t="n"/>
      <c r="D91" s="148" t="n"/>
      <c r="E91" s="517">
        <f>SUMIF(FS_Q!$1:$1,FS_Y!E$1,FS_Q!91:91)</f>
        <v/>
      </c>
      <c r="F91" s="517">
        <f>SUMIF(FS_Q!$1:$1,FS_Y!F$1,FS_Q!91:91)</f>
        <v/>
      </c>
      <c r="G91" s="517">
        <f>SUMIF(FS_Q!$1:$1,FS_Y!G$1,FS_Q!91:91)</f>
        <v/>
      </c>
      <c r="H91" s="517">
        <f>SUMIF(FS_Q!$1:$1,FS_Y!H$1,FS_Q!91:91)</f>
        <v/>
      </c>
      <c r="I91" s="517">
        <f>SUMIF(FS_Q!$1:$1,FS_Y!I$1,FS_Q!91:91)</f>
        <v/>
      </c>
      <c r="J91" s="517">
        <f>SUMIF(FS_Q!$1:$1,FS_Y!J$1,FS_Q!91:91)</f>
        <v/>
      </c>
      <c r="K91" s="517">
        <f>SUMIF(FS_Q!$1:$1,FS_Y!K$1,FS_Q!91:91)</f>
        <v/>
      </c>
      <c r="L91" s="517">
        <f>SUMIF(FS_Q!$1:$1,FS_Y!L$1,FS_Q!91:91)</f>
        <v/>
      </c>
      <c r="M91" s="517">
        <f>SUMIF(FS_Q!$1:$1,FS_Y!M$1,FS_Q!91:91)</f>
        <v/>
      </c>
      <c r="N91" s="517">
        <f>SUMIF(FS_Q!$1:$1,FS_Y!N$1,FS_Q!91:91)</f>
        <v/>
      </c>
      <c r="O91" s="517">
        <f>SUMIF(FS_Q!$1:$1,FS_Y!O$1,FS_Q!91:91)</f>
        <v/>
      </c>
      <c r="P91" s="517">
        <f>SUMIF(FS_Q!$1:$1,FS_Y!P$1,FS_Q!91:91)</f>
        <v/>
      </c>
      <c r="Q91" s="517">
        <f>SUMIF(FS_Q!$1:$1,FS_Y!Q$1,FS_Q!91:91)</f>
        <v/>
      </c>
      <c r="R91" s="517">
        <f>SUMIF(FS_Q!$1:$1,FS_Y!R$1,FS_Q!91:91)</f>
        <v/>
      </c>
      <c r="S91" s="517">
        <f>SUMIF(FS_Q!$1:$1,FS_Y!S$1,FS_Q!91:91)</f>
        <v/>
      </c>
      <c r="T91" s="517">
        <f>SUMIF(FS_Q!$1:$1,FS_Y!T$1,FS_Q!91:91)</f>
        <v/>
      </c>
      <c r="U91" s="517">
        <f>SUMIF(FS_Q!$1:$1,FS_Y!U$1,FS_Q!91:91)</f>
        <v/>
      </c>
      <c r="V91" s="517">
        <f>SUMIF(FS_Q!$1:$1,FS_Y!V$1,FS_Q!91:91)</f>
        <v/>
      </c>
      <c r="W91" s="517">
        <f>SUMIF(FS_Q!$1:$1,FS_Y!W$1,FS_Q!91:91)</f>
        <v/>
      </c>
      <c r="X91" s="148" t="n"/>
      <c r="Y91" s="148" t="n"/>
      <c r="Z91" s="148" t="n"/>
      <c r="AA91" s="148" t="n"/>
      <c r="AB91" s="148" t="n"/>
      <c r="AC91" s="148" t="n"/>
      <c r="AD91" s="148" t="n"/>
      <c r="AE91" s="148" t="n"/>
      <c r="AF91" s="148" t="n"/>
      <c r="AG91" s="148" t="n"/>
      <c r="AH91" s="148" t="n"/>
      <c r="AI91" s="148" t="n"/>
      <c r="AJ91" s="148" t="n"/>
      <c r="AK91" s="148" t="n"/>
      <c r="AL91" s="148" t="n"/>
      <c r="AM91" s="148" t="n"/>
      <c r="AN91" s="148" t="n"/>
      <c r="AO91" s="148" t="n"/>
      <c r="AP91" s="148" t="n"/>
      <c r="AQ91" s="148" t="n"/>
      <c r="AR91" s="148" t="n"/>
      <c r="AS91" s="148" t="n"/>
    </row>
    <row r="92">
      <c r="A92" s="74">
        <f>FS_Q!A92</f>
        <v/>
      </c>
      <c r="B92" s="148" t="n"/>
      <c r="C92" s="147" t="n"/>
      <c r="D92" s="147" t="n"/>
      <c r="X92" s="148" t="n"/>
      <c r="Y92" s="148" t="n"/>
      <c r="Z92" s="148" t="n"/>
      <c r="AA92" s="148" t="n"/>
      <c r="AB92" s="148" t="n"/>
      <c r="AC92" s="148" t="n"/>
      <c r="AD92" s="148" t="n"/>
      <c r="AE92" s="148" t="n"/>
      <c r="AF92" s="148" t="n"/>
      <c r="AG92" s="148" t="n"/>
      <c r="AH92" s="148" t="n"/>
      <c r="AI92" s="148" t="n"/>
      <c r="AJ92" s="148" t="n"/>
      <c r="AK92" s="148" t="n"/>
      <c r="AL92" s="148" t="n"/>
      <c r="AM92" s="148" t="n"/>
      <c r="AN92" s="148" t="n"/>
      <c r="AO92" s="148" t="n"/>
      <c r="AP92" s="148" t="n"/>
      <c r="AQ92" s="148" t="n"/>
      <c r="AR92" s="148" t="n"/>
      <c r="AS92" s="148" t="n"/>
    </row>
    <row r="93" customFormat="1" s="281">
      <c r="A93" s="33">
        <f>FS_Q!A93</f>
        <v/>
      </c>
      <c r="B93" s="382" t="n"/>
      <c r="C93" s="147" t="n"/>
      <c r="D93" s="147" t="n"/>
      <c r="E93" s="517">
        <f>SUMIF(FS_Q!$1:$1,FS_Y!E$1,FS_Q!93:93)</f>
        <v/>
      </c>
      <c r="F93" s="517">
        <f>SUMIF(FS_Q!$1:$1,FS_Y!F$1,FS_Q!93:93)</f>
        <v/>
      </c>
      <c r="G93" s="517">
        <f>SUMIF(FS_Q!$1:$1,FS_Y!G$1,FS_Q!93:93)</f>
        <v/>
      </c>
      <c r="H93" s="517">
        <f>SUMIF(FS_Q!$1:$1,FS_Y!H$1,FS_Q!93:93)</f>
        <v/>
      </c>
      <c r="I93" s="517">
        <f>SUMIF(FS_Q!$1:$1,FS_Y!I$1,FS_Q!93:93)</f>
        <v/>
      </c>
      <c r="J93" s="517">
        <f>SUMIF(FS_Q!$1:$1,FS_Y!J$1,FS_Q!93:93)</f>
        <v/>
      </c>
      <c r="K93" s="517">
        <f>SUMIF(FS_Q!$1:$1,FS_Y!K$1,FS_Q!93:93)</f>
        <v/>
      </c>
      <c r="L93" s="517">
        <f>SUMIF(FS_Q!$1:$1,FS_Y!L$1,FS_Q!93:93)</f>
        <v/>
      </c>
      <c r="M93" s="517">
        <f>SUMIF(FS_Q!$1:$1,FS_Y!M$1,FS_Q!93:93)</f>
        <v/>
      </c>
      <c r="N93" s="517">
        <f>SUMIF(FS_Q!$1:$1,FS_Y!N$1,FS_Q!93:93)</f>
        <v/>
      </c>
      <c r="O93" s="517">
        <f>SUMIF(FS_Q!$1:$1,FS_Y!O$1,FS_Q!93:93)</f>
        <v/>
      </c>
      <c r="P93" s="517">
        <f>SUMIF(FS_Q!$1:$1,FS_Y!P$1,FS_Q!93:93)</f>
        <v/>
      </c>
      <c r="Q93" s="517">
        <f>SUMIF(FS_Q!$1:$1,FS_Y!Q$1,FS_Q!93:93)</f>
        <v/>
      </c>
      <c r="R93" s="517">
        <f>SUMIF(FS_Q!$1:$1,FS_Y!R$1,FS_Q!93:93)</f>
        <v/>
      </c>
      <c r="S93" s="517">
        <f>SUMIF(FS_Q!$1:$1,FS_Y!S$1,FS_Q!93:93)</f>
        <v/>
      </c>
      <c r="T93" s="517">
        <f>SUMIF(FS_Q!$1:$1,FS_Y!T$1,FS_Q!93:93)</f>
        <v/>
      </c>
      <c r="U93" s="517">
        <f>SUMIF(FS_Q!$1:$1,FS_Y!U$1,FS_Q!93:93)</f>
        <v/>
      </c>
      <c r="V93" s="517">
        <f>SUMIF(FS_Q!$1:$1,FS_Y!V$1,FS_Q!93:93)</f>
        <v/>
      </c>
      <c r="W93" s="517">
        <f>SUMIF(FS_Q!$1:$1,FS_Y!W$1,FS_Q!93:93)</f>
        <v/>
      </c>
      <c r="X93" s="382" t="n"/>
      <c r="Y93" s="382" t="n"/>
      <c r="Z93" s="382" t="n"/>
      <c r="AA93" s="382" t="n"/>
      <c r="AB93" s="382" t="n"/>
      <c r="AC93" s="382" t="n"/>
      <c r="AD93" s="382" t="n"/>
      <c r="AE93" s="382" t="n"/>
      <c r="AF93" s="382" t="n"/>
      <c r="AG93" s="382" t="n"/>
      <c r="AH93" s="382" t="n"/>
      <c r="AI93" s="382" t="n"/>
      <c r="AJ93" s="382" t="n"/>
      <c r="AK93" s="382" t="n"/>
      <c r="AL93" s="382" t="n"/>
      <c r="AM93" s="382" t="n"/>
      <c r="AN93" s="382" t="n"/>
      <c r="AO93" s="382" t="n"/>
      <c r="AP93" s="382" t="n"/>
      <c r="AQ93" s="382" t="n"/>
      <c r="AR93" s="382" t="n"/>
      <c r="AS93" s="382" t="n"/>
    </row>
    <row r="94">
      <c r="A94" s="33">
        <f>FS_Q!A94</f>
        <v/>
      </c>
      <c r="B94" s="148" t="n"/>
      <c r="C94" s="148" t="n"/>
      <c r="D94" s="148" t="n"/>
      <c r="E94" s="517">
        <f>SUMIF(FS_Q!$1:$1,FS_Y!E$1,FS_Q!94:94)</f>
        <v/>
      </c>
      <c r="F94" s="517">
        <f>SUMIF(FS_Q!$1:$1,FS_Y!F$1,FS_Q!94:94)</f>
        <v/>
      </c>
      <c r="G94" s="517">
        <f>SUMIF(FS_Q!$1:$1,FS_Y!G$1,FS_Q!94:94)</f>
        <v/>
      </c>
      <c r="H94" s="517">
        <f>SUMIF(FS_Q!$1:$1,FS_Y!H$1,FS_Q!94:94)</f>
        <v/>
      </c>
      <c r="I94" s="517">
        <f>SUMIF(FS_Q!$1:$1,FS_Y!I$1,FS_Q!94:94)</f>
        <v/>
      </c>
      <c r="J94" s="517">
        <f>SUMIF(FS_Q!$1:$1,FS_Y!J$1,FS_Q!94:94)</f>
        <v/>
      </c>
      <c r="K94" s="517">
        <f>SUMIF(FS_Q!$1:$1,FS_Y!K$1,FS_Q!94:94)</f>
        <v/>
      </c>
      <c r="L94" s="517">
        <f>SUMIF(FS_Q!$1:$1,FS_Y!L$1,FS_Q!94:94)</f>
        <v/>
      </c>
      <c r="M94" s="517">
        <f>SUMIF(FS_Q!$1:$1,FS_Y!M$1,FS_Q!94:94)</f>
        <v/>
      </c>
      <c r="N94" s="517">
        <f>SUMIF(FS_Q!$1:$1,FS_Y!N$1,FS_Q!94:94)</f>
        <v/>
      </c>
      <c r="O94" s="517">
        <f>SUMIF(FS_Q!$1:$1,FS_Y!O$1,FS_Q!94:94)</f>
        <v/>
      </c>
      <c r="P94" s="517">
        <f>SUMIF(FS_Q!$1:$1,FS_Y!P$1,FS_Q!94:94)</f>
        <v/>
      </c>
      <c r="Q94" s="517">
        <f>SUMIF(FS_Q!$1:$1,FS_Y!Q$1,FS_Q!94:94)</f>
        <v/>
      </c>
      <c r="R94" s="517">
        <f>SUMIF(FS_Q!$1:$1,FS_Y!R$1,FS_Q!94:94)</f>
        <v/>
      </c>
      <c r="S94" s="517">
        <f>SUMIF(FS_Q!$1:$1,FS_Y!S$1,FS_Q!94:94)</f>
        <v/>
      </c>
      <c r="T94" s="517">
        <f>SUMIF(FS_Q!$1:$1,FS_Y!T$1,FS_Q!94:94)</f>
        <v/>
      </c>
      <c r="U94" s="517">
        <f>SUMIF(FS_Q!$1:$1,FS_Y!U$1,FS_Q!94:94)</f>
        <v/>
      </c>
      <c r="V94" s="517">
        <f>SUMIF(FS_Q!$1:$1,FS_Y!V$1,FS_Q!94:94)</f>
        <v/>
      </c>
      <c r="W94" s="517">
        <f>SUMIF(FS_Q!$1:$1,FS_Y!W$1,FS_Q!94:94)</f>
        <v/>
      </c>
      <c r="X94" s="148" t="n"/>
      <c r="Y94" s="148" t="n"/>
      <c r="Z94" s="148" t="n"/>
      <c r="AA94" s="148" t="n"/>
      <c r="AB94" s="148" t="n"/>
      <c r="AC94" s="148" t="n"/>
      <c r="AD94" s="148" t="n"/>
      <c r="AE94" s="148" t="n"/>
      <c r="AF94" s="148" t="n"/>
      <c r="AG94" s="148" t="n"/>
      <c r="AH94" s="148" t="n"/>
      <c r="AI94" s="148" t="n"/>
      <c r="AJ94" s="148" t="n"/>
      <c r="AK94" s="148" t="n"/>
      <c r="AL94" s="148" t="n"/>
      <c r="AM94" s="148" t="n"/>
      <c r="AN94" s="148" t="n"/>
      <c r="AO94" s="148" t="n"/>
      <c r="AP94" s="148" t="n"/>
      <c r="AQ94" s="148" t="n"/>
      <c r="AR94" s="148" t="n"/>
      <c r="AS94" s="148" t="n"/>
    </row>
    <row r="95">
      <c r="A95" s="33">
        <f>FS_Q!A95</f>
        <v/>
      </c>
      <c r="B95" s="148" t="n"/>
      <c r="C95" s="148" t="n"/>
      <c r="D95" s="148" t="n"/>
      <c r="E95" s="517">
        <f>SUMIF(FS_Q!$1:$1,FS_Y!E$1,FS_Q!95:95)</f>
        <v/>
      </c>
      <c r="F95" s="517">
        <f>SUMIF(FS_Q!$1:$1,FS_Y!F$1,FS_Q!95:95)</f>
        <v/>
      </c>
      <c r="G95" s="517">
        <f>SUMIF(FS_Q!$1:$1,FS_Y!G$1,FS_Q!95:95)</f>
        <v/>
      </c>
      <c r="H95" s="517">
        <f>SUMIF(FS_Q!$1:$1,FS_Y!H$1,FS_Q!95:95)</f>
        <v/>
      </c>
      <c r="I95" s="517">
        <f>SUMIF(FS_Q!$1:$1,FS_Y!I$1,FS_Q!95:95)</f>
        <v/>
      </c>
      <c r="J95" s="517">
        <f>SUMIF(FS_Q!$1:$1,FS_Y!J$1,FS_Q!95:95)</f>
        <v/>
      </c>
      <c r="K95" s="517">
        <f>SUMIF(FS_Q!$1:$1,FS_Y!K$1,FS_Q!95:95)</f>
        <v/>
      </c>
      <c r="L95" s="517">
        <f>SUMIF(FS_Q!$1:$1,FS_Y!L$1,FS_Q!95:95)</f>
        <v/>
      </c>
      <c r="M95" s="517">
        <f>SUMIF(FS_Q!$1:$1,FS_Y!M$1,FS_Q!95:95)</f>
        <v/>
      </c>
      <c r="N95" s="517">
        <f>SUMIF(FS_Q!$1:$1,FS_Y!N$1,FS_Q!95:95)</f>
        <v/>
      </c>
      <c r="O95" s="517">
        <f>SUMIF(FS_Q!$1:$1,FS_Y!O$1,FS_Q!95:95)</f>
        <v/>
      </c>
      <c r="P95" s="517">
        <f>SUMIF(FS_Q!$1:$1,FS_Y!P$1,FS_Q!95:95)</f>
        <v/>
      </c>
      <c r="Q95" s="517">
        <f>SUMIF(FS_Q!$1:$1,FS_Y!Q$1,FS_Q!95:95)</f>
        <v/>
      </c>
      <c r="R95" s="517">
        <f>SUMIF(FS_Q!$1:$1,FS_Y!R$1,FS_Q!95:95)</f>
        <v/>
      </c>
      <c r="S95" s="517">
        <f>SUMIF(FS_Q!$1:$1,FS_Y!S$1,FS_Q!95:95)</f>
        <v/>
      </c>
      <c r="T95" s="517">
        <f>SUMIF(FS_Q!$1:$1,FS_Y!T$1,FS_Q!95:95)</f>
        <v/>
      </c>
      <c r="U95" s="517">
        <f>SUMIF(FS_Q!$1:$1,FS_Y!U$1,FS_Q!95:95)</f>
        <v/>
      </c>
      <c r="V95" s="517">
        <f>SUMIF(FS_Q!$1:$1,FS_Y!V$1,FS_Q!95:95)</f>
        <v/>
      </c>
      <c r="W95" s="517">
        <f>SUMIF(FS_Q!$1:$1,FS_Y!W$1,FS_Q!95:95)</f>
        <v/>
      </c>
      <c r="X95" s="148" t="n"/>
      <c r="Y95" s="148" t="n"/>
      <c r="Z95" s="148" t="n"/>
      <c r="AA95" s="148" t="n"/>
      <c r="AB95" s="148" t="n"/>
      <c r="AC95" s="148" t="n"/>
      <c r="AD95" s="148" t="n"/>
      <c r="AE95" s="148" t="n"/>
      <c r="AF95" s="148" t="n"/>
      <c r="AG95" s="148" t="n"/>
      <c r="AH95" s="148" t="n"/>
      <c r="AI95" s="148" t="n"/>
      <c r="AJ95" s="148" t="n"/>
      <c r="AK95" s="148" t="n"/>
      <c r="AL95" s="148" t="n"/>
      <c r="AM95" s="148" t="n"/>
      <c r="AN95" s="148" t="n"/>
      <c r="AO95" s="148" t="n"/>
      <c r="AP95" s="148" t="n"/>
      <c r="AQ95" s="148" t="n"/>
      <c r="AR95" s="148" t="n"/>
      <c r="AS95" s="148" t="n"/>
    </row>
    <row r="96" customFormat="1" s="21">
      <c r="A96" s="74">
        <f>FS_Q!A96</f>
        <v/>
      </c>
      <c r="B96" s="148" t="n"/>
      <c r="C96" s="26" t="n"/>
      <c r="D96" s="26" t="n"/>
      <c r="X96" s="148" t="n"/>
      <c r="Y96" s="148" t="n"/>
      <c r="Z96" s="148" t="n"/>
      <c r="AA96" s="148" t="n"/>
      <c r="AB96" s="148" t="n"/>
      <c r="AC96" s="148" t="n"/>
      <c r="AD96" s="148" t="n"/>
      <c r="AE96" s="148" t="n"/>
      <c r="AF96" s="148" t="n"/>
      <c r="AG96" s="148" t="n"/>
      <c r="AH96" s="148" t="n"/>
      <c r="AI96" s="148" t="n"/>
      <c r="AJ96" s="148" t="n"/>
      <c r="AK96" s="148" t="n"/>
      <c r="AL96" s="148" t="n"/>
      <c r="AM96" s="148" t="n"/>
      <c r="AN96" s="148" t="n"/>
      <c r="AO96" s="148" t="n"/>
      <c r="AP96" s="148" t="n"/>
      <c r="AQ96" s="148" t="n"/>
      <c r="AR96" s="148" t="n"/>
      <c r="AS96" s="148" t="n"/>
    </row>
    <row r="97">
      <c r="A97" s="33">
        <f>FS_Q!A97</f>
        <v/>
      </c>
      <c r="B97" s="148" t="n"/>
      <c r="C97" s="148" t="n"/>
      <c r="D97" s="148" t="n"/>
      <c r="E97" s="108">
        <f>SUMIF(FS_Q!$1:$1,FS_Y!E$1,FS_Q!97:97)</f>
        <v/>
      </c>
      <c r="F97" s="108">
        <f>SUMIF(FS_Q!$1:$1,FS_Y!F$1,FS_Q!97:97)</f>
        <v/>
      </c>
      <c r="G97" s="108">
        <f>SUMIF(FS_Q!$1:$1,FS_Y!G$1,FS_Q!97:97)</f>
        <v/>
      </c>
      <c r="H97" s="108">
        <f>SUMIF(FS_Q!$1:$1,FS_Y!H$1,FS_Q!97:97)</f>
        <v/>
      </c>
      <c r="I97" s="108">
        <f>SUMIF(FS_Q!$1:$1,FS_Y!I$1,FS_Q!97:97)</f>
        <v/>
      </c>
      <c r="J97" s="108">
        <f>SUMIF(FS_Q!$1:$1,FS_Y!J$1,FS_Q!97:97)</f>
        <v/>
      </c>
      <c r="K97" s="108">
        <f>SUMIF(FS_Q!$1:$1,FS_Y!K$1,FS_Q!97:97)</f>
        <v/>
      </c>
      <c r="L97" s="108">
        <f>SUMIF(FS_Q!$1:$1,FS_Y!L$1,FS_Q!97:97)</f>
        <v/>
      </c>
      <c r="M97" s="108">
        <f>SUMIF(FS_Q!$1:$1,FS_Y!M$1,FS_Q!97:97)</f>
        <v/>
      </c>
      <c r="N97" s="108">
        <f>SUMIF(FS_Q!$1:$1,FS_Y!N$1,FS_Q!97:97)</f>
        <v/>
      </c>
      <c r="O97" s="108">
        <f>SUMIF(FS_Q!$1:$1,FS_Y!O$1,FS_Q!97:97)</f>
        <v/>
      </c>
      <c r="P97" s="108">
        <f>SUMIF(FS_Q!$1:$1,FS_Y!P$1,FS_Q!97:97)</f>
        <v/>
      </c>
      <c r="Q97" s="108">
        <f>SUMIF(FS_Q!$1:$1,FS_Y!Q$1,FS_Q!97:97)</f>
        <v/>
      </c>
      <c r="R97" s="108">
        <f>SUMIF(FS_Q!$1:$1,FS_Y!R$1,FS_Q!97:97)</f>
        <v/>
      </c>
      <c r="S97" s="108">
        <f>SUMIF(FS_Q!$1:$1,FS_Y!S$1,FS_Q!97:97)</f>
        <v/>
      </c>
      <c r="T97" s="108">
        <f>SUMIF(FS_Q!$1:$1,FS_Y!T$1,FS_Q!97:97)</f>
        <v/>
      </c>
      <c r="U97" s="108">
        <f>SUMIF(FS_Q!$1:$1,FS_Y!U$1,FS_Q!97:97)</f>
        <v/>
      </c>
      <c r="V97" s="108">
        <f>SUMIF(FS_Q!$1:$1,FS_Y!V$1,FS_Q!97:97)</f>
        <v/>
      </c>
      <c r="W97" s="108">
        <f>SUMIF(FS_Q!$1:$1,FS_Y!W$1,FS_Q!97:97)</f>
        <v/>
      </c>
      <c r="X97" s="148" t="n"/>
      <c r="Y97" s="148" t="n"/>
      <c r="Z97" s="148" t="n"/>
      <c r="AA97" s="148" t="n"/>
      <c r="AB97" s="148" t="n"/>
      <c r="AC97" s="148" t="n"/>
      <c r="AD97" s="148" t="n"/>
      <c r="AE97" s="148" t="n"/>
      <c r="AF97" s="148" t="n"/>
      <c r="AG97" s="148" t="n"/>
      <c r="AH97" s="148" t="n"/>
      <c r="AI97" s="148" t="n"/>
      <c r="AJ97" s="148" t="n"/>
      <c r="AK97" s="148" t="n"/>
      <c r="AL97" s="148" t="n"/>
      <c r="AM97" s="148" t="n"/>
      <c r="AN97" s="148" t="n"/>
      <c r="AO97" s="148" t="n"/>
      <c r="AP97" s="148" t="n"/>
      <c r="AQ97" s="148" t="n"/>
      <c r="AR97" s="148" t="n"/>
      <c r="AS97" s="148" t="n"/>
    </row>
    <row r="98">
      <c r="A98" s="33">
        <f>FS_Q!A98</f>
        <v/>
      </c>
      <c r="B98" s="148" t="n"/>
      <c r="C98" s="148" t="n"/>
      <c r="D98" s="143" t="n"/>
      <c r="E98" s="108">
        <f>SUMIF(FS_Q!$1:$1,FS_Y!E$1,FS_Q!98:98)</f>
        <v/>
      </c>
      <c r="F98" s="108">
        <f>SUMIF(FS_Q!$1:$1,FS_Y!F$1,FS_Q!98:98)</f>
        <v/>
      </c>
      <c r="G98" s="108">
        <f>SUMIF(FS_Q!$1:$1,FS_Y!G$1,FS_Q!98:98)</f>
        <v/>
      </c>
      <c r="H98" s="108">
        <f>SUMIF(FS_Q!$1:$1,FS_Y!H$1,FS_Q!98:98)</f>
        <v/>
      </c>
      <c r="I98" s="108">
        <f>SUMIF(FS_Q!$1:$1,FS_Y!I$1,FS_Q!98:98)</f>
        <v/>
      </c>
      <c r="J98" s="108">
        <f>SUMIF(FS_Q!$1:$1,FS_Y!J$1,FS_Q!98:98)</f>
        <v/>
      </c>
      <c r="K98" s="108">
        <f>SUMIF(FS_Q!$1:$1,FS_Y!K$1,FS_Q!98:98)</f>
        <v/>
      </c>
      <c r="L98" s="108">
        <f>SUMIF(FS_Q!$1:$1,FS_Y!L$1,FS_Q!98:98)</f>
        <v/>
      </c>
      <c r="M98" s="108">
        <f>SUMIF(FS_Q!$1:$1,FS_Y!M$1,FS_Q!98:98)</f>
        <v/>
      </c>
      <c r="N98" s="108">
        <f>SUMIF(FS_Q!$1:$1,FS_Y!N$1,FS_Q!98:98)</f>
        <v/>
      </c>
      <c r="O98" s="108">
        <f>SUMIF(FS_Q!$1:$1,FS_Y!O$1,FS_Q!98:98)</f>
        <v/>
      </c>
      <c r="P98" s="108">
        <f>SUMIF(FS_Q!$1:$1,FS_Y!P$1,FS_Q!98:98)</f>
        <v/>
      </c>
      <c r="Q98" s="108">
        <f>SUMIF(FS_Q!$1:$1,FS_Y!Q$1,FS_Q!98:98)</f>
        <v/>
      </c>
      <c r="R98" s="108">
        <f>SUMIF(FS_Q!$1:$1,FS_Y!R$1,FS_Q!98:98)</f>
        <v/>
      </c>
      <c r="S98" s="108">
        <f>SUMIF(FS_Q!$1:$1,FS_Y!S$1,FS_Q!98:98)</f>
        <v/>
      </c>
      <c r="T98" s="108">
        <f>SUMIF(FS_Q!$1:$1,FS_Y!T$1,FS_Q!98:98)</f>
        <v/>
      </c>
      <c r="U98" s="108">
        <f>SUMIF(FS_Q!$1:$1,FS_Y!U$1,FS_Q!98:98)</f>
        <v/>
      </c>
      <c r="V98" s="108">
        <f>SUMIF(FS_Q!$1:$1,FS_Y!V$1,FS_Q!98:98)</f>
        <v/>
      </c>
      <c r="W98" s="108">
        <f>SUMIF(FS_Q!$1:$1,FS_Y!W$1,FS_Q!98:98)</f>
        <v/>
      </c>
      <c r="X98" s="148" t="n"/>
      <c r="Y98" s="148" t="n"/>
      <c r="Z98" s="148" t="n"/>
      <c r="AA98" s="148" t="n"/>
      <c r="AB98" s="148" t="n"/>
      <c r="AC98" s="148" t="n"/>
      <c r="AD98" s="148" t="n"/>
      <c r="AE98" s="148" t="n"/>
      <c r="AF98" s="148" t="n"/>
      <c r="AG98" s="148" t="n"/>
      <c r="AH98" s="148" t="n"/>
      <c r="AI98" s="148" t="n"/>
      <c r="AJ98" s="148" t="n"/>
      <c r="AK98" s="148" t="n"/>
      <c r="AL98" s="148" t="n"/>
      <c r="AM98" s="148" t="n"/>
      <c r="AN98" s="148" t="n"/>
      <c r="AO98" s="148" t="n"/>
      <c r="AP98" s="148" t="n"/>
      <c r="AQ98" s="148" t="n"/>
      <c r="AR98" s="148" t="n"/>
      <c r="AS98" s="148" t="n"/>
    </row>
    <row r="99">
      <c r="A99" s="33">
        <f>FS_Q!A99</f>
        <v/>
      </c>
      <c r="B99" s="148" t="n"/>
      <c r="C99" s="148" t="n"/>
      <c r="D99" s="143" t="n"/>
      <c r="E99" s="108">
        <f>SUMIF(FS_Q!$1:$1,FS_Y!E$1,FS_Q!99:99)</f>
        <v/>
      </c>
      <c r="F99" s="108">
        <f>SUMIF(FS_Q!$1:$1,FS_Y!F$1,FS_Q!99:99)</f>
        <v/>
      </c>
      <c r="G99" s="108">
        <f>SUMIF(FS_Q!$1:$1,FS_Y!G$1,FS_Q!99:99)</f>
        <v/>
      </c>
      <c r="H99" s="108">
        <f>SUMIF(FS_Q!$1:$1,FS_Y!H$1,FS_Q!99:99)</f>
        <v/>
      </c>
      <c r="I99" s="108">
        <f>SUMIF(FS_Q!$1:$1,FS_Y!I$1,FS_Q!99:99)</f>
        <v/>
      </c>
      <c r="J99" s="108">
        <f>SUMIF(FS_Q!$1:$1,FS_Y!J$1,FS_Q!99:99)</f>
        <v/>
      </c>
      <c r="K99" s="108">
        <f>SUMIF(FS_Q!$1:$1,FS_Y!K$1,FS_Q!99:99)</f>
        <v/>
      </c>
      <c r="L99" s="108">
        <f>SUMIF(FS_Q!$1:$1,FS_Y!L$1,FS_Q!99:99)</f>
        <v/>
      </c>
      <c r="M99" s="108">
        <f>SUMIF(FS_Q!$1:$1,FS_Y!M$1,FS_Q!99:99)</f>
        <v/>
      </c>
      <c r="N99" s="108">
        <f>SUMIF(FS_Q!$1:$1,FS_Y!N$1,FS_Q!99:99)</f>
        <v/>
      </c>
      <c r="O99" s="108">
        <f>SUMIF(FS_Q!$1:$1,FS_Y!O$1,FS_Q!99:99)</f>
        <v/>
      </c>
      <c r="P99" s="108">
        <f>SUMIF(FS_Q!$1:$1,FS_Y!P$1,FS_Q!99:99)</f>
        <v/>
      </c>
      <c r="Q99" s="108">
        <f>SUMIF(FS_Q!$1:$1,FS_Y!Q$1,FS_Q!99:99)</f>
        <v/>
      </c>
      <c r="R99" s="108">
        <f>SUMIF(FS_Q!$1:$1,FS_Y!R$1,FS_Q!99:99)</f>
        <v/>
      </c>
      <c r="S99" s="108">
        <f>SUMIF(FS_Q!$1:$1,FS_Y!S$1,FS_Q!99:99)</f>
        <v/>
      </c>
      <c r="T99" s="108">
        <f>SUMIF(FS_Q!$1:$1,FS_Y!T$1,FS_Q!99:99)</f>
        <v/>
      </c>
      <c r="U99" s="108">
        <f>SUMIF(FS_Q!$1:$1,FS_Y!U$1,FS_Q!99:99)</f>
        <v/>
      </c>
      <c r="V99" s="108">
        <f>SUMIF(FS_Q!$1:$1,FS_Y!V$1,FS_Q!99:99)</f>
        <v/>
      </c>
      <c r="W99" s="108">
        <f>SUMIF(FS_Q!$1:$1,FS_Y!W$1,FS_Q!99:99)</f>
        <v/>
      </c>
      <c r="X99" s="148" t="n"/>
      <c r="Y99" s="148" t="n"/>
      <c r="Z99" s="148" t="n"/>
      <c r="AA99" s="148" t="n"/>
      <c r="AB99" s="148" t="n"/>
      <c r="AC99" s="148" t="n"/>
      <c r="AD99" s="148" t="n"/>
      <c r="AE99" s="148" t="n"/>
      <c r="AF99" s="148" t="n"/>
      <c r="AG99" s="148" t="n"/>
      <c r="AH99" s="148" t="n"/>
      <c r="AI99" s="148" t="n"/>
      <c r="AJ99" s="148" t="n"/>
      <c r="AK99" s="148" t="n"/>
      <c r="AL99" s="148" t="n"/>
      <c r="AM99" s="148" t="n"/>
      <c r="AN99" s="148" t="n"/>
      <c r="AO99" s="148" t="n"/>
      <c r="AP99" s="148" t="n"/>
      <c r="AQ99" s="148" t="n"/>
      <c r="AR99" s="148" t="n"/>
      <c r="AS99" s="148" t="n"/>
    </row>
    <row r="100">
      <c r="A100" s="33">
        <f>FS_Q!A100</f>
        <v/>
      </c>
      <c r="B100" s="148" t="n"/>
      <c r="C100" s="148" t="n"/>
      <c r="D100" s="143" t="n"/>
      <c r="E100" s="517">
        <f>SUMIF(FS_Q!$1:$1,FS_Y!E$1,FS_Q!100:100)</f>
        <v/>
      </c>
      <c r="F100" s="517">
        <f>SUMIF(FS_Q!$1:$1,FS_Y!F$1,FS_Q!100:100)</f>
        <v/>
      </c>
      <c r="G100" s="517">
        <f>SUMIF(FS_Q!$1:$1,FS_Y!G$1,FS_Q!100:100)</f>
        <v/>
      </c>
      <c r="H100" s="517">
        <f>SUMIF(FS_Q!$1:$1,FS_Y!H$1,FS_Q!100:100)</f>
        <v/>
      </c>
      <c r="I100" s="517">
        <f>SUMIF(FS_Q!$1:$1,FS_Y!I$1,FS_Q!100:100)</f>
        <v/>
      </c>
      <c r="J100" s="517">
        <f>SUMIF(FS_Q!$1:$1,FS_Y!J$1,FS_Q!100:100)</f>
        <v/>
      </c>
      <c r="K100" s="517">
        <f>SUMIF(FS_Q!$1:$1,FS_Y!K$1,FS_Q!100:100)</f>
        <v/>
      </c>
      <c r="L100" s="517">
        <f>SUMIF(FS_Q!$1:$1,FS_Y!L$1,FS_Q!100:100)</f>
        <v/>
      </c>
      <c r="M100" s="517">
        <f>SUMIF(FS_Q!$1:$1,FS_Y!M$1,FS_Q!100:100)</f>
        <v/>
      </c>
      <c r="N100" s="517">
        <f>SUMIF(FS_Q!$1:$1,FS_Y!N$1,FS_Q!100:100)</f>
        <v/>
      </c>
      <c r="O100" s="517">
        <f>SUMIF(FS_Q!$1:$1,FS_Y!O$1,FS_Q!100:100)</f>
        <v/>
      </c>
      <c r="P100" s="517">
        <f>SUMIF(FS_Q!$1:$1,FS_Y!P$1,FS_Q!100:100)</f>
        <v/>
      </c>
      <c r="Q100" s="517">
        <f>SUMIF(FS_Q!$1:$1,FS_Y!Q$1,FS_Q!100:100)</f>
        <v/>
      </c>
      <c r="R100" s="517">
        <f>SUMIF(FS_Q!$1:$1,FS_Y!R$1,FS_Q!100:100)</f>
        <v/>
      </c>
      <c r="S100" s="517">
        <f>SUMIF(FS_Q!$1:$1,FS_Y!S$1,FS_Q!100:100)</f>
        <v/>
      </c>
      <c r="T100" s="517">
        <f>SUMIF(FS_Q!$1:$1,FS_Y!T$1,FS_Q!100:100)</f>
        <v/>
      </c>
      <c r="U100" s="517">
        <f>SUMIF(FS_Q!$1:$1,FS_Y!U$1,FS_Q!100:100)</f>
        <v/>
      </c>
      <c r="V100" s="517">
        <f>SUMIF(FS_Q!$1:$1,FS_Y!V$1,FS_Q!100:100)</f>
        <v/>
      </c>
      <c r="W100" s="517">
        <f>SUMIF(FS_Q!$1:$1,FS_Y!W$1,FS_Q!100:100)</f>
        <v/>
      </c>
      <c r="X100" s="148" t="n"/>
      <c r="Y100" s="148" t="n"/>
      <c r="Z100" s="148" t="n"/>
      <c r="AA100" s="148" t="n"/>
      <c r="AB100" s="148" t="n"/>
      <c r="AC100" s="148" t="n"/>
      <c r="AD100" s="148" t="n"/>
      <c r="AE100" s="148" t="n"/>
      <c r="AF100" s="148" t="n"/>
      <c r="AG100" s="148" t="n"/>
      <c r="AH100" s="148" t="n"/>
      <c r="AI100" s="148" t="n"/>
      <c r="AJ100" s="148" t="n"/>
      <c r="AK100" s="148" t="n"/>
      <c r="AL100" s="148" t="n"/>
      <c r="AM100" s="148" t="n"/>
      <c r="AN100" s="148" t="n"/>
      <c r="AO100" s="148" t="n"/>
      <c r="AP100" s="148" t="n"/>
      <c r="AQ100" s="148" t="n"/>
      <c r="AR100" s="148" t="n"/>
      <c r="AS100" s="148" t="n"/>
    </row>
    <row r="101">
      <c r="A101" s="33">
        <f>FS_Q!A101</f>
        <v/>
      </c>
      <c r="B101" s="148" t="n"/>
      <c r="C101" s="148" t="n"/>
      <c r="D101" s="143" t="n"/>
      <c r="E101" s="517">
        <f>SUMIF(FS_Q!$1:$1,FS_Y!E$1,FS_Q!101:101)</f>
        <v/>
      </c>
      <c r="F101" s="517">
        <f>SUMIF(FS_Q!$1:$1,FS_Y!F$1,FS_Q!101:101)</f>
        <v/>
      </c>
      <c r="G101" s="517">
        <f>SUMIF(FS_Q!$1:$1,FS_Y!G$1,FS_Q!101:101)</f>
        <v/>
      </c>
      <c r="H101" s="517">
        <f>SUMIF(FS_Q!$1:$1,FS_Y!H$1,FS_Q!101:101)</f>
        <v/>
      </c>
      <c r="I101" s="517">
        <f>SUMIF(FS_Q!$1:$1,FS_Y!I$1,FS_Q!101:101)</f>
        <v/>
      </c>
      <c r="J101" s="517">
        <f>SUMIF(FS_Q!$1:$1,FS_Y!J$1,FS_Q!101:101)</f>
        <v/>
      </c>
      <c r="K101" s="517">
        <f>SUMIF(FS_Q!$1:$1,FS_Y!K$1,FS_Q!101:101)</f>
        <v/>
      </c>
      <c r="L101" s="517">
        <f>SUMIF(FS_Q!$1:$1,FS_Y!L$1,FS_Q!101:101)</f>
        <v/>
      </c>
      <c r="M101" s="517">
        <f>SUMIF(FS_Q!$1:$1,FS_Y!M$1,FS_Q!101:101)</f>
        <v/>
      </c>
      <c r="N101" s="517">
        <f>SUMIF(FS_Q!$1:$1,FS_Y!N$1,FS_Q!101:101)</f>
        <v/>
      </c>
      <c r="O101" s="517">
        <f>SUMIF(FS_Q!$1:$1,FS_Y!O$1,FS_Q!101:101)</f>
        <v/>
      </c>
      <c r="P101" s="517">
        <f>SUMIF(FS_Q!$1:$1,FS_Y!P$1,FS_Q!101:101)</f>
        <v/>
      </c>
      <c r="Q101" s="517">
        <f>SUMIF(FS_Q!$1:$1,FS_Y!Q$1,FS_Q!101:101)</f>
        <v/>
      </c>
      <c r="R101" s="517">
        <f>SUMIF(FS_Q!$1:$1,FS_Y!R$1,FS_Q!101:101)</f>
        <v/>
      </c>
      <c r="S101" s="517">
        <f>SUMIF(FS_Q!$1:$1,FS_Y!S$1,FS_Q!101:101)</f>
        <v/>
      </c>
      <c r="T101" s="517">
        <f>SUMIF(FS_Q!$1:$1,FS_Y!T$1,FS_Q!101:101)</f>
        <v/>
      </c>
      <c r="U101" s="517">
        <f>SUMIF(FS_Q!$1:$1,FS_Y!U$1,FS_Q!101:101)</f>
        <v/>
      </c>
      <c r="V101" s="517">
        <f>SUMIF(FS_Q!$1:$1,FS_Y!V$1,FS_Q!101:101)</f>
        <v/>
      </c>
      <c r="W101" s="517">
        <f>SUMIF(FS_Q!$1:$1,FS_Y!W$1,FS_Q!101:101)</f>
        <v/>
      </c>
      <c r="X101" s="148" t="n"/>
      <c r="Y101" s="148" t="n"/>
      <c r="Z101" s="148" t="n"/>
      <c r="AA101" s="148" t="n"/>
      <c r="AB101" s="148" t="n"/>
      <c r="AC101" s="148" t="n"/>
      <c r="AD101" s="148" t="n"/>
      <c r="AE101" s="148" t="n"/>
      <c r="AF101" s="148" t="n"/>
      <c r="AG101" s="148" t="n"/>
      <c r="AH101" s="148" t="n"/>
      <c r="AI101" s="148" t="n"/>
      <c r="AJ101" s="148" t="n"/>
      <c r="AK101" s="148" t="n"/>
      <c r="AL101" s="148" t="n"/>
      <c r="AM101" s="148" t="n"/>
      <c r="AN101" s="148" t="n"/>
      <c r="AO101" s="148" t="n"/>
      <c r="AP101" s="148" t="n"/>
      <c r="AQ101" s="148" t="n"/>
      <c r="AR101" s="148" t="n"/>
      <c r="AS101" s="148" t="n"/>
    </row>
    <row r="102">
      <c r="A102" s="22">
        <f>FS_Q!A102</f>
        <v/>
      </c>
      <c r="B102" s="148" t="n"/>
      <c r="C102" s="148" t="n"/>
      <c r="D102" s="143" t="n"/>
      <c r="E102" s="519">
        <f>SUMIF(FS_Q!$1:$1,FS_Y!E$1,FS_Q!102:102)</f>
        <v/>
      </c>
      <c r="F102" s="519">
        <f>SUMIF(FS_Q!$1:$1,FS_Y!F$1,FS_Q!102:102)</f>
        <v/>
      </c>
      <c r="G102" s="519">
        <f>SUMIF(FS_Q!$1:$1,FS_Y!G$1,FS_Q!102:102)</f>
        <v/>
      </c>
      <c r="H102" s="519">
        <f>SUMIF(FS_Q!$1:$1,FS_Y!H$1,FS_Q!102:102)</f>
        <v/>
      </c>
      <c r="I102" s="519">
        <f>SUMIF(FS_Q!$1:$1,FS_Y!I$1,FS_Q!102:102)</f>
        <v/>
      </c>
      <c r="J102" s="519">
        <f>SUMIF(FS_Q!$1:$1,FS_Y!J$1,FS_Q!102:102)</f>
        <v/>
      </c>
      <c r="K102" s="519">
        <f>SUMIF(FS_Q!$1:$1,FS_Y!K$1,FS_Q!102:102)</f>
        <v/>
      </c>
      <c r="L102" s="519">
        <f>SUMIF(FS_Q!$1:$1,FS_Y!L$1,FS_Q!102:102)</f>
        <v/>
      </c>
      <c r="M102" s="519">
        <f>SUMIF(FS_Q!$1:$1,FS_Y!M$1,FS_Q!102:102)</f>
        <v/>
      </c>
      <c r="N102" s="519">
        <f>SUMIF(FS_Q!$1:$1,FS_Y!N$1,FS_Q!102:102)</f>
        <v/>
      </c>
      <c r="O102" s="519">
        <f>SUMIF(FS_Q!$1:$1,FS_Y!O$1,FS_Q!102:102)</f>
        <v/>
      </c>
      <c r="P102" s="519">
        <f>SUMIF(FS_Q!$1:$1,FS_Y!P$1,FS_Q!102:102)</f>
        <v/>
      </c>
      <c r="Q102" s="519">
        <f>SUMIF(FS_Q!$1:$1,FS_Y!Q$1,FS_Q!102:102)</f>
        <v/>
      </c>
      <c r="R102" s="519">
        <f>SUMIF(FS_Q!$1:$1,FS_Y!R$1,FS_Q!102:102)</f>
        <v/>
      </c>
      <c r="S102" s="519">
        <f>SUMIF(FS_Q!$1:$1,FS_Y!S$1,FS_Q!102:102)</f>
        <v/>
      </c>
      <c r="T102" s="519">
        <f>SUMIF(FS_Q!$1:$1,FS_Y!T$1,FS_Q!102:102)</f>
        <v/>
      </c>
      <c r="U102" s="519">
        <f>SUMIF(FS_Q!$1:$1,FS_Y!U$1,FS_Q!102:102)</f>
        <v/>
      </c>
      <c r="V102" s="519">
        <f>SUMIF(FS_Q!$1:$1,FS_Y!V$1,FS_Q!102:102)</f>
        <v/>
      </c>
      <c r="W102" s="519">
        <f>SUMIF(FS_Q!$1:$1,FS_Y!W$1,FS_Q!102:102)</f>
        <v/>
      </c>
      <c r="X102" s="148" t="n"/>
      <c r="Y102" s="148" t="n"/>
      <c r="Z102" s="148" t="n"/>
      <c r="AA102" s="148" t="n"/>
      <c r="AB102" s="148" t="n"/>
      <c r="AC102" s="148" t="n"/>
      <c r="AD102" s="148" t="n"/>
      <c r="AE102" s="148" t="n"/>
      <c r="AF102" s="148" t="n"/>
      <c r="AG102" s="148" t="n"/>
      <c r="AH102" s="148" t="n"/>
      <c r="AI102" s="148" t="n"/>
      <c r="AJ102" s="148" t="n"/>
      <c r="AK102" s="148" t="n"/>
      <c r="AL102" s="148" t="n"/>
      <c r="AM102" s="148" t="n"/>
      <c r="AN102" s="148" t="n"/>
      <c r="AO102" s="148" t="n"/>
      <c r="AP102" s="148" t="n"/>
      <c r="AQ102" s="148" t="n"/>
      <c r="AR102" s="148" t="n"/>
      <c r="AS102" s="148" t="n"/>
    </row>
    <row r="103">
      <c r="B103" s="148" t="n"/>
      <c r="C103" s="148" t="n"/>
      <c r="D103" s="143" t="n"/>
      <c r="X103" s="148" t="n"/>
      <c r="Y103" s="148" t="n"/>
      <c r="Z103" s="148" t="n"/>
      <c r="AA103" s="148" t="n"/>
      <c r="AB103" s="148" t="n"/>
      <c r="AC103" s="148" t="n"/>
      <c r="AD103" s="148" t="n"/>
      <c r="AE103" s="148" t="n"/>
      <c r="AF103" s="148" t="n"/>
      <c r="AG103" s="148" t="n"/>
      <c r="AH103" s="148" t="n"/>
      <c r="AI103" s="148" t="n"/>
      <c r="AJ103" s="148" t="n"/>
      <c r="AK103" s="148" t="n"/>
      <c r="AL103" s="148" t="n"/>
      <c r="AM103" s="148" t="n"/>
      <c r="AN103" s="148" t="n"/>
      <c r="AO103" s="148" t="n"/>
      <c r="AP103" s="148" t="n"/>
      <c r="AQ103" s="148" t="n"/>
      <c r="AR103" s="148" t="n"/>
      <c r="AS103" s="148" t="n"/>
    </row>
    <row r="104">
      <c r="A104" s="22">
        <f>FS_Q!A104</f>
        <v/>
      </c>
      <c r="B104" s="148" t="n"/>
      <c r="C104" s="148" t="n"/>
      <c r="D104" s="143" t="n"/>
      <c r="X104" s="148" t="n"/>
      <c r="Y104" s="148" t="n"/>
      <c r="Z104" s="148" t="n"/>
      <c r="AA104" s="148" t="n"/>
      <c r="AB104" s="148" t="n"/>
      <c r="AC104" s="148" t="n"/>
      <c r="AD104" s="148" t="n"/>
      <c r="AE104" s="148" t="n"/>
      <c r="AF104" s="148" t="n"/>
      <c r="AG104" s="148" t="n"/>
      <c r="AH104" s="148" t="n"/>
      <c r="AI104" s="148" t="n"/>
      <c r="AJ104" s="148" t="n"/>
      <c r="AK104" s="148" t="n"/>
      <c r="AL104" s="148" t="n"/>
      <c r="AM104" s="148" t="n"/>
      <c r="AN104" s="148" t="n"/>
      <c r="AO104" s="148" t="n"/>
      <c r="AP104" s="148" t="n"/>
      <c r="AQ104" s="148" t="n"/>
      <c r="AR104" s="148" t="n"/>
      <c r="AS104" s="148" t="n"/>
    </row>
    <row r="105">
      <c r="A105" s="74">
        <f>FS_Q!A105</f>
        <v/>
      </c>
      <c r="B105" s="148" t="n"/>
      <c r="C105" s="148" t="n"/>
      <c r="D105" s="143" t="n"/>
      <c r="E105" s="517">
        <f>SUMIF(FS_Q!$1:$1,FS_Y!E$1,FS_Q!105:105)</f>
        <v/>
      </c>
      <c r="F105" s="517">
        <f>SUMIF(FS_Q!$1:$1,FS_Y!F$1,FS_Q!105:105)</f>
        <v/>
      </c>
      <c r="G105" s="517">
        <f>SUMIF(FS_Q!$1:$1,FS_Y!G$1,FS_Q!105:105)</f>
        <v/>
      </c>
      <c r="H105" s="517">
        <f>SUMIF(FS_Q!$1:$1,FS_Y!H$1,FS_Q!105:105)</f>
        <v/>
      </c>
      <c r="I105" s="517">
        <f>SUMIF(FS_Q!$1:$1,FS_Y!I$1,FS_Q!105:105)</f>
        <v/>
      </c>
      <c r="J105" s="517">
        <f>SUMIF(FS_Q!$1:$1,FS_Y!J$1,FS_Q!105:105)</f>
        <v/>
      </c>
      <c r="K105" s="517">
        <f>SUMIF(FS_Q!$1:$1,FS_Y!K$1,FS_Q!105:105)</f>
        <v/>
      </c>
      <c r="L105" s="517">
        <f>SUMIF(FS_Q!$1:$1,FS_Y!L$1,FS_Q!105:105)</f>
        <v/>
      </c>
      <c r="M105" s="517">
        <f>SUMIF(FS_Q!$1:$1,FS_Y!M$1,FS_Q!105:105)</f>
        <v/>
      </c>
      <c r="N105" s="517">
        <f>SUMIF(FS_Q!$1:$1,FS_Y!N$1,FS_Q!105:105)</f>
        <v/>
      </c>
      <c r="O105" s="517">
        <f>SUMIF(FS_Q!$1:$1,FS_Y!O$1,FS_Q!105:105)</f>
        <v/>
      </c>
      <c r="P105" s="517">
        <f>SUMIF(FS_Q!$1:$1,FS_Y!P$1,FS_Q!105:105)</f>
        <v/>
      </c>
      <c r="Q105" s="517">
        <f>SUMIF(FS_Q!$1:$1,FS_Y!Q$1,FS_Q!105:105)</f>
        <v/>
      </c>
      <c r="R105" s="517">
        <f>SUMIF(FS_Q!$1:$1,FS_Y!R$1,FS_Q!105:105)</f>
        <v/>
      </c>
      <c r="S105" s="517">
        <f>SUMIF(FS_Q!$1:$1,FS_Y!S$1,FS_Q!105:105)</f>
        <v/>
      </c>
      <c r="T105" s="517">
        <f>SUMIF(FS_Q!$1:$1,FS_Y!T$1,FS_Q!105:105)</f>
        <v/>
      </c>
      <c r="U105" s="517">
        <f>SUMIF(FS_Q!$1:$1,FS_Y!U$1,FS_Q!105:105)</f>
        <v/>
      </c>
      <c r="V105" s="517">
        <f>SUMIF(FS_Q!$1:$1,FS_Y!V$1,FS_Q!105:105)</f>
        <v/>
      </c>
      <c r="W105" s="517">
        <f>SUMIF(FS_Q!$1:$1,FS_Y!W$1,FS_Q!105:105)</f>
        <v/>
      </c>
      <c r="X105" s="148" t="n"/>
      <c r="Y105" s="148" t="n"/>
      <c r="Z105" s="148" t="n"/>
      <c r="AA105" s="148" t="n"/>
      <c r="AB105" s="148" t="n"/>
      <c r="AC105" s="148" t="n"/>
      <c r="AD105" s="148" t="n"/>
      <c r="AE105" s="148" t="n"/>
      <c r="AF105" s="148" t="n"/>
      <c r="AG105" s="148" t="n"/>
      <c r="AH105" s="148" t="n"/>
      <c r="AI105" s="148" t="n"/>
      <c r="AJ105" s="148" t="n"/>
      <c r="AK105" s="148" t="n"/>
      <c r="AL105" s="148" t="n"/>
      <c r="AM105" s="148" t="n"/>
      <c r="AN105" s="148" t="n"/>
      <c r="AO105" s="148" t="n"/>
      <c r="AP105" s="148" t="n"/>
      <c r="AQ105" s="148" t="n"/>
      <c r="AR105" s="148" t="n"/>
      <c r="AS105" s="148" t="n"/>
    </row>
    <row r="106">
      <c r="A106" s="74">
        <f>FS_Q!A106</f>
        <v/>
      </c>
      <c r="B106" s="148" t="n"/>
      <c r="C106" s="148" t="n"/>
      <c r="D106" s="143" t="n"/>
      <c r="E106" s="517">
        <f>SUMIF(FS_Q!$1:$1,FS_Y!E$1,FS_Q!106:106)</f>
        <v/>
      </c>
      <c r="F106" s="517">
        <f>SUMIF(FS_Q!$1:$1,FS_Y!F$1,FS_Q!106:106)</f>
        <v/>
      </c>
      <c r="G106" s="517">
        <f>SUMIF(FS_Q!$1:$1,FS_Y!G$1,FS_Q!106:106)</f>
        <v/>
      </c>
      <c r="H106" s="517">
        <f>SUMIF(FS_Q!$1:$1,FS_Y!H$1,FS_Q!106:106)</f>
        <v/>
      </c>
      <c r="I106" s="517">
        <f>SUMIF(FS_Q!$1:$1,FS_Y!I$1,FS_Q!106:106)</f>
        <v/>
      </c>
      <c r="J106" s="517">
        <f>SUMIF(FS_Q!$1:$1,FS_Y!J$1,FS_Q!106:106)</f>
        <v/>
      </c>
      <c r="K106" s="517">
        <f>SUMIF(FS_Q!$1:$1,FS_Y!K$1,FS_Q!106:106)</f>
        <v/>
      </c>
      <c r="L106" s="517">
        <f>SUMIF(FS_Q!$1:$1,FS_Y!L$1,FS_Q!106:106)</f>
        <v/>
      </c>
      <c r="M106" s="517">
        <f>SUMIF(FS_Q!$1:$1,FS_Y!M$1,FS_Q!106:106)</f>
        <v/>
      </c>
      <c r="N106" s="517">
        <f>SUMIF(FS_Q!$1:$1,FS_Y!N$1,FS_Q!106:106)</f>
        <v/>
      </c>
      <c r="O106" s="517">
        <f>SUMIF(FS_Q!$1:$1,FS_Y!O$1,FS_Q!106:106)</f>
        <v/>
      </c>
      <c r="P106" s="517">
        <f>SUMIF(FS_Q!$1:$1,FS_Y!P$1,FS_Q!106:106)</f>
        <v/>
      </c>
      <c r="Q106" s="517">
        <f>SUMIF(FS_Q!$1:$1,FS_Y!Q$1,FS_Q!106:106)</f>
        <v/>
      </c>
      <c r="R106" s="517">
        <f>SUMIF(FS_Q!$1:$1,FS_Y!R$1,FS_Q!106:106)</f>
        <v/>
      </c>
      <c r="S106" s="517">
        <f>SUMIF(FS_Q!$1:$1,FS_Y!S$1,FS_Q!106:106)</f>
        <v/>
      </c>
      <c r="T106" s="517">
        <f>SUMIF(FS_Q!$1:$1,FS_Y!T$1,FS_Q!106:106)</f>
        <v/>
      </c>
      <c r="U106" s="517">
        <f>SUMIF(FS_Q!$1:$1,FS_Y!U$1,FS_Q!106:106)</f>
        <v/>
      </c>
      <c r="V106" s="517">
        <f>SUMIF(FS_Q!$1:$1,FS_Y!V$1,FS_Q!106:106)</f>
        <v/>
      </c>
      <c r="W106" s="517">
        <f>SUMIF(FS_Q!$1:$1,FS_Y!W$1,FS_Q!106:106)</f>
        <v/>
      </c>
      <c r="X106" s="148" t="n"/>
      <c r="Y106" s="148" t="n"/>
      <c r="Z106" s="148" t="n"/>
      <c r="AA106" s="148" t="n"/>
      <c r="AB106" s="148" t="n"/>
      <c r="AC106" s="148" t="n"/>
      <c r="AD106" s="148" t="n"/>
      <c r="AE106" s="148" t="n"/>
      <c r="AF106" s="148" t="n"/>
      <c r="AG106" s="148" t="n"/>
      <c r="AH106" s="148" t="n"/>
      <c r="AI106" s="148" t="n"/>
      <c r="AJ106" s="148" t="n"/>
      <c r="AK106" s="148" t="n"/>
      <c r="AL106" s="148" t="n"/>
      <c r="AM106" s="148" t="n"/>
      <c r="AN106" s="148" t="n"/>
      <c r="AO106" s="148" t="n"/>
      <c r="AP106" s="148" t="n"/>
      <c r="AQ106" s="148" t="n"/>
      <c r="AR106" s="148" t="n"/>
      <c r="AS106" s="148" t="n"/>
    </row>
    <row r="107">
      <c r="A107" s="22">
        <f>FS_Q!A107</f>
        <v/>
      </c>
      <c r="B107" s="148" t="n"/>
      <c r="C107" s="148" t="n"/>
      <c r="D107" s="143" t="n"/>
      <c r="E107" s="519">
        <f>SUMIF(FS_Q!$1:$1,FS_Y!E$1,FS_Q!107:107)</f>
        <v/>
      </c>
      <c r="F107" s="519">
        <f>SUMIF(FS_Q!$1:$1,FS_Y!F$1,FS_Q!107:107)</f>
        <v/>
      </c>
      <c r="G107" s="519">
        <f>SUMIF(FS_Q!$1:$1,FS_Y!G$1,FS_Q!107:107)</f>
        <v/>
      </c>
      <c r="H107" s="519">
        <f>SUMIF(FS_Q!$1:$1,FS_Y!H$1,FS_Q!107:107)</f>
        <v/>
      </c>
      <c r="I107" s="519">
        <f>SUMIF(FS_Q!$1:$1,FS_Y!I$1,FS_Q!107:107)</f>
        <v/>
      </c>
      <c r="J107" s="519">
        <f>SUMIF(FS_Q!$1:$1,FS_Y!J$1,FS_Q!107:107)</f>
        <v/>
      </c>
      <c r="K107" s="519">
        <f>SUMIF(FS_Q!$1:$1,FS_Y!K$1,FS_Q!107:107)</f>
        <v/>
      </c>
      <c r="L107" s="519">
        <f>SUMIF(FS_Q!$1:$1,FS_Y!L$1,FS_Q!107:107)</f>
        <v/>
      </c>
      <c r="M107" s="519">
        <f>SUMIF(FS_Q!$1:$1,FS_Y!M$1,FS_Q!107:107)</f>
        <v/>
      </c>
      <c r="N107" s="519">
        <f>SUMIF(FS_Q!$1:$1,FS_Y!N$1,FS_Q!107:107)</f>
        <v/>
      </c>
      <c r="O107" s="519">
        <f>SUMIF(FS_Q!$1:$1,FS_Y!O$1,FS_Q!107:107)</f>
        <v/>
      </c>
      <c r="P107" s="519">
        <f>SUMIF(FS_Q!$1:$1,FS_Y!P$1,FS_Q!107:107)</f>
        <v/>
      </c>
      <c r="Q107" s="519">
        <f>SUMIF(FS_Q!$1:$1,FS_Y!Q$1,FS_Q!107:107)</f>
        <v/>
      </c>
      <c r="R107" s="519">
        <f>SUMIF(FS_Q!$1:$1,FS_Y!R$1,FS_Q!107:107)</f>
        <v/>
      </c>
      <c r="S107" s="519">
        <f>SUMIF(FS_Q!$1:$1,FS_Y!S$1,FS_Q!107:107)</f>
        <v/>
      </c>
      <c r="T107" s="519">
        <f>SUMIF(FS_Q!$1:$1,FS_Y!T$1,FS_Q!107:107)</f>
        <v/>
      </c>
      <c r="U107" s="519">
        <f>SUMIF(FS_Q!$1:$1,FS_Y!U$1,FS_Q!107:107)</f>
        <v/>
      </c>
      <c r="V107" s="519">
        <f>SUMIF(FS_Q!$1:$1,FS_Y!V$1,FS_Q!107:107)</f>
        <v/>
      </c>
      <c r="W107" s="519">
        <f>SUMIF(FS_Q!$1:$1,FS_Y!W$1,FS_Q!107:107)</f>
        <v/>
      </c>
      <c r="X107" s="148" t="n"/>
      <c r="Y107" s="148" t="n"/>
      <c r="Z107" s="148" t="n"/>
      <c r="AA107" s="148" t="n"/>
      <c r="AB107" s="148" t="n"/>
      <c r="AC107" s="148" t="n"/>
      <c r="AD107" s="148" t="n"/>
      <c r="AE107" s="148" t="n"/>
      <c r="AF107" s="148" t="n"/>
      <c r="AG107" s="148" t="n"/>
      <c r="AH107" s="148" t="n"/>
      <c r="AI107" s="148" t="n"/>
      <c r="AJ107" s="148" t="n"/>
      <c r="AK107" s="148" t="n"/>
      <c r="AL107" s="148" t="n"/>
      <c r="AM107" s="148" t="n"/>
      <c r="AN107" s="148" t="n"/>
      <c r="AO107" s="148" t="n"/>
      <c r="AP107" s="148" t="n"/>
      <c r="AQ107" s="148" t="n"/>
      <c r="AR107" s="148" t="n"/>
      <c r="AS107" s="148" t="n"/>
    </row>
    <row r="108">
      <c r="B108" s="148" t="n"/>
      <c r="C108" s="148" t="n"/>
      <c r="D108" s="143" t="n"/>
      <c r="X108" s="148" t="n"/>
      <c r="Y108" s="148" t="n"/>
      <c r="Z108" s="148" t="n"/>
      <c r="AA108" s="148" t="n"/>
      <c r="AB108" s="148" t="n"/>
      <c r="AC108" s="148" t="n"/>
      <c r="AD108" s="148" t="n"/>
      <c r="AE108" s="148" t="n"/>
      <c r="AF108" s="148" t="n"/>
      <c r="AG108" s="148" t="n"/>
      <c r="AH108" s="148" t="n"/>
      <c r="AI108" s="148" t="n"/>
      <c r="AJ108" s="148" t="n"/>
      <c r="AK108" s="148" t="n"/>
      <c r="AL108" s="148" t="n"/>
      <c r="AM108" s="148" t="n"/>
      <c r="AN108" s="148" t="n"/>
      <c r="AO108" s="148" t="n"/>
      <c r="AP108" s="148" t="n"/>
      <c r="AQ108" s="148" t="n"/>
      <c r="AR108" s="148" t="n"/>
      <c r="AS108" s="148" t="n"/>
    </row>
    <row r="109">
      <c r="A109" s="22">
        <f>FS_Q!A109</f>
        <v/>
      </c>
      <c r="B109" s="148" t="n"/>
      <c r="C109" s="148" t="n"/>
      <c r="D109" s="143" t="n"/>
      <c r="X109" s="148" t="n"/>
      <c r="Y109" s="148" t="n"/>
      <c r="Z109" s="148" t="n"/>
      <c r="AA109" s="148" t="n"/>
      <c r="AB109" s="148" t="n"/>
      <c r="AC109" s="148" t="n"/>
      <c r="AD109" s="148" t="n"/>
      <c r="AE109" s="148" t="n"/>
      <c r="AF109" s="148" t="n"/>
      <c r="AG109" s="148" t="n"/>
      <c r="AH109" s="148" t="n"/>
      <c r="AI109" s="148" t="n"/>
      <c r="AJ109" s="148" t="n"/>
      <c r="AK109" s="148" t="n"/>
      <c r="AL109" s="148" t="n"/>
      <c r="AM109" s="148" t="n"/>
      <c r="AN109" s="148" t="n"/>
      <c r="AO109" s="148" t="n"/>
      <c r="AP109" s="148" t="n"/>
      <c r="AQ109" s="148" t="n"/>
      <c r="AR109" s="148" t="n"/>
      <c r="AS109" s="148" t="n"/>
    </row>
    <row r="110" customFormat="1" s="399">
      <c r="A110" s="74">
        <f>FS_Q!A110</f>
        <v/>
      </c>
      <c r="B110" s="148" t="n"/>
      <c r="C110" s="148" t="n"/>
      <c r="D110" s="147" t="n"/>
      <c r="E110" s="76">
        <f>SUMIF(FS_Q!$1:$1,FS_Y!E$1,FS_Q!110:110)</f>
        <v/>
      </c>
      <c r="F110" s="76">
        <f>SUMIF(FS_Q!$1:$1,FS_Y!F$1,FS_Q!110:110)</f>
        <v/>
      </c>
      <c r="G110" s="76">
        <f>SUMIF(FS_Q!$1:$1,FS_Y!G$1,FS_Q!110:110)</f>
        <v/>
      </c>
      <c r="H110" s="76">
        <f>SUMIF(FS_Q!$1:$1,FS_Y!H$1,FS_Q!110:110)</f>
        <v/>
      </c>
      <c r="I110" s="76">
        <f>SUMIF(FS_Q!$1:$1,FS_Y!I$1,FS_Q!110:110)</f>
        <v/>
      </c>
      <c r="J110" s="76">
        <f>SUMIF(FS_Q!$1:$1,FS_Y!J$1,FS_Q!110:110)</f>
        <v/>
      </c>
      <c r="K110" s="76">
        <f>SUMIF(FS_Q!$1:$1,FS_Y!K$1,FS_Q!110:110)</f>
        <v/>
      </c>
      <c r="L110" s="76">
        <f>SUMIF(FS_Q!$1:$1,FS_Y!L$1,FS_Q!110:110)</f>
        <v/>
      </c>
      <c r="M110" s="76">
        <f>SUMIF(FS_Q!$1:$1,FS_Y!M$1,FS_Q!110:110)</f>
        <v/>
      </c>
      <c r="N110" s="76">
        <f>SUMIF(FS_Q!$1:$1,FS_Y!N$1,FS_Q!110:110)</f>
        <v/>
      </c>
      <c r="O110" s="76">
        <f>SUMIF(FS_Q!$1:$1,FS_Y!O$1,FS_Q!110:110)</f>
        <v/>
      </c>
      <c r="P110" s="76">
        <f>SUMIF(FS_Q!$1:$1,FS_Y!P$1,FS_Q!110:110)</f>
        <v/>
      </c>
      <c r="Q110" s="76">
        <f>SUMIF(FS_Q!$1:$1,FS_Y!Q$1,FS_Q!110:110)</f>
        <v/>
      </c>
      <c r="R110" s="76">
        <f>SUMIF(FS_Q!$1:$1,FS_Y!R$1,FS_Q!110:110)</f>
        <v/>
      </c>
      <c r="S110" s="76">
        <f>SUMIF(FS_Q!$1:$1,FS_Y!S$1,FS_Q!110:110)</f>
        <v/>
      </c>
      <c r="T110" s="76">
        <f>SUMIF(FS_Q!$1:$1,FS_Y!T$1,FS_Q!110:110)</f>
        <v/>
      </c>
      <c r="U110" s="76">
        <f>SUMIF(FS_Q!$1:$1,FS_Y!U$1,FS_Q!110:110)</f>
        <v/>
      </c>
      <c r="V110" s="76">
        <f>SUMIF(FS_Q!$1:$1,FS_Y!V$1,FS_Q!110:110)</f>
        <v/>
      </c>
      <c r="W110" s="76">
        <f>SUMIF(FS_Q!$1:$1,FS_Y!W$1,FS_Q!110:110)</f>
        <v/>
      </c>
      <c r="X110" s="382" t="n"/>
      <c r="Y110" s="382" t="n"/>
      <c r="Z110" s="382" t="n"/>
      <c r="AA110" s="382" t="n"/>
      <c r="AB110" s="382" t="n"/>
      <c r="AC110" s="382" t="n"/>
      <c r="AD110" s="382" t="n"/>
      <c r="AE110" s="382" t="n"/>
      <c r="AF110" s="382" t="n"/>
      <c r="AG110" s="382" t="n"/>
      <c r="AH110" s="382" t="n"/>
      <c r="AI110" s="382" t="n"/>
      <c r="AJ110" s="382" t="n"/>
      <c r="AK110" s="382" t="n"/>
      <c r="AL110" s="382" t="n"/>
      <c r="AM110" s="382" t="n"/>
      <c r="AN110" s="382" t="n"/>
      <c r="AO110" s="382" t="n"/>
      <c r="AP110" s="382" t="n"/>
      <c r="AQ110" s="382" t="n"/>
      <c r="AR110" s="382" t="n"/>
      <c r="AS110" s="382" t="n"/>
    </row>
    <row r="111" customFormat="1" s="281">
      <c r="A111" s="74">
        <f>FS_Q!A111</f>
        <v/>
      </c>
      <c r="B111" s="382" t="n"/>
      <c r="C111" s="382" t="n"/>
      <c r="D111" s="143" t="n"/>
      <c r="E111" s="517">
        <f>SUMIF(FS_Q!$1:$1,FS_Y!E$1,FS_Q!111:111)</f>
        <v/>
      </c>
      <c r="F111" s="517">
        <f>SUMIF(FS_Q!$1:$1,FS_Y!F$1,FS_Q!111:111)</f>
        <v/>
      </c>
      <c r="G111" s="517">
        <f>SUMIF(FS_Q!$1:$1,FS_Y!G$1,FS_Q!111:111)</f>
        <v/>
      </c>
      <c r="H111" s="517">
        <f>SUMIF(FS_Q!$1:$1,FS_Y!H$1,FS_Q!111:111)</f>
        <v/>
      </c>
      <c r="I111" s="517">
        <f>SUMIF(FS_Q!$1:$1,FS_Y!I$1,FS_Q!111:111)</f>
        <v/>
      </c>
      <c r="J111" s="517">
        <f>SUMIF(FS_Q!$1:$1,FS_Y!J$1,FS_Q!111:111)</f>
        <v/>
      </c>
      <c r="K111" s="517">
        <f>SUMIF(FS_Q!$1:$1,FS_Y!K$1,FS_Q!111:111)</f>
        <v/>
      </c>
      <c r="L111" s="517">
        <f>SUMIF(FS_Q!$1:$1,FS_Y!L$1,FS_Q!111:111)</f>
        <v/>
      </c>
      <c r="M111" s="517">
        <f>SUMIF(FS_Q!$1:$1,FS_Y!M$1,FS_Q!111:111)</f>
        <v/>
      </c>
      <c r="N111" s="517">
        <f>SUMIF(FS_Q!$1:$1,FS_Y!N$1,FS_Q!111:111)</f>
        <v/>
      </c>
      <c r="O111" s="517">
        <f>SUMIF(FS_Q!$1:$1,FS_Y!O$1,FS_Q!111:111)</f>
        <v/>
      </c>
      <c r="P111" s="517">
        <f>SUMIF(FS_Q!$1:$1,FS_Y!P$1,FS_Q!111:111)</f>
        <v/>
      </c>
      <c r="Q111" s="517">
        <f>SUMIF(FS_Q!$1:$1,FS_Y!Q$1,FS_Q!111:111)</f>
        <v/>
      </c>
      <c r="R111" s="517">
        <f>SUMIF(FS_Q!$1:$1,FS_Y!R$1,FS_Q!111:111)</f>
        <v/>
      </c>
      <c r="S111" s="517">
        <f>SUMIF(FS_Q!$1:$1,FS_Y!S$1,FS_Q!111:111)</f>
        <v/>
      </c>
      <c r="T111" s="517">
        <f>SUMIF(FS_Q!$1:$1,FS_Y!T$1,FS_Q!111:111)</f>
        <v/>
      </c>
      <c r="U111" s="517">
        <f>SUMIF(FS_Q!$1:$1,FS_Y!U$1,FS_Q!111:111)</f>
        <v/>
      </c>
      <c r="V111" s="517">
        <f>SUMIF(FS_Q!$1:$1,FS_Y!V$1,FS_Q!111:111)</f>
        <v/>
      </c>
      <c r="W111" s="517">
        <f>SUMIF(FS_Q!$1:$1,FS_Y!W$1,FS_Q!111:111)</f>
        <v/>
      </c>
      <c r="X111" s="400" t="n"/>
      <c r="Y111" s="400" t="n"/>
      <c r="Z111" s="400" t="n"/>
      <c r="AA111" s="400" t="n"/>
      <c r="AB111" s="400" t="n"/>
      <c r="AC111" s="400" t="n"/>
      <c r="AD111" s="400" t="n"/>
      <c r="AE111" s="400" t="n"/>
      <c r="AF111" s="400" t="n"/>
      <c r="AG111" s="400" t="n"/>
      <c r="AH111" s="400" t="n"/>
      <c r="AI111" s="400" t="n"/>
      <c r="AJ111" s="400" t="n"/>
      <c r="AK111" s="400" t="n"/>
      <c r="AL111" s="400" t="n"/>
      <c r="AM111" s="400" t="n"/>
      <c r="AN111" s="400" t="n"/>
      <c r="AO111" s="400" t="n"/>
      <c r="AP111" s="400" t="n"/>
      <c r="AQ111" s="400" t="n"/>
      <c r="AR111" s="400" t="n"/>
      <c r="AS111" s="400" t="n"/>
    </row>
    <row r="112" customFormat="1" s="281">
      <c r="A112" s="74">
        <f>FS_Q!A112</f>
        <v/>
      </c>
      <c r="B112" s="382" t="n"/>
      <c r="C112" s="382" t="n"/>
      <c r="D112" s="143" t="n"/>
      <c r="E112" s="517">
        <f>SUMIF(FS_Q!$1:$1,FS_Y!E$1,FS_Q!112:112)</f>
        <v/>
      </c>
      <c r="F112" s="517">
        <f>SUMIF(FS_Q!$1:$1,FS_Y!F$1,FS_Q!112:112)</f>
        <v/>
      </c>
      <c r="G112" s="517">
        <f>SUMIF(FS_Q!$1:$1,FS_Y!G$1,FS_Q!112:112)</f>
        <v/>
      </c>
      <c r="H112" s="517">
        <f>SUMIF(FS_Q!$1:$1,FS_Y!H$1,FS_Q!112:112)</f>
        <v/>
      </c>
      <c r="I112" s="517">
        <f>SUMIF(FS_Q!$1:$1,FS_Y!I$1,FS_Q!112:112)</f>
        <v/>
      </c>
      <c r="J112" s="517">
        <f>SUMIF(FS_Q!$1:$1,FS_Y!J$1,FS_Q!112:112)</f>
        <v/>
      </c>
      <c r="K112" s="517">
        <f>SUMIF(FS_Q!$1:$1,FS_Y!K$1,FS_Q!112:112)</f>
        <v/>
      </c>
      <c r="L112" s="517">
        <f>SUMIF(FS_Q!$1:$1,FS_Y!L$1,FS_Q!112:112)</f>
        <v/>
      </c>
      <c r="M112" s="517">
        <f>SUMIF(FS_Q!$1:$1,FS_Y!M$1,FS_Q!112:112)</f>
        <v/>
      </c>
      <c r="N112" s="517">
        <f>SUMIF(FS_Q!$1:$1,FS_Y!N$1,FS_Q!112:112)</f>
        <v/>
      </c>
      <c r="O112" s="517">
        <f>SUMIF(FS_Q!$1:$1,FS_Y!O$1,FS_Q!112:112)</f>
        <v/>
      </c>
      <c r="P112" s="517">
        <f>SUMIF(FS_Q!$1:$1,FS_Y!P$1,FS_Q!112:112)</f>
        <v/>
      </c>
      <c r="Q112" s="517">
        <f>SUMIF(FS_Q!$1:$1,FS_Y!Q$1,FS_Q!112:112)</f>
        <v/>
      </c>
      <c r="R112" s="517">
        <f>SUMIF(FS_Q!$1:$1,FS_Y!R$1,FS_Q!112:112)</f>
        <v/>
      </c>
      <c r="S112" s="517">
        <f>SUMIF(FS_Q!$1:$1,FS_Y!S$1,FS_Q!112:112)</f>
        <v/>
      </c>
      <c r="T112" s="517">
        <f>SUMIF(FS_Q!$1:$1,FS_Y!T$1,FS_Q!112:112)</f>
        <v/>
      </c>
      <c r="U112" s="517">
        <f>SUMIF(FS_Q!$1:$1,FS_Y!U$1,FS_Q!112:112)</f>
        <v/>
      </c>
      <c r="V112" s="517">
        <f>SUMIF(FS_Q!$1:$1,FS_Y!V$1,FS_Q!112:112)</f>
        <v/>
      </c>
      <c r="W112" s="517">
        <f>SUMIF(FS_Q!$1:$1,FS_Y!W$1,FS_Q!112:112)</f>
        <v/>
      </c>
      <c r="X112" s="400" t="n"/>
      <c r="Y112" s="400" t="n"/>
      <c r="Z112" s="400" t="n"/>
      <c r="AA112" s="400" t="n"/>
      <c r="AB112" s="400" t="n"/>
      <c r="AC112" s="400" t="n"/>
      <c r="AD112" s="400" t="n"/>
      <c r="AE112" s="400" t="n"/>
      <c r="AF112" s="400" t="n"/>
      <c r="AG112" s="400" t="n"/>
      <c r="AH112" s="400" t="n"/>
      <c r="AI112" s="400" t="n"/>
      <c r="AJ112" s="400" t="n"/>
      <c r="AK112" s="400" t="n"/>
      <c r="AL112" s="400" t="n"/>
      <c r="AM112" s="400" t="n"/>
      <c r="AN112" s="400" t="n"/>
      <c r="AO112" s="400" t="n"/>
      <c r="AP112" s="400" t="n"/>
      <c r="AQ112" s="400" t="n"/>
      <c r="AR112" s="400" t="n"/>
      <c r="AS112" s="400" t="n"/>
    </row>
    <row r="113">
      <c r="A113" s="22">
        <f>FS_Q!A113</f>
        <v/>
      </c>
      <c r="B113" s="148" t="n"/>
      <c r="C113" s="148" t="n"/>
      <c r="D113" s="143" t="n"/>
      <c r="E113" s="128">
        <f>SUMIF(FS_Q!$1:$1,FS_Y!E$1,FS_Q!113:113)</f>
        <v/>
      </c>
      <c r="F113" s="128">
        <f>SUMIF(FS_Q!$1:$1,FS_Y!F$1,FS_Q!113:113)</f>
        <v/>
      </c>
      <c r="G113" s="128">
        <f>SUMIF(FS_Q!$1:$1,FS_Y!G$1,FS_Q!113:113)</f>
        <v/>
      </c>
      <c r="H113" s="128">
        <f>SUMIF(FS_Q!$1:$1,FS_Y!H$1,FS_Q!113:113)</f>
        <v/>
      </c>
      <c r="I113" s="128">
        <f>SUMIF(FS_Q!$1:$1,FS_Y!I$1,FS_Q!113:113)</f>
        <v/>
      </c>
      <c r="J113" s="128">
        <f>SUMIF(FS_Q!$1:$1,FS_Y!J$1,FS_Q!113:113)</f>
        <v/>
      </c>
      <c r="K113" s="128">
        <f>SUMIF(FS_Q!$1:$1,FS_Y!K$1,FS_Q!113:113)</f>
        <v/>
      </c>
      <c r="L113" s="128">
        <f>SUMIF(FS_Q!$1:$1,FS_Y!L$1,FS_Q!113:113)</f>
        <v/>
      </c>
      <c r="M113" s="128">
        <f>SUMIF(FS_Q!$1:$1,FS_Y!M$1,FS_Q!113:113)</f>
        <v/>
      </c>
      <c r="N113" s="128">
        <f>SUMIF(FS_Q!$1:$1,FS_Y!N$1,FS_Q!113:113)</f>
        <v/>
      </c>
      <c r="O113" s="128">
        <f>SUMIF(FS_Q!$1:$1,FS_Y!O$1,FS_Q!113:113)</f>
        <v/>
      </c>
      <c r="P113" s="128">
        <f>SUMIF(FS_Q!$1:$1,FS_Y!P$1,FS_Q!113:113)</f>
        <v/>
      </c>
      <c r="Q113" s="128">
        <f>SUMIF(FS_Q!$1:$1,FS_Y!Q$1,FS_Q!113:113)</f>
        <v/>
      </c>
      <c r="R113" s="128">
        <f>SUMIF(FS_Q!$1:$1,FS_Y!R$1,FS_Q!113:113)</f>
        <v/>
      </c>
      <c r="S113" s="128">
        <f>SUMIF(FS_Q!$1:$1,FS_Y!S$1,FS_Q!113:113)</f>
        <v/>
      </c>
      <c r="T113" s="128">
        <f>SUMIF(FS_Q!$1:$1,FS_Y!T$1,FS_Q!113:113)</f>
        <v/>
      </c>
      <c r="U113" s="128">
        <f>SUMIF(FS_Q!$1:$1,FS_Y!U$1,FS_Q!113:113)</f>
        <v/>
      </c>
      <c r="V113" s="128">
        <f>SUMIF(FS_Q!$1:$1,FS_Y!V$1,FS_Q!113:113)</f>
        <v/>
      </c>
      <c r="W113" s="128">
        <f>SUMIF(FS_Q!$1:$1,FS_Y!W$1,FS_Q!113:113)</f>
        <v/>
      </c>
      <c r="X113" s="148" t="n"/>
      <c r="Y113" s="148" t="n"/>
      <c r="Z113" s="148" t="n"/>
      <c r="AA113" s="148" t="n"/>
      <c r="AB113" s="148" t="n"/>
      <c r="AC113" s="148" t="n"/>
      <c r="AD113" s="148" t="n"/>
      <c r="AE113" s="148" t="n"/>
      <c r="AF113" s="148" t="n"/>
      <c r="AG113" s="148" t="n"/>
      <c r="AH113" s="148" t="n"/>
      <c r="AI113" s="148" t="n"/>
      <c r="AJ113" s="148" t="n"/>
      <c r="AK113" s="148" t="n"/>
      <c r="AL113" s="148" t="n"/>
      <c r="AM113" s="148" t="n"/>
      <c r="AN113" s="148" t="n"/>
      <c r="AO113" s="148" t="n"/>
      <c r="AP113" s="148" t="n"/>
      <c r="AQ113" s="148" t="n"/>
      <c r="AR113" s="148" t="n"/>
      <c r="AS113" s="148" t="n"/>
    </row>
    <row r="114">
      <c r="B114" s="148" t="n"/>
      <c r="C114" s="148" t="n"/>
      <c r="D114" s="143" t="n"/>
      <c r="X114" s="148" t="n"/>
      <c r="Y114" s="148" t="n"/>
      <c r="Z114" s="148" t="n"/>
      <c r="AA114" s="148" t="n"/>
      <c r="AB114" s="148" t="n"/>
      <c r="AC114" s="148" t="n"/>
      <c r="AD114" s="148" t="n"/>
      <c r="AE114" s="148" t="n"/>
      <c r="AF114" s="148" t="n"/>
      <c r="AG114" s="148" t="n"/>
      <c r="AH114" s="148" t="n"/>
      <c r="AI114" s="148" t="n"/>
      <c r="AJ114" s="148" t="n"/>
      <c r="AK114" s="148" t="n"/>
      <c r="AL114" s="148" t="n"/>
      <c r="AM114" s="148" t="n"/>
      <c r="AN114" s="148" t="n"/>
      <c r="AO114" s="148" t="n"/>
      <c r="AP114" s="148" t="n"/>
      <c r="AQ114" s="148" t="n"/>
      <c r="AR114" s="148" t="n"/>
      <c r="AS114" s="148" t="n"/>
    </row>
    <row r="115">
      <c r="A115" s="502">
        <f>FS_Q!A115</f>
        <v/>
      </c>
      <c r="B115" s="148" t="n"/>
      <c r="C115" s="148" t="n"/>
      <c r="D115" s="143" t="n"/>
      <c r="E115" s="76">
        <f>SUMIF(FS_Q!$1:$1,FS_Y!E$1,FS_Q!115:115)</f>
        <v/>
      </c>
      <c r="F115" s="76">
        <f>SUMIF(FS_Q!$1:$1,FS_Y!F$1,FS_Q!115:115)</f>
        <v/>
      </c>
      <c r="G115" s="76">
        <f>SUMIF(FS_Q!$1:$1,FS_Y!G$1,FS_Q!115:115)</f>
        <v/>
      </c>
      <c r="H115" s="76">
        <f>SUMIF(FS_Q!$1:$1,FS_Y!H$1,FS_Q!115:115)</f>
        <v/>
      </c>
      <c r="I115" s="76">
        <f>SUMIF(FS_Q!$1:$1,FS_Y!I$1,FS_Q!115:115)</f>
        <v/>
      </c>
      <c r="J115" s="76">
        <f>SUMIF(FS_Q!$1:$1,FS_Y!J$1,FS_Q!115:115)</f>
        <v/>
      </c>
      <c r="K115" s="76">
        <f>SUMIF(FS_Q!$1:$1,FS_Y!K$1,FS_Q!115:115)</f>
        <v/>
      </c>
      <c r="L115" s="76">
        <f>SUMIF(FS_Q!$1:$1,FS_Y!L$1,FS_Q!115:115)</f>
        <v/>
      </c>
      <c r="M115" s="76">
        <f>SUMIF(FS_Q!$1:$1,FS_Y!M$1,FS_Q!115:115)</f>
        <v/>
      </c>
      <c r="N115" s="76">
        <f>SUMIF(FS_Q!$1:$1,FS_Y!N$1,FS_Q!115:115)</f>
        <v/>
      </c>
      <c r="O115" s="76">
        <f>SUMIF(FS_Q!$1:$1,FS_Y!O$1,FS_Q!115:115)</f>
        <v/>
      </c>
      <c r="P115" s="76">
        <f>SUMIF(FS_Q!$1:$1,FS_Y!P$1,FS_Q!115:115)</f>
        <v/>
      </c>
      <c r="Q115" s="76">
        <f>SUMIF(FS_Q!$1:$1,FS_Y!Q$1,FS_Q!115:115)</f>
        <v/>
      </c>
      <c r="R115" s="76">
        <f>SUMIF(FS_Q!$1:$1,FS_Y!R$1,FS_Q!115:115)</f>
        <v/>
      </c>
      <c r="S115" s="76">
        <f>SUMIF(FS_Q!$1:$1,FS_Y!S$1,FS_Q!115:115)</f>
        <v/>
      </c>
      <c r="T115" s="76">
        <f>SUMIF(FS_Q!$1:$1,FS_Y!T$1,FS_Q!115:115)</f>
        <v/>
      </c>
      <c r="U115" s="76">
        <f>SUMIF(FS_Q!$1:$1,FS_Y!U$1,FS_Q!115:115)</f>
        <v/>
      </c>
      <c r="V115" s="76">
        <f>SUMIF(FS_Q!$1:$1,FS_Y!V$1,FS_Q!115:115)</f>
        <v/>
      </c>
      <c r="W115" s="76">
        <f>SUMIF(FS_Q!$1:$1,FS_Y!W$1,FS_Q!115:115)</f>
        <v/>
      </c>
      <c r="X115" s="148" t="n"/>
      <c r="Y115" s="148" t="n"/>
      <c r="Z115" s="148" t="n"/>
      <c r="AA115" s="148" t="n"/>
      <c r="AB115" s="148" t="n"/>
      <c r="AC115" s="148" t="n"/>
      <c r="AD115" s="148" t="n"/>
      <c r="AE115" s="148" t="n"/>
      <c r="AF115" s="148" t="n"/>
      <c r="AG115" s="148" t="n"/>
      <c r="AH115" s="148" t="n"/>
      <c r="AI115" s="148" t="n"/>
      <c r="AJ115" s="148" t="n"/>
      <c r="AK115" s="148" t="n"/>
      <c r="AL115" s="148" t="n"/>
      <c r="AM115" s="148" t="n"/>
      <c r="AN115" s="148" t="n"/>
      <c r="AO115" s="148" t="n"/>
      <c r="AP115" s="148" t="n"/>
      <c r="AQ115" s="148" t="n"/>
      <c r="AR115" s="148" t="n"/>
      <c r="AS115" s="148" t="n"/>
    </row>
    <row r="116">
      <c r="A116" s="503">
        <f>FS_Q!A116</f>
        <v/>
      </c>
      <c r="B116" s="148" t="n"/>
      <c r="C116" s="148" t="n"/>
      <c r="D116" s="143" t="n"/>
      <c r="E116" s="519">
        <f>SUMIF(FS_Q!$1:$1,FS_Y!E$1,FS_Q!116:116)</f>
        <v/>
      </c>
      <c r="F116" s="519">
        <f>SUMIF(FS_Q!$1:$1,FS_Y!F$1,FS_Q!116:116)</f>
        <v/>
      </c>
      <c r="G116" s="519">
        <f>SUMIF(FS_Q!$1:$1,FS_Y!G$1,FS_Q!116:116)</f>
        <v/>
      </c>
      <c r="H116" s="519">
        <f>SUMIF(FS_Q!$1:$1,FS_Y!H$1,FS_Q!116:116)</f>
        <v/>
      </c>
      <c r="I116" s="519">
        <f>SUMIF(FS_Q!$1:$1,FS_Y!I$1,FS_Q!116:116)</f>
        <v/>
      </c>
      <c r="J116" s="519">
        <f>SUMIF(FS_Q!$1:$1,FS_Y!J$1,FS_Q!116:116)</f>
        <v/>
      </c>
      <c r="K116" s="519">
        <f>SUMIF(FS_Q!$1:$1,FS_Y!K$1,FS_Q!116:116)</f>
        <v/>
      </c>
      <c r="L116" s="519">
        <f>SUMIF(FS_Q!$1:$1,FS_Y!L$1,FS_Q!116:116)</f>
        <v/>
      </c>
      <c r="M116" s="519">
        <f>SUMIF(FS_Q!$1:$1,FS_Y!M$1,FS_Q!116:116)</f>
        <v/>
      </c>
      <c r="N116" s="519">
        <f>SUMIF(FS_Q!$1:$1,FS_Y!N$1,FS_Q!116:116)</f>
        <v/>
      </c>
      <c r="O116" s="519">
        <f>SUMIF(FS_Q!$1:$1,FS_Y!O$1,FS_Q!116:116)</f>
        <v/>
      </c>
      <c r="P116" s="519">
        <f>SUMIF(FS_Q!$1:$1,FS_Y!P$1,FS_Q!116:116)</f>
        <v/>
      </c>
      <c r="Q116" s="519">
        <f>SUMIF(FS_Q!$1:$1,FS_Y!Q$1,FS_Q!116:116)</f>
        <v/>
      </c>
      <c r="R116" s="519">
        <f>SUMIF(FS_Q!$1:$1,FS_Y!R$1,FS_Q!116:116)</f>
        <v/>
      </c>
      <c r="S116" s="519">
        <f>SUMIF(FS_Q!$1:$1,FS_Y!S$1,FS_Q!116:116)</f>
        <v/>
      </c>
      <c r="T116" s="519">
        <f>SUMIF(FS_Q!$1:$1,FS_Y!T$1,FS_Q!116:116)</f>
        <v/>
      </c>
      <c r="U116" s="519">
        <f>SUMIF(FS_Q!$1:$1,FS_Y!U$1,FS_Q!116:116)</f>
        <v/>
      </c>
      <c r="V116" s="519">
        <f>SUMIF(FS_Q!$1:$1,FS_Y!V$1,FS_Q!116:116)</f>
        <v/>
      </c>
      <c r="W116" s="519">
        <f>SUMIF(FS_Q!$1:$1,FS_Y!W$1,FS_Q!116:116)</f>
        <v/>
      </c>
      <c r="X116" s="148" t="n"/>
      <c r="Y116" s="148" t="n"/>
      <c r="Z116" s="148" t="n"/>
      <c r="AA116" s="148" t="n"/>
      <c r="AB116" s="148" t="n"/>
      <c r="AC116" s="148" t="n"/>
      <c r="AD116" s="148" t="n"/>
      <c r="AE116" s="148" t="n"/>
      <c r="AF116" s="148" t="n"/>
      <c r="AG116" s="148" t="n"/>
      <c r="AH116" s="148" t="n"/>
      <c r="AI116" s="148" t="n"/>
      <c r="AJ116" s="148" t="n"/>
      <c r="AK116" s="148" t="n"/>
      <c r="AL116" s="148" t="n"/>
      <c r="AM116" s="148" t="n"/>
      <c r="AN116" s="148" t="n"/>
      <c r="AO116" s="148" t="n"/>
      <c r="AP116" s="148" t="n"/>
      <c r="AQ116" s="148" t="n"/>
      <c r="AR116" s="148" t="n"/>
      <c r="AS116" s="148" t="n"/>
    </row>
    <row r="117" customFormat="1" s="21">
      <c r="A117" s="502">
        <f>FS_Q!A117</f>
        <v/>
      </c>
      <c r="B117" s="148" t="n"/>
      <c r="C117" s="148" t="n"/>
      <c r="D117" s="147" t="n"/>
      <c r="E117" s="143">
        <f>INDEX(FS_Q!117:117,MATCH("1Q"&amp;RIGHT(FS_Y!E$5,2),FS_Q!$5:$5,0))</f>
        <v/>
      </c>
      <c r="F117" s="143">
        <f>INDEX(FS_Q!117:117,MATCH("1Q"&amp;RIGHT(FS_Y!F$5,2),FS_Q!$5:$5,0))</f>
        <v/>
      </c>
      <c r="G117" s="143">
        <f>INDEX(FS_Q!117:117,MATCH("1Q"&amp;RIGHT(FS_Y!G$5,2),FS_Q!$5:$5,0))</f>
        <v/>
      </c>
      <c r="H117" s="143">
        <f>INDEX(FS_Q!117:117,MATCH("1Q"&amp;RIGHT(FS_Y!H$5,2),FS_Q!$5:$5,0))</f>
        <v/>
      </c>
      <c r="I117" s="143">
        <f>INDEX(FS_Q!117:117,MATCH("1Q"&amp;RIGHT(FS_Y!I$5,2),FS_Q!$5:$5,0))</f>
        <v/>
      </c>
      <c r="J117" s="143">
        <f>INDEX(FS_Q!117:117,MATCH("1Q"&amp;RIGHT(FS_Y!J$5,2),FS_Q!$5:$5,0))</f>
        <v/>
      </c>
      <c r="K117" s="143">
        <f>INDEX(FS_Q!117:117,MATCH("1Q"&amp;RIGHT(FS_Y!K$5,2),FS_Q!$5:$5,0))</f>
        <v/>
      </c>
      <c r="L117" s="143">
        <f>INDEX(FS_Q!117:117,MATCH("1Q"&amp;RIGHT(FS_Y!L$5,2),FS_Q!$5:$5,0))</f>
        <v/>
      </c>
      <c r="M117" s="143">
        <f>INDEX(FS_Q!117:117,MATCH("1Q"&amp;RIGHT(FS_Y!M$5,2),FS_Q!$5:$5,0))</f>
        <v/>
      </c>
      <c r="N117" s="143">
        <f>INDEX(FS_Q!117:117,MATCH("1Q"&amp;RIGHT(FS_Y!N$5,2),FS_Q!$5:$5,0))</f>
        <v/>
      </c>
      <c r="O117" s="143">
        <f>INDEX(FS_Q!117:117,MATCH("1Q"&amp;RIGHT(FS_Y!O$5,2),FS_Q!$5:$5,0))</f>
        <v/>
      </c>
      <c r="P117" s="143">
        <f>INDEX(FS_Q!117:117,MATCH("1Q"&amp;RIGHT(FS_Y!P$5,2),FS_Q!$5:$5,0))</f>
        <v/>
      </c>
      <c r="Q117" s="143">
        <f>INDEX(FS_Q!117:117,MATCH("1Q"&amp;RIGHT(FS_Y!Q$5,2),FS_Q!$5:$5,0))</f>
        <v/>
      </c>
      <c r="R117" s="143">
        <f>INDEX(FS_Q!117:117,MATCH("1Q"&amp;RIGHT(FS_Y!R$5,2),FS_Q!$5:$5,0))</f>
        <v/>
      </c>
      <c r="S117" s="143">
        <f>INDEX(FS_Q!117:117,MATCH("1Q"&amp;RIGHT(FS_Y!S$5,2),FS_Q!$5:$5,0))</f>
        <v/>
      </c>
      <c r="T117" s="143">
        <f>INDEX(FS_Q!117:117,MATCH("1Q"&amp;RIGHT(FS_Y!T$5,2),FS_Q!$5:$5,0))</f>
        <v/>
      </c>
      <c r="U117" s="143">
        <f>INDEX(FS_Q!117:117,MATCH("1Q"&amp;RIGHT(FS_Y!U$5,2),FS_Q!$5:$5,0))</f>
        <v/>
      </c>
      <c r="V117" s="143">
        <f>INDEX(FS_Q!117:117,MATCH("1Q"&amp;RIGHT(FS_Y!V$5,2),FS_Q!$5:$5,0))</f>
        <v/>
      </c>
      <c r="W117" s="143">
        <f>INDEX(FS_Q!117:117,MATCH("1Q"&amp;RIGHT(FS_Y!W$5,2),FS_Q!$5:$5,0))</f>
        <v/>
      </c>
      <c r="X117" s="131" t="n"/>
      <c r="Y117" s="131" t="n"/>
      <c r="Z117" s="131" t="n"/>
      <c r="AA117" s="131" t="n"/>
      <c r="AB117" s="131" t="n"/>
      <c r="AC117" s="131" t="n"/>
      <c r="AD117" s="131" t="n"/>
      <c r="AE117" s="131" t="n"/>
      <c r="AF117" s="131" t="n"/>
      <c r="AG117" s="131" t="n"/>
      <c r="AH117" s="131" t="n"/>
      <c r="AI117" s="131" t="n"/>
      <c r="AJ117" s="131" t="n"/>
      <c r="AK117" s="131" t="n"/>
      <c r="AL117" s="131" t="n"/>
      <c r="AM117" s="131" t="n"/>
      <c r="AN117" s="131" t="n"/>
      <c r="AO117" s="131" t="n"/>
      <c r="AP117" s="131" t="n"/>
      <c r="AQ117" s="131" t="n"/>
      <c r="AR117" s="131" t="n"/>
      <c r="AS117" s="131" t="n"/>
    </row>
    <row r="118" customFormat="1" s="21">
      <c r="A118" s="502" t="inlineStr">
        <is>
          <t>Less: restricted cash included in other current assets and other assets</t>
        </is>
      </c>
      <c r="B118" s="148" t="n"/>
      <c r="C118" s="148" t="n"/>
      <c r="D118" s="147" t="n"/>
      <c r="E118" s="143" t="n"/>
      <c r="F118" s="143" t="n"/>
      <c r="G118" s="143" t="n"/>
      <c r="H118" s="143" t="n"/>
      <c r="I118" s="143" t="n"/>
      <c r="J118" s="143" t="n"/>
      <c r="K118" s="143" t="n"/>
      <c r="L118" s="143" t="n"/>
      <c r="M118" s="143" t="n"/>
      <c r="N118" s="143">
        <f>INDEX(FS_Q!119:119,MATCH("4Q"&amp;RIGHT(FS_Y!N$5,2),FS_Q!$5:$5,0))</f>
        <v/>
      </c>
      <c r="O118" s="143">
        <f>INDEX(FS_Q!119:119,MATCH("4Q"&amp;RIGHT(FS_Y!O$5,2),FS_Q!$5:$5,0))</f>
        <v/>
      </c>
      <c r="P118" s="143">
        <f>INDEX(FS_Q!119:119,MATCH("4Q"&amp;RIGHT(FS_Y!P$5,2),FS_Q!$5:$5,0))</f>
        <v/>
      </c>
      <c r="Q118" s="143" t="n"/>
      <c r="R118" s="143" t="n"/>
      <c r="S118" s="143" t="n"/>
      <c r="T118" s="143" t="n"/>
      <c r="U118" s="143" t="n"/>
      <c r="V118" s="143" t="n"/>
      <c r="W118" s="143" t="n"/>
      <c r="X118" s="131" t="n"/>
      <c r="Y118" s="131" t="n"/>
      <c r="Z118" s="131" t="n"/>
      <c r="AA118" s="131" t="n"/>
      <c r="AB118" s="131" t="n"/>
      <c r="AC118" s="131" t="n"/>
      <c r="AD118" s="131" t="n"/>
      <c r="AE118" s="131" t="n"/>
      <c r="AF118" s="131" t="n"/>
      <c r="AG118" s="131" t="n"/>
      <c r="AH118" s="131" t="n"/>
      <c r="AI118" s="131" t="n"/>
      <c r="AJ118" s="131" t="n"/>
      <c r="AK118" s="131" t="n"/>
      <c r="AL118" s="131" t="n"/>
      <c r="AM118" s="131" t="n"/>
      <c r="AN118" s="131" t="n"/>
      <c r="AO118" s="131" t="n"/>
      <c r="AP118" s="131" t="n"/>
      <c r="AQ118" s="131" t="n"/>
      <c r="AR118" s="131" t="n"/>
      <c r="AS118" s="131" t="n"/>
    </row>
    <row r="119" customFormat="1" s="281">
      <c r="A119" s="502">
        <f>FS_Q!A120</f>
        <v/>
      </c>
      <c r="B119" s="382" t="n"/>
      <c r="C119" s="382" t="n"/>
      <c r="D119" s="400" t="n"/>
      <c r="E119" s="108">
        <f>INDEX(FS_Q!120:120,MATCH("4Q"&amp;RIGHT(FS_Y!E$5,2),FS_Q!$5:$5,0))</f>
        <v/>
      </c>
      <c r="F119" s="108">
        <f>INDEX(FS_Q!120:120,MATCH("4Q"&amp;RIGHT(FS_Y!F$5,2),FS_Q!$5:$5,0))</f>
        <v/>
      </c>
      <c r="G119" s="108">
        <f>INDEX(FS_Q!120:120,MATCH("4Q"&amp;RIGHT(FS_Y!G$5,2),FS_Q!$5:$5,0))</f>
        <v/>
      </c>
      <c r="H119" s="108">
        <f>INDEX(FS_Q!120:120,MATCH("4Q"&amp;RIGHT(FS_Y!H$5,2),FS_Q!$5:$5,0))</f>
        <v/>
      </c>
      <c r="I119" s="108">
        <f>INDEX(FS_Q!120:120,MATCH("4Q"&amp;RIGHT(FS_Y!I$5,2),FS_Q!$5:$5,0))</f>
        <v/>
      </c>
      <c r="J119" s="108">
        <f>INDEX(FS_Q!120:120,MATCH("4Q"&amp;RIGHT(FS_Y!J$5,2),FS_Q!$5:$5,0))</f>
        <v/>
      </c>
      <c r="K119" s="108">
        <f>INDEX(FS_Q!120:120,MATCH("4Q"&amp;RIGHT(FS_Y!K$5,2),FS_Q!$5:$5,0))</f>
        <v/>
      </c>
      <c r="L119" s="108">
        <f>INDEX(FS_Q!120:120,MATCH("4Q"&amp;RIGHT(FS_Y!L$5,2),FS_Q!$5:$5,0))</f>
        <v/>
      </c>
      <c r="M119" s="108">
        <f>INDEX(FS_Q!120:120,MATCH("4Q"&amp;RIGHT(FS_Y!M$5,2),FS_Q!$5:$5,0))</f>
        <v/>
      </c>
      <c r="N119" s="108">
        <f>INDEX(FS_Q!120:120,MATCH("4Q"&amp;RIGHT(FS_Y!N$5,2),FS_Q!$5:$5,0))</f>
        <v/>
      </c>
      <c r="O119" s="108">
        <f>INDEX(FS_Q!120:120,MATCH("4Q"&amp;RIGHT(FS_Y!O$5,2),FS_Q!$5:$5,0))</f>
        <v/>
      </c>
      <c r="P119" s="108">
        <f>INDEX(FS_Q!120:120,MATCH("4Q"&amp;RIGHT(FS_Y!P$5,2),FS_Q!$5:$5,0))</f>
        <v/>
      </c>
      <c r="Q119" s="108">
        <f>INDEX(FS_Q!120:120,MATCH("4Q"&amp;RIGHT(FS_Y!Q$5,2),FS_Q!$5:$5,0))</f>
        <v/>
      </c>
      <c r="R119" s="108">
        <f>INDEX(FS_Q!120:120,MATCH("4Q"&amp;RIGHT(FS_Y!R$5,2),FS_Q!$5:$5,0))</f>
        <v/>
      </c>
      <c r="S119" s="108">
        <f>INDEX(FS_Q!120:120,MATCH("4Q"&amp;RIGHT(FS_Y!S$5,2),FS_Q!$5:$5,0))</f>
        <v/>
      </c>
      <c r="T119" s="108">
        <f>INDEX(FS_Q!120:120,MATCH("4Q"&amp;RIGHT(FS_Y!T$5,2),FS_Q!$5:$5,0))</f>
        <v/>
      </c>
      <c r="U119" s="108">
        <f>INDEX(FS_Q!120:120,MATCH("4Q"&amp;RIGHT(FS_Y!U$5,2),FS_Q!$5:$5,0))</f>
        <v/>
      </c>
      <c r="V119" s="108">
        <f>INDEX(FS_Q!120:120,MATCH("4Q"&amp;RIGHT(FS_Y!V$5,2),FS_Q!$5:$5,0))</f>
        <v/>
      </c>
      <c r="W119" s="108">
        <f>INDEX(FS_Q!120:120,MATCH("4Q"&amp;RIGHT(FS_Y!W$5,2),FS_Q!$5:$5,0))</f>
        <v/>
      </c>
      <c r="X119" s="382" t="n"/>
      <c r="Y119" s="382" t="n"/>
      <c r="Z119" s="382" t="n"/>
      <c r="AA119" s="382" t="n"/>
      <c r="AB119" s="382" t="n"/>
      <c r="AC119" s="382" t="n"/>
      <c r="AD119" s="382" t="n"/>
      <c r="AE119" s="382" t="n"/>
      <c r="AF119" s="382" t="n"/>
      <c r="AG119" s="382" t="n"/>
      <c r="AH119" s="382" t="n"/>
      <c r="AI119" s="382" t="n"/>
      <c r="AJ119" s="382" t="n"/>
      <c r="AK119" s="382" t="n"/>
      <c r="AL119" s="382" t="n"/>
      <c r="AM119" s="382" t="n"/>
      <c r="AN119" s="382" t="n"/>
      <c r="AO119" s="382" t="n"/>
      <c r="AP119" s="382" t="n"/>
      <c r="AQ119" s="382" t="n"/>
      <c r="AR119" s="382" t="n"/>
      <c r="AS119" s="382" t="n"/>
    </row>
    <row r="120">
      <c r="B120" s="148" t="n"/>
      <c r="C120" s="148" t="n"/>
      <c r="D120" s="143" t="n"/>
      <c r="E120" s="143" t="n"/>
      <c r="F120" s="143" t="n"/>
      <c r="G120" s="143" t="n"/>
      <c r="H120" s="143" t="n"/>
      <c r="I120" s="143" t="n"/>
      <c r="J120" s="143" t="n"/>
      <c r="K120" s="143" t="n"/>
      <c r="L120" s="143" t="n"/>
      <c r="M120" s="143" t="n"/>
      <c r="N120" s="143" t="n"/>
      <c r="O120" s="143" t="n"/>
      <c r="P120" s="143" t="n"/>
      <c r="Q120" s="143" t="n"/>
      <c r="R120" s="143" t="n"/>
      <c r="S120" s="143" t="n"/>
      <c r="T120" s="143" t="n"/>
      <c r="U120" s="143" t="n"/>
      <c r="V120" s="131" t="n"/>
      <c r="W120" s="131" t="n"/>
      <c r="X120" s="131" t="n"/>
      <c r="Y120" s="131" t="n"/>
      <c r="Z120" s="131" t="n"/>
      <c r="AA120" s="131" t="n"/>
      <c r="AB120" s="131" t="n"/>
      <c r="AC120" s="131" t="n"/>
      <c r="AD120" s="131" t="n"/>
      <c r="AE120" s="131" t="n"/>
      <c r="AF120" s="131" t="n"/>
      <c r="AG120" s="131" t="n"/>
      <c r="AH120" s="131" t="n"/>
      <c r="AI120" s="131" t="n"/>
      <c r="AJ120" s="131" t="n"/>
      <c r="AK120" s="131" t="n"/>
      <c r="AL120" s="131" t="n"/>
      <c r="AM120" s="131" t="n"/>
      <c r="AN120" s="131" t="n"/>
      <c r="AO120" s="131" t="n"/>
      <c r="AP120" s="131" t="n"/>
      <c r="AQ120" s="131" t="n"/>
      <c r="AR120" s="131" t="n"/>
      <c r="AS120" s="131" t="n"/>
    </row>
    <row r="121">
      <c r="A121" s="455">
        <f>FS_Q!A122</f>
        <v/>
      </c>
      <c r="B121" s="148" t="n"/>
      <c r="C121" s="148" t="n"/>
      <c r="D121" s="143" t="n"/>
      <c r="E121" s="400">
        <f>E91-E25</f>
        <v/>
      </c>
      <c r="F121" s="400">
        <f>F91-F25</f>
        <v/>
      </c>
      <c r="G121" s="400">
        <f>G91-G25</f>
        <v/>
      </c>
      <c r="H121" s="400">
        <f>H91-H25</f>
        <v/>
      </c>
      <c r="I121" s="400">
        <f>I91-I25</f>
        <v/>
      </c>
      <c r="J121" s="400">
        <f>J91-J25</f>
        <v/>
      </c>
      <c r="K121" s="400">
        <f>K91-K25</f>
        <v/>
      </c>
      <c r="L121" s="400">
        <f>L91-L25</f>
        <v/>
      </c>
      <c r="M121" s="400">
        <f>M91-M25</f>
        <v/>
      </c>
      <c r="N121" s="400">
        <f>N91-N25</f>
        <v/>
      </c>
      <c r="O121" s="400">
        <f>O91-O25</f>
        <v/>
      </c>
      <c r="P121" s="400">
        <f>P91-P25</f>
        <v/>
      </c>
      <c r="Q121" s="400">
        <f>Q91-Q25</f>
        <v/>
      </c>
      <c r="R121" s="400">
        <f>R91-R25</f>
        <v/>
      </c>
      <c r="S121" s="400">
        <f>S91-S25</f>
        <v/>
      </c>
      <c r="T121" s="400">
        <f>T91-T25</f>
        <v/>
      </c>
      <c r="U121" s="400">
        <f>U91-U25</f>
        <v/>
      </c>
      <c r="V121" s="400">
        <f>V91-V25</f>
        <v/>
      </c>
      <c r="W121" s="400">
        <f>W91-W25</f>
        <v/>
      </c>
      <c r="X121" s="148" t="n"/>
      <c r="Y121" s="148" t="n"/>
      <c r="Z121" s="148" t="n"/>
      <c r="AA121" s="148" t="n"/>
      <c r="AB121" s="148" t="n"/>
      <c r="AC121" s="148" t="n"/>
      <c r="AD121" s="148" t="n"/>
      <c r="AE121" s="148" t="n"/>
      <c r="AF121" s="148" t="n"/>
      <c r="AG121" s="148" t="n"/>
      <c r="AH121" s="148" t="n"/>
      <c r="AI121" s="148" t="n"/>
      <c r="AJ121" s="148" t="n"/>
      <c r="AK121" s="148" t="n"/>
      <c r="AL121" s="148" t="n"/>
      <c r="AM121" s="148" t="n"/>
      <c r="AN121" s="148" t="n"/>
      <c r="AO121" s="148" t="n"/>
      <c r="AP121" s="148" t="n"/>
      <c r="AQ121" s="148" t="n"/>
      <c r="AR121" s="148" t="n"/>
      <c r="AS121" s="148" t="n"/>
    </row>
    <row r="122">
      <c r="A122" s="455">
        <f>FS_Q!A123</f>
        <v/>
      </c>
      <c r="B122" s="148" t="n"/>
      <c r="C122" s="148" t="n"/>
      <c r="D122" s="143" t="n"/>
      <c r="E122" s="400">
        <f>SUM(E91:E101)-E102</f>
        <v/>
      </c>
      <c r="F122" s="400">
        <f>SUM(F91:F101)-F102</f>
        <v/>
      </c>
      <c r="G122" s="400">
        <f>SUM(G91:G101)-G102</f>
        <v/>
      </c>
      <c r="H122" s="400">
        <f>SUM(H91:H101)-H102</f>
        <v/>
      </c>
      <c r="I122" s="400">
        <f>SUM(I91:I101)-I102</f>
        <v/>
      </c>
      <c r="J122" s="400">
        <f>SUM(J91:J101)-J102</f>
        <v/>
      </c>
      <c r="K122" s="400">
        <f>SUM(K91:K101)-K102</f>
        <v/>
      </c>
      <c r="L122" s="400">
        <f>SUM(L91:L101)-L102</f>
        <v/>
      </c>
      <c r="M122" s="400">
        <f>SUM(M91:M101)-M102</f>
        <v/>
      </c>
      <c r="N122" s="400">
        <f>SUM(N91:N101)-N102</f>
        <v/>
      </c>
      <c r="O122" s="400">
        <f>SUM(O91:O101)-O102</f>
        <v/>
      </c>
      <c r="P122" s="400">
        <f>SUM(P91:P101)-P102</f>
        <v/>
      </c>
      <c r="Q122" s="400">
        <f>SUM(Q91:Q101)-Q102</f>
        <v/>
      </c>
      <c r="R122" s="400">
        <f>SUM(R91:R101)-R102</f>
        <v/>
      </c>
      <c r="S122" s="400">
        <f>SUM(S91:S101)-S102</f>
        <v/>
      </c>
      <c r="T122" s="400">
        <f>SUM(T91:T101)-T102</f>
        <v/>
      </c>
      <c r="U122" s="400">
        <f>SUM(U91:U101)-U102</f>
        <v/>
      </c>
      <c r="V122" s="400">
        <f>SUM(V91:V101)-V102</f>
        <v/>
      </c>
      <c r="W122" s="400">
        <f>SUM(W91:W101)-W102</f>
        <v/>
      </c>
      <c r="X122" s="148" t="n"/>
      <c r="Y122" s="148" t="n"/>
      <c r="Z122" s="148" t="n"/>
      <c r="AA122" s="148" t="n"/>
      <c r="AB122" s="148" t="n"/>
      <c r="AC122" s="148" t="n"/>
      <c r="AD122" s="148" t="n"/>
      <c r="AE122" s="148" t="n"/>
      <c r="AF122" s="148" t="n"/>
      <c r="AG122" s="148" t="n"/>
      <c r="AH122" s="148" t="n"/>
      <c r="AI122" s="148" t="n"/>
      <c r="AJ122" s="148" t="n"/>
      <c r="AK122" s="148" t="n"/>
      <c r="AL122" s="148" t="n"/>
      <c r="AM122" s="148" t="n"/>
      <c r="AN122" s="148" t="n"/>
      <c r="AO122" s="148" t="n"/>
      <c r="AP122" s="148" t="n"/>
      <c r="AQ122" s="148" t="n"/>
      <c r="AR122" s="148" t="n"/>
      <c r="AS122" s="148" t="n"/>
    </row>
    <row r="123">
      <c r="A123" s="455">
        <f>FS_Q!A124</f>
        <v/>
      </c>
      <c r="B123" s="148" t="n"/>
      <c r="C123" s="148" t="n"/>
      <c r="D123" s="143" t="n"/>
      <c r="E123" s="400">
        <f>SUM(E105:E106)-E107</f>
        <v/>
      </c>
      <c r="F123" s="400">
        <f>SUM(F105:F106)-F107</f>
        <v/>
      </c>
      <c r="G123" s="400">
        <f>SUM(G105:G106)-G107</f>
        <v/>
      </c>
      <c r="H123" s="400">
        <f>SUM(H105:H106)-H107</f>
        <v/>
      </c>
      <c r="I123" s="400">
        <f>SUM(I105:I106)-I107</f>
        <v/>
      </c>
      <c r="J123" s="400">
        <f>SUM(J105:J106)-J107</f>
        <v/>
      </c>
      <c r="K123" s="400">
        <f>SUM(K105:K106)-K107</f>
        <v/>
      </c>
      <c r="L123" s="400">
        <f>SUM(L105:L106)-L107</f>
        <v/>
      </c>
      <c r="M123" s="400">
        <f>SUM(M105:M106)-M107</f>
        <v/>
      </c>
      <c r="N123" s="400">
        <f>SUM(N105:N106)-N107</f>
        <v/>
      </c>
      <c r="O123" s="400">
        <f>SUM(O105:O106)-O107</f>
        <v/>
      </c>
      <c r="P123" s="400">
        <f>SUM(P105:P106)-P107</f>
        <v/>
      </c>
      <c r="Q123" s="400">
        <f>SUM(Q105:Q106)-Q107</f>
        <v/>
      </c>
      <c r="R123" s="400">
        <f>SUM(R105:R106)-R107</f>
        <v/>
      </c>
      <c r="S123" s="400">
        <f>SUM(S105:S106)-S107</f>
        <v/>
      </c>
      <c r="T123" s="400">
        <f>SUM(T105:T106)-T107</f>
        <v/>
      </c>
      <c r="U123" s="400">
        <f>SUM(U105:U106)-U107</f>
        <v/>
      </c>
      <c r="V123" s="400">
        <f>SUM(V105:V106)-V107</f>
        <v/>
      </c>
      <c r="W123" s="400">
        <f>SUM(W105:W106)-W107</f>
        <v/>
      </c>
      <c r="X123" s="148" t="n"/>
      <c r="Y123" s="148" t="n"/>
      <c r="Z123" s="148" t="n"/>
      <c r="AA123" s="148" t="n"/>
      <c r="AB123" s="148" t="n"/>
      <c r="AC123" s="148" t="n"/>
      <c r="AD123" s="148" t="n"/>
      <c r="AE123" s="148" t="n"/>
      <c r="AF123" s="148" t="n"/>
      <c r="AG123" s="148" t="n"/>
      <c r="AH123" s="148" t="n"/>
      <c r="AI123" s="148" t="n"/>
      <c r="AJ123" s="148" t="n"/>
      <c r="AK123" s="148" t="n"/>
      <c r="AL123" s="148" t="n"/>
      <c r="AM123" s="148" t="n"/>
      <c r="AN123" s="148" t="n"/>
      <c r="AO123" s="148" t="n"/>
      <c r="AP123" s="148" t="n"/>
      <c r="AQ123" s="148" t="n"/>
      <c r="AR123" s="148" t="n"/>
      <c r="AS123" s="148" t="n"/>
    </row>
    <row r="124" customFormat="1" s="21">
      <c r="A124" s="455">
        <f>FS_Q!A125</f>
        <v/>
      </c>
      <c r="B124" s="148" t="n"/>
      <c r="C124" s="148" t="n"/>
      <c r="D124" s="147" t="n"/>
      <c r="E124" s="400">
        <f>SUM(E110:E112)-E113</f>
        <v/>
      </c>
      <c r="F124" s="400">
        <f>SUM(F110:F112)-F113</f>
        <v/>
      </c>
      <c r="G124" s="400">
        <f>SUM(G110:G112)-G113</f>
        <v/>
      </c>
      <c r="H124" s="400">
        <f>SUM(H110:H112)-H113</f>
        <v/>
      </c>
      <c r="I124" s="400">
        <f>SUM(I110:I112)-I113</f>
        <v/>
      </c>
      <c r="J124" s="400">
        <f>SUM(J110:J112)-J113</f>
        <v/>
      </c>
      <c r="K124" s="400">
        <f>SUM(K110:K112)-K113</f>
        <v/>
      </c>
      <c r="L124" s="400">
        <f>SUM(L110:L112)-L113</f>
        <v/>
      </c>
      <c r="M124" s="400">
        <f>SUM(M110:M112)-M113</f>
        <v/>
      </c>
      <c r="N124" s="400">
        <f>SUM(N110:N112)-N113</f>
        <v/>
      </c>
      <c r="O124" s="400">
        <f>SUM(O110:O112)-O113</f>
        <v/>
      </c>
      <c r="P124" s="400">
        <f>SUM(P110:P112)-P113</f>
        <v/>
      </c>
      <c r="Q124" s="400">
        <f>SUM(Q110:Q112)-Q113</f>
        <v/>
      </c>
      <c r="R124" s="400">
        <f>SUM(R110:R112)-R113</f>
        <v/>
      </c>
      <c r="S124" s="400">
        <f>SUM(S110:S112)-S113</f>
        <v/>
      </c>
      <c r="T124" s="400">
        <f>SUM(T110:T112)-T113</f>
        <v/>
      </c>
      <c r="U124" s="400">
        <f>SUM(U110:U112)-U113</f>
        <v/>
      </c>
      <c r="V124" s="400">
        <f>SUM(V110:V112)-V113</f>
        <v/>
      </c>
      <c r="W124" s="400">
        <f>SUM(W110:W112)-W113</f>
        <v/>
      </c>
      <c r="X124" s="148" t="n"/>
      <c r="Y124" s="148" t="n"/>
      <c r="Z124" s="148" t="n"/>
      <c r="AA124" s="148" t="n"/>
      <c r="AB124" s="148" t="n"/>
      <c r="AC124" s="148" t="n"/>
      <c r="AD124" s="148" t="n"/>
      <c r="AE124" s="148" t="n"/>
      <c r="AF124" s="148" t="n"/>
      <c r="AG124" s="148" t="n"/>
      <c r="AH124" s="148" t="n"/>
      <c r="AI124" s="148" t="n"/>
      <c r="AJ124" s="148" t="n"/>
      <c r="AK124" s="148" t="n"/>
      <c r="AL124" s="148" t="n"/>
      <c r="AM124" s="148" t="n"/>
      <c r="AN124" s="148" t="n"/>
      <c r="AO124" s="148" t="n"/>
      <c r="AP124" s="148" t="n"/>
      <c r="AQ124" s="148" t="n"/>
      <c r="AR124" s="148" t="n"/>
      <c r="AS124" s="148" t="n"/>
    </row>
    <row r="125" customFormat="1" s="281">
      <c r="A125" s="455">
        <f>FS_Q!A126</f>
        <v/>
      </c>
      <c r="B125" s="382" t="n"/>
      <c r="C125" s="400" t="n"/>
      <c r="D125" s="400" t="n"/>
      <c r="E125" s="400">
        <f>SUM(E102,E107,E113,E115)-E116</f>
        <v/>
      </c>
      <c r="F125" s="400">
        <f>SUM(F102,F107,F113,F115)-F116</f>
        <v/>
      </c>
      <c r="G125" s="400">
        <f>SUM(G102,G107,G113,G115)-G116</f>
        <v/>
      </c>
      <c r="H125" s="400">
        <f>SUM(H102,H107,H113,H115)-H116</f>
        <v/>
      </c>
      <c r="I125" s="400">
        <f>SUM(I102,I107,I113,I115)-I116</f>
        <v/>
      </c>
      <c r="J125" s="400">
        <f>SUM(J102,J107,J113,J115)-J116</f>
        <v/>
      </c>
      <c r="K125" s="400">
        <f>SUM(K102,K107,K113,K115)-K116</f>
        <v/>
      </c>
      <c r="L125" s="400">
        <f>SUM(L102,L107,L113,L115)-L116</f>
        <v/>
      </c>
      <c r="M125" s="400">
        <f>SUM(M102,M107,M113,M115)-M116</f>
        <v/>
      </c>
      <c r="N125" s="400">
        <f>SUM(N102,N107,N113,N115)-N116</f>
        <v/>
      </c>
      <c r="O125" s="400">
        <f>SUM(O102,O107,O113,O115)-O116</f>
        <v/>
      </c>
      <c r="P125" s="400">
        <f>SUM(P102,P107,P113,P115)-P116</f>
        <v/>
      </c>
      <c r="Q125" s="400">
        <f>SUM(Q102,Q107,Q113,Q115)-Q116</f>
        <v/>
      </c>
      <c r="R125" s="400">
        <f>SUM(R102,R107,R113,R115)-R116</f>
        <v/>
      </c>
      <c r="S125" s="400">
        <f>SUM(S102,S107,S113,S115)-S116</f>
        <v/>
      </c>
      <c r="T125" s="400">
        <f>SUM(T102,T107,T113,T115)-T116</f>
        <v/>
      </c>
      <c r="U125" s="400">
        <f>SUM(U102,U107,U113,U115)-U116</f>
        <v/>
      </c>
      <c r="V125" s="400">
        <f>SUM(V102,V107,V113,V115)-V116</f>
        <v/>
      </c>
      <c r="W125" s="400">
        <f>SUM(W102,W107,W113,W115)-W116</f>
        <v/>
      </c>
      <c r="X125" s="382" t="n"/>
      <c r="Y125" s="382" t="n"/>
      <c r="Z125" s="382" t="n"/>
      <c r="AA125" s="382" t="n"/>
      <c r="AB125" s="382" t="n"/>
      <c r="AC125" s="382" t="n"/>
      <c r="AD125" s="382" t="n"/>
      <c r="AE125" s="382" t="n"/>
      <c r="AF125" s="382" t="n"/>
      <c r="AG125" s="382" t="n"/>
      <c r="AH125" s="382" t="n"/>
      <c r="AI125" s="382" t="n"/>
      <c r="AJ125" s="382" t="n"/>
      <c r="AK125" s="382" t="n"/>
      <c r="AL125" s="382" t="n"/>
      <c r="AM125" s="382" t="n"/>
      <c r="AN125" s="382" t="n"/>
      <c r="AO125" s="382" t="n"/>
      <c r="AP125" s="382" t="n"/>
      <c r="AQ125" s="382" t="n"/>
      <c r="AR125" s="382" t="n"/>
      <c r="AS125" s="382" t="n"/>
    </row>
    <row r="126">
      <c r="A126" s="455">
        <f>FS_Q!A127</f>
        <v/>
      </c>
      <c r="B126" s="148" t="n"/>
      <c r="C126" s="148" t="n"/>
      <c r="D126" s="143" t="n"/>
      <c r="E126" s="400">
        <f>E117+E116-E119</f>
        <v/>
      </c>
      <c r="F126" s="400">
        <f>F117+F116-F119</f>
        <v/>
      </c>
      <c r="G126" s="400">
        <f>G117+G116-G119</f>
        <v/>
      </c>
      <c r="H126" s="400">
        <f>H117+H116-H119</f>
        <v/>
      </c>
      <c r="I126" s="400">
        <f>I117+I116-I119</f>
        <v/>
      </c>
      <c r="J126" s="400">
        <f>J117+J116-J119</f>
        <v/>
      </c>
      <c r="K126" s="400">
        <f>K117+K116-K119</f>
        <v/>
      </c>
      <c r="L126" s="400">
        <f>L117+L116-L119</f>
        <v/>
      </c>
      <c r="M126" s="400">
        <f>M117+M116-M119</f>
        <v/>
      </c>
      <c r="N126" s="400">
        <f>N117+N116-N119-N118</f>
        <v/>
      </c>
      <c r="O126" s="400">
        <f>O117+O116-O119-O118</f>
        <v/>
      </c>
      <c r="P126" s="400">
        <f>P117+P116-P119-P118</f>
        <v/>
      </c>
      <c r="Q126" s="400">
        <f>Q117+Q116-Q119-Q118</f>
        <v/>
      </c>
      <c r="R126" s="400">
        <f>R117+R116-R119-R118</f>
        <v/>
      </c>
      <c r="S126" s="400">
        <f>S117+S116-S119-S118</f>
        <v/>
      </c>
      <c r="T126" s="400">
        <f>T117+T116-T119-T118</f>
        <v/>
      </c>
      <c r="U126" s="400">
        <f>U117+U116-U119-U118</f>
        <v/>
      </c>
      <c r="V126" s="400">
        <f>V117+V116-V119-V118</f>
        <v/>
      </c>
      <c r="W126" s="400">
        <f>W117+W116-W119-W118</f>
        <v/>
      </c>
      <c r="X126" s="131" t="n"/>
      <c r="Y126" s="131" t="n"/>
      <c r="Z126" s="131" t="n"/>
      <c r="AA126" s="131" t="n"/>
      <c r="AB126" s="131" t="n"/>
      <c r="AC126" s="131" t="n"/>
      <c r="AD126" s="131" t="n"/>
      <c r="AE126" s="131" t="n"/>
      <c r="AF126" s="131" t="n"/>
      <c r="AG126" s="131" t="n"/>
      <c r="AH126" s="131" t="n"/>
      <c r="AI126" s="131" t="n"/>
      <c r="AJ126" s="131" t="n"/>
      <c r="AK126" s="131" t="n"/>
      <c r="AL126" s="131" t="n"/>
      <c r="AM126" s="131" t="n"/>
      <c r="AN126" s="131" t="n"/>
      <c r="AO126" s="131" t="n"/>
      <c r="AP126" s="131" t="n"/>
      <c r="AQ126" s="131" t="n"/>
      <c r="AR126" s="131" t="n"/>
      <c r="AS126" s="131" t="n"/>
    </row>
    <row r="127">
      <c r="A127" s="455">
        <f>FS_Q!A128</f>
        <v/>
      </c>
      <c r="B127" s="148" t="n"/>
      <c r="C127" s="148" t="n"/>
      <c r="D127" s="143" t="n"/>
      <c r="E127" s="400">
        <f>E119-E44</f>
        <v/>
      </c>
      <c r="F127" s="400">
        <f>F119-F44</f>
        <v/>
      </c>
      <c r="G127" s="400">
        <f>G119-G44</f>
        <v/>
      </c>
      <c r="H127" s="400">
        <f>H119-H44</f>
        <v/>
      </c>
      <c r="I127" s="400">
        <f>I119-I44</f>
        <v/>
      </c>
      <c r="J127" s="400">
        <f>J119-J44</f>
        <v/>
      </c>
      <c r="K127" s="400">
        <f>K119-K44</f>
        <v/>
      </c>
      <c r="L127" s="400">
        <f>L119-L44</f>
        <v/>
      </c>
      <c r="M127" s="400">
        <f>M119-M44</f>
        <v/>
      </c>
      <c r="N127" s="400">
        <f>N119-N44</f>
        <v/>
      </c>
      <c r="O127" s="400">
        <f>O119-O44</f>
        <v/>
      </c>
      <c r="P127" s="400">
        <f>P119-P44</f>
        <v/>
      </c>
      <c r="Q127" s="400">
        <f>Q119-Q44</f>
        <v/>
      </c>
      <c r="R127" s="400">
        <f>R119-R44</f>
        <v/>
      </c>
      <c r="S127" s="400">
        <f>S119-S44</f>
        <v/>
      </c>
      <c r="T127" s="400">
        <f>T119-T44</f>
        <v/>
      </c>
      <c r="U127" s="400">
        <f>U119-U44</f>
        <v/>
      </c>
      <c r="V127" s="400">
        <f>V119-V44</f>
        <v/>
      </c>
      <c r="W127" s="400">
        <f>W119-W44</f>
        <v/>
      </c>
      <c r="X127" s="131" t="n"/>
      <c r="Y127" s="131" t="n"/>
      <c r="Z127" s="131" t="n"/>
      <c r="AA127" s="131" t="n"/>
      <c r="AB127" s="131" t="n"/>
      <c r="AC127" s="131" t="n"/>
      <c r="AD127" s="131" t="n"/>
      <c r="AE127" s="131" t="n"/>
      <c r="AF127" s="131" t="n"/>
      <c r="AG127" s="131" t="n"/>
      <c r="AH127" s="131" t="n"/>
      <c r="AI127" s="131" t="n"/>
      <c r="AJ127" s="131" t="n"/>
      <c r="AK127" s="131" t="n"/>
      <c r="AL127" s="131" t="n"/>
      <c r="AM127" s="131" t="n"/>
      <c r="AN127" s="131" t="n"/>
      <c r="AO127" s="131" t="n"/>
      <c r="AP127" s="131" t="n"/>
      <c r="AQ127" s="131" t="n"/>
      <c r="AR127" s="131" t="n"/>
      <c r="AS127" s="131" t="n"/>
    </row>
    <row r="128">
      <c r="A128" s="455" t="n"/>
      <c r="B128" s="148" t="n"/>
      <c r="C128" s="148" t="n"/>
      <c r="D128" s="143" t="n"/>
      <c r="E128" s="400" t="n"/>
      <c r="F128" s="400" t="n"/>
      <c r="G128" s="400" t="n"/>
      <c r="H128" s="400" t="n"/>
      <c r="I128" s="400" t="n"/>
      <c r="J128" s="400" t="n"/>
      <c r="K128" s="400" t="n"/>
      <c r="L128" s="400" t="n"/>
      <c r="M128" s="400" t="n"/>
      <c r="N128" s="400" t="n"/>
      <c r="O128" s="400" t="n"/>
      <c r="P128" s="400" t="n"/>
      <c r="Q128" s="400" t="n"/>
      <c r="R128" s="400" t="n"/>
      <c r="S128" s="400" t="n"/>
      <c r="T128" s="400" t="n"/>
      <c r="U128" s="400" t="n"/>
      <c r="V128" s="400" t="n"/>
      <c r="W128" s="400" t="n"/>
      <c r="X128" s="131" t="n"/>
      <c r="Y128" s="131" t="n"/>
      <c r="Z128" s="131" t="n"/>
      <c r="AA128" s="131" t="n"/>
      <c r="AB128" s="131" t="n"/>
      <c r="AC128" s="131" t="n"/>
      <c r="AD128" s="131" t="n"/>
      <c r="AE128" s="131" t="n"/>
      <c r="AF128" s="131" t="n"/>
      <c r="AG128" s="131" t="n"/>
      <c r="AH128" s="131" t="n"/>
      <c r="AI128" s="131" t="n"/>
      <c r="AJ128" s="131" t="n"/>
      <c r="AK128" s="131" t="n"/>
      <c r="AL128" s="131" t="n"/>
      <c r="AM128" s="131" t="n"/>
      <c r="AN128" s="131" t="n"/>
      <c r="AO128" s="131" t="n"/>
      <c r="AP128" s="131" t="n"/>
      <c r="AQ128" s="131" t="n"/>
      <c r="AR128" s="131" t="n"/>
      <c r="AS128" s="131" t="n"/>
    </row>
    <row r="129">
      <c r="E129" s="517" t="n"/>
      <c r="F129" s="517" t="n"/>
      <c r="G129" s="517" t="n"/>
      <c r="H129" s="517" t="n"/>
      <c r="I129" s="517" t="n"/>
      <c r="J129" s="517" t="n"/>
      <c r="K129" s="517" t="n"/>
      <c r="L129" s="517" t="n"/>
      <c r="M129" s="517" t="n"/>
      <c r="N129" s="517" t="n"/>
      <c r="O129" s="517" t="n"/>
      <c r="P129" s="517" t="n"/>
      <c r="Q129" s="517" t="n"/>
      <c r="R129" s="517" t="n"/>
      <c r="S129" s="517" t="n"/>
      <c r="T129" s="517" t="n"/>
      <c r="U129" s="517" t="n"/>
      <c r="V129" s="517" t="n"/>
      <c r="W129" s="517" t="n"/>
    </row>
    <row r="130">
      <c r="F130" s="517" t="n"/>
      <c r="G130" s="517" t="n"/>
      <c r="H130" s="517" t="n"/>
      <c r="I130" s="517" t="n"/>
      <c r="J130" s="517" t="n"/>
      <c r="K130" s="517" t="n"/>
      <c r="L130" s="517" t="n"/>
      <c r="M130" s="517" t="n"/>
      <c r="N130" s="517" t="n"/>
      <c r="O130" s="517" t="n"/>
      <c r="P130" s="517" t="n"/>
      <c r="Q130" s="517" t="n"/>
      <c r="R130" s="517" t="n"/>
      <c r="S130" s="517" t="n"/>
      <c r="T130" s="517" t="n"/>
      <c r="U130" s="517" t="n"/>
      <c r="V130" s="517" t="n"/>
      <c r="W130" s="517" t="n"/>
    </row>
    <row r="132">
      <c r="A132" s="383" t="inlineStr">
        <is>
          <t>KEY OPERATIONAL INDICATORS</t>
        </is>
      </c>
    </row>
    <row r="133">
      <c r="A133" s="384" t="n"/>
    </row>
    <row r="134">
      <c r="A134" s="385" t="inlineStr">
        <is>
          <t>Organic turnover</t>
        </is>
      </c>
      <c r="B134" s="166" t="n"/>
      <c r="C134" s="166" t="n"/>
      <c r="D134" s="166" t="n"/>
      <c r="E134" s="108">
        <f>E11</f>
        <v/>
      </c>
      <c r="F134" s="108">
        <f>F11</f>
        <v/>
      </c>
      <c r="G134" s="108">
        <f>G11</f>
        <v/>
      </c>
      <c r="H134" s="108">
        <f>H11</f>
        <v/>
      </c>
      <c r="I134" s="108">
        <f>I11</f>
        <v/>
      </c>
      <c r="J134" s="108">
        <f>J11</f>
        <v/>
      </c>
      <c r="K134" s="108">
        <f>K11</f>
        <v/>
      </c>
      <c r="L134" s="108">
        <f>L11</f>
        <v/>
      </c>
      <c r="M134" s="108">
        <f>M11</f>
        <v/>
      </c>
      <c r="N134" s="108">
        <f>N11</f>
        <v/>
      </c>
      <c r="O134" s="108">
        <f>O11</f>
        <v/>
      </c>
      <c r="P134" s="108">
        <f>P11</f>
        <v/>
      </c>
      <c r="Q134" s="108">
        <f>Q11</f>
        <v/>
      </c>
      <c r="R134" s="108">
        <f>R11</f>
        <v/>
      </c>
      <c r="S134" s="108">
        <f>S11</f>
        <v/>
      </c>
      <c r="T134" s="108">
        <f>T11</f>
        <v/>
      </c>
      <c r="U134" s="108">
        <f>U11</f>
        <v/>
      </c>
      <c r="V134" s="108">
        <f>V11</f>
        <v/>
      </c>
      <c r="W134" s="108">
        <f>W11</f>
        <v/>
      </c>
    </row>
    <row r="135" customFormat="1" s="432">
      <c r="A135" s="431" t="inlineStr">
        <is>
          <t>YoY Growth</t>
        </is>
      </c>
      <c r="C135" s="433" t="n"/>
      <c r="D135" s="433" t="n"/>
      <c r="E135" s="433" t="n"/>
      <c r="F135" s="433">
        <f>F134/E134-1</f>
        <v/>
      </c>
      <c r="G135" s="433">
        <f>G134/F134-1</f>
        <v/>
      </c>
      <c r="H135" s="433">
        <f>H134/G134-1</f>
        <v/>
      </c>
      <c r="I135" s="433">
        <f>I134/H134-1</f>
        <v/>
      </c>
      <c r="J135" s="433">
        <f>J134/I134-1</f>
        <v/>
      </c>
      <c r="K135" s="433">
        <f>K134/J134-1</f>
        <v/>
      </c>
      <c r="L135" s="433">
        <f>L134/K134-1</f>
        <v/>
      </c>
      <c r="M135" s="433">
        <f>M134/L134-1</f>
        <v/>
      </c>
      <c r="N135" s="433">
        <f>N134/M134-1</f>
        <v/>
      </c>
      <c r="O135" s="433">
        <f>O134/N134-1</f>
        <v/>
      </c>
      <c r="P135" s="433">
        <f>P134/O134-1</f>
        <v/>
      </c>
      <c r="Q135" s="433">
        <f>Q134/P134-1</f>
        <v/>
      </c>
      <c r="R135" s="433">
        <f>R134/Q134-1</f>
        <v/>
      </c>
      <c r="S135" s="433">
        <f>S134/R134-1</f>
        <v/>
      </c>
      <c r="T135" s="433">
        <f>T134/S134-1</f>
        <v/>
      </c>
      <c r="U135" s="433">
        <f>U134/T134-1</f>
        <v/>
      </c>
      <c r="V135" s="433">
        <f>V134/U134-1</f>
        <v/>
      </c>
      <c r="W135" s="433">
        <f>W134/V134-1</f>
        <v/>
      </c>
    </row>
    <row r="136">
      <c r="A136" s="387" t="n"/>
    </row>
    <row r="137">
      <c r="A137" s="385" t="inlineStr">
        <is>
          <t>EBITDA</t>
        </is>
      </c>
      <c r="B137" s="108" t="n"/>
      <c r="C137" s="108" t="n"/>
      <c r="D137" s="108" t="n"/>
      <c r="E137" s="108">
        <f>E19+E93</f>
        <v/>
      </c>
      <c r="F137" s="108">
        <f>F19+F93</f>
        <v/>
      </c>
      <c r="G137" s="108">
        <f>G19+G93</f>
        <v/>
      </c>
      <c r="H137" s="108">
        <f>H19+H93</f>
        <v/>
      </c>
      <c r="I137" s="108">
        <f>I19+I93</f>
        <v/>
      </c>
      <c r="J137" s="108">
        <f>J19+J93</f>
        <v/>
      </c>
      <c r="K137" s="108">
        <f>K19+K93</f>
        <v/>
      </c>
      <c r="L137" s="108">
        <f>L19+L93</f>
        <v/>
      </c>
      <c r="M137" s="108">
        <f>M19+M93</f>
        <v/>
      </c>
      <c r="N137" s="108">
        <f>N19+N93</f>
        <v/>
      </c>
      <c r="O137" s="108">
        <f>O19+O93</f>
        <v/>
      </c>
      <c r="P137" s="108">
        <f>P19+P93</f>
        <v/>
      </c>
      <c r="Q137" s="108">
        <f>Q19+Q93</f>
        <v/>
      </c>
      <c r="R137" s="108">
        <f>R19+R93</f>
        <v/>
      </c>
      <c r="S137" s="108">
        <f>S19+S93</f>
        <v/>
      </c>
      <c r="T137" s="108">
        <f>T19+T93</f>
        <v/>
      </c>
      <c r="U137" s="108">
        <f>U19+U93</f>
        <v/>
      </c>
      <c r="V137" s="108">
        <f>V19+V93</f>
        <v/>
      </c>
      <c r="W137" s="108">
        <f>W19+W93</f>
        <v/>
      </c>
    </row>
    <row r="138">
      <c r="A138" s="387" t="n"/>
    </row>
    <row r="139">
      <c r="A139" s="388" t="inlineStr">
        <is>
          <t>Cash and cash equivalents from balance sheet</t>
        </is>
      </c>
      <c r="B139" s="166" t="n"/>
      <c r="C139" s="166" t="n"/>
      <c r="D139" s="166" t="n"/>
      <c r="E139" s="166">
        <f>E44</f>
        <v/>
      </c>
      <c r="F139" s="166">
        <f>F44</f>
        <v/>
      </c>
      <c r="G139" s="166">
        <f>G44</f>
        <v/>
      </c>
      <c r="H139" s="166">
        <f>H44</f>
        <v/>
      </c>
      <c r="I139" s="166">
        <f>I44</f>
        <v/>
      </c>
      <c r="J139" s="166">
        <f>J44</f>
        <v/>
      </c>
      <c r="K139" s="166">
        <f>K44</f>
        <v/>
      </c>
      <c r="L139" s="166">
        <f>L44</f>
        <v/>
      </c>
      <c r="M139" s="166">
        <f>M44</f>
        <v/>
      </c>
      <c r="N139" s="166">
        <f>N44</f>
        <v/>
      </c>
      <c r="O139" s="166">
        <f>O44</f>
        <v/>
      </c>
      <c r="P139" s="166">
        <f>P44</f>
        <v/>
      </c>
      <c r="Q139" s="166">
        <f>Q44</f>
        <v/>
      </c>
      <c r="R139" s="166">
        <f>R44</f>
        <v/>
      </c>
      <c r="S139" s="166">
        <f>S44</f>
        <v/>
      </c>
      <c r="T139" s="166">
        <f>T44</f>
        <v/>
      </c>
      <c r="U139" s="166">
        <f>U44</f>
        <v/>
      </c>
      <c r="V139" s="166">
        <f>V44</f>
        <v/>
      </c>
      <c r="W139" s="166">
        <f>W44</f>
        <v/>
      </c>
    </row>
    <row r="140">
      <c r="A140" s="389" t="inlineStr">
        <is>
          <t>Excess cash (above 5% of annualized revenue)</t>
        </is>
      </c>
      <c r="B140" s="166" t="n"/>
      <c r="C140" s="166" t="n"/>
      <c r="D140" s="166" t="n"/>
      <c r="E140" s="166">
        <f>E139-E141</f>
        <v/>
      </c>
      <c r="F140" s="166">
        <f>F139-F141</f>
        <v/>
      </c>
      <c r="G140" s="166">
        <f>G139-G141</f>
        <v/>
      </c>
      <c r="H140" s="166">
        <f>H139-H141</f>
        <v/>
      </c>
      <c r="I140" s="166">
        <f>I139-I141</f>
        <v/>
      </c>
      <c r="J140" s="166">
        <f>J139-J141</f>
        <v/>
      </c>
      <c r="K140" s="166">
        <f>K139-K141</f>
        <v/>
      </c>
      <c r="L140" s="166">
        <f>L139-L141</f>
        <v/>
      </c>
      <c r="M140" s="166">
        <f>M139-M141</f>
        <v/>
      </c>
      <c r="N140" s="166">
        <f>N139-N141</f>
        <v/>
      </c>
      <c r="O140" s="166">
        <f>O139-O141</f>
        <v/>
      </c>
      <c r="P140" s="166">
        <f>P139-P141</f>
        <v/>
      </c>
      <c r="Q140" s="166">
        <f>Q139-Q141</f>
        <v/>
      </c>
      <c r="R140" s="166">
        <f>R139-R141</f>
        <v/>
      </c>
      <c r="S140" s="166">
        <f>S139-S141</f>
        <v/>
      </c>
      <c r="T140" s="166">
        <f>T139-T141</f>
        <v/>
      </c>
      <c r="U140" s="166">
        <f>U139-U141</f>
        <v/>
      </c>
      <c r="V140" s="166">
        <f>V139-V141</f>
        <v/>
      </c>
      <c r="W140" s="166">
        <f>W139-W141</f>
        <v/>
      </c>
    </row>
    <row r="141">
      <c r="A141" s="389" t="inlineStr">
        <is>
          <t>Working cash (5% of annualized revenue)</t>
        </is>
      </c>
      <c r="B141" s="166" t="n"/>
      <c r="C141" s="166" t="n"/>
      <c r="D141" s="166" t="n"/>
      <c r="E141" s="108">
        <f>5%*E134</f>
        <v/>
      </c>
      <c r="F141" s="108">
        <f>5%*F134</f>
        <v/>
      </c>
      <c r="G141" s="108">
        <f>5%*G134</f>
        <v/>
      </c>
      <c r="H141" s="108">
        <f>5%*H134</f>
        <v/>
      </c>
      <c r="I141" s="108">
        <f>5%*I134</f>
        <v/>
      </c>
      <c r="J141" s="108">
        <f>5%*J134</f>
        <v/>
      </c>
      <c r="K141" s="108">
        <f>5%*K134</f>
        <v/>
      </c>
      <c r="L141" s="108">
        <f>5%*L134</f>
        <v/>
      </c>
      <c r="M141" s="108">
        <f>5%*M134</f>
        <v/>
      </c>
      <c r="N141" s="108">
        <f>5%*N134</f>
        <v/>
      </c>
      <c r="O141" s="108">
        <f>5%*O134</f>
        <v/>
      </c>
      <c r="P141" s="108">
        <f>5%*P134</f>
        <v/>
      </c>
      <c r="Q141" s="108">
        <f>5%*Q134</f>
        <v/>
      </c>
      <c r="R141" s="108">
        <f>5%*R134</f>
        <v/>
      </c>
      <c r="S141" s="108">
        <f>5%*S134</f>
        <v/>
      </c>
      <c r="T141" s="108">
        <f>5%*T134</f>
        <v/>
      </c>
      <c r="U141" s="108">
        <f>5%*U134</f>
        <v/>
      </c>
      <c r="V141" s="108">
        <f>5%*V134</f>
        <v/>
      </c>
      <c r="W141" s="108">
        <f>5%*W134</f>
        <v/>
      </c>
    </row>
    <row r="142">
      <c r="A142" s="389" t="n"/>
    </row>
    <row r="143">
      <c r="A143" s="388" t="inlineStr">
        <is>
          <t>Total debt</t>
        </is>
      </c>
    </row>
    <row r="144">
      <c r="A144" s="390" t="inlineStr">
        <is>
          <t>Current</t>
        </is>
      </c>
      <c r="B144" s="166" t="n"/>
      <c r="C144" s="166" t="n"/>
      <c r="D144" s="166" t="n"/>
      <c r="E144" s="166">
        <f>E58</f>
        <v/>
      </c>
      <c r="F144" s="166">
        <f>F58</f>
        <v/>
      </c>
      <c r="G144" s="166">
        <f>G58</f>
        <v/>
      </c>
      <c r="H144" s="166">
        <f>H58</f>
        <v/>
      </c>
      <c r="I144" s="166">
        <f>I58</f>
        <v/>
      </c>
      <c r="J144" s="166">
        <f>J58</f>
        <v/>
      </c>
      <c r="K144" s="166">
        <f>K58</f>
        <v/>
      </c>
      <c r="L144" s="166">
        <f>L58</f>
        <v/>
      </c>
      <c r="M144" s="166">
        <f>M58</f>
        <v/>
      </c>
      <c r="N144" s="166">
        <f>N58</f>
        <v/>
      </c>
      <c r="O144" s="166">
        <f>O58</f>
        <v/>
      </c>
      <c r="P144" s="166">
        <f>P58</f>
        <v/>
      </c>
      <c r="Q144" s="166">
        <f>Q58</f>
        <v/>
      </c>
      <c r="R144" s="166">
        <f>R58</f>
        <v/>
      </c>
      <c r="S144" s="166">
        <f>S58</f>
        <v/>
      </c>
      <c r="T144" s="166">
        <f>T58</f>
        <v/>
      </c>
      <c r="U144" s="166">
        <f>U58</f>
        <v/>
      </c>
      <c r="V144" s="166">
        <f>V58</f>
        <v/>
      </c>
      <c r="W144" s="166">
        <f>W58</f>
        <v/>
      </c>
    </row>
    <row r="145">
      <c r="A145" s="390" t="inlineStr">
        <is>
          <t>Non-current</t>
        </is>
      </c>
      <c r="B145" s="166" t="n"/>
      <c r="C145" s="166" t="n"/>
      <c r="D145" s="166" t="n"/>
      <c r="E145" s="166">
        <f>E65</f>
        <v/>
      </c>
      <c r="F145" s="166">
        <f>F65</f>
        <v/>
      </c>
      <c r="G145" s="166">
        <f>G65</f>
        <v/>
      </c>
      <c r="H145" s="166">
        <f>H65</f>
        <v/>
      </c>
      <c r="I145" s="166">
        <f>I65</f>
        <v/>
      </c>
      <c r="J145" s="166">
        <f>J65</f>
        <v/>
      </c>
      <c r="K145" s="166">
        <f>K65</f>
        <v/>
      </c>
      <c r="L145" s="166">
        <f>L65</f>
        <v/>
      </c>
      <c r="M145" s="166">
        <f>M65</f>
        <v/>
      </c>
      <c r="N145" s="166">
        <f>N65</f>
        <v/>
      </c>
      <c r="O145" s="166">
        <f>O65</f>
        <v/>
      </c>
      <c r="P145" s="166">
        <f>P65</f>
        <v/>
      </c>
      <c r="Q145" s="166">
        <f>Q65</f>
        <v/>
      </c>
      <c r="R145" s="166">
        <f>R65</f>
        <v/>
      </c>
      <c r="S145" s="166">
        <f>S65</f>
        <v/>
      </c>
      <c r="T145" s="166">
        <f>T65</f>
        <v/>
      </c>
      <c r="U145" s="166">
        <f>U65</f>
        <v/>
      </c>
      <c r="V145" s="166">
        <f>V65</f>
        <v/>
      </c>
      <c r="W145" s="166">
        <f>W65</f>
        <v/>
      </c>
    </row>
    <row r="146" customFormat="1" s="21">
      <c r="A146" s="391" t="inlineStr">
        <is>
          <t>Total debt</t>
        </is>
      </c>
      <c r="B146" s="342" t="n"/>
      <c r="C146" s="342" t="n"/>
      <c r="D146" s="342" t="n"/>
      <c r="E146" s="342">
        <f>SUM(E144:E145)</f>
        <v/>
      </c>
      <c r="F146" s="342">
        <f>SUM(F144:F145)</f>
        <v/>
      </c>
      <c r="G146" s="342">
        <f>SUM(G144:G145)</f>
        <v/>
      </c>
      <c r="H146" s="342">
        <f>SUM(H144:H145)</f>
        <v/>
      </c>
      <c r="I146" s="342">
        <f>SUM(I144:I145)</f>
        <v/>
      </c>
      <c r="J146" s="342">
        <f>SUM(J144:J145)</f>
        <v/>
      </c>
      <c r="K146" s="342">
        <f>SUM(K144:K145)</f>
        <v/>
      </c>
      <c r="L146" s="342">
        <f>SUM(L144:L145)</f>
        <v/>
      </c>
      <c r="M146" s="342">
        <f>SUM(M144:M145)</f>
        <v/>
      </c>
      <c r="N146" s="342">
        <f>SUM(N144:N145)</f>
        <v/>
      </c>
      <c r="O146" s="342">
        <f>SUM(O144:O145)</f>
        <v/>
      </c>
      <c r="P146" s="342">
        <f>SUM(P144:P145)</f>
        <v/>
      </c>
      <c r="Q146" s="342">
        <f>SUM(Q144:Q145)</f>
        <v/>
      </c>
      <c r="R146" s="342">
        <f>SUM(R144:R145)</f>
        <v/>
      </c>
      <c r="S146" s="342">
        <f>SUM(S144:S145)</f>
        <v/>
      </c>
      <c r="T146" s="342">
        <f>SUM(T144:T145)</f>
        <v/>
      </c>
      <c r="U146" s="342">
        <f>SUM(U144:U145)</f>
        <v/>
      </c>
      <c r="V146" s="342">
        <f>SUM(V144:V145)</f>
        <v/>
      </c>
      <c r="W146" s="342">
        <f>SUM(W144:W145)</f>
        <v/>
      </c>
    </row>
    <row r="147" customFormat="1" s="433">
      <c r="A147" s="434" t="inlineStr">
        <is>
          <t>Total debt to equity ratio</t>
        </is>
      </c>
      <c r="E147" s="433">
        <f>E146/E75</f>
        <v/>
      </c>
      <c r="F147" s="433">
        <f>F146/F75</f>
        <v/>
      </c>
      <c r="G147" s="433">
        <f>G146/G75</f>
        <v/>
      </c>
      <c r="H147" s="433">
        <f>H146/H75</f>
        <v/>
      </c>
      <c r="I147" s="433">
        <f>I146/I75</f>
        <v/>
      </c>
      <c r="J147" s="433">
        <f>J146/J75</f>
        <v/>
      </c>
      <c r="K147" s="433">
        <f>K146/K75</f>
        <v/>
      </c>
      <c r="L147" s="433">
        <f>L146/L75</f>
        <v/>
      </c>
      <c r="M147" s="433">
        <f>M146/M75</f>
        <v/>
      </c>
      <c r="N147" s="433">
        <f>N146/N75</f>
        <v/>
      </c>
      <c r="O147" s="433">
        <f>O146/O75</f>
        <v/>
      </c>
      <c r="P147" s="433">
        <f>P146/P75</f>
        <v/>
      </c>
      <c r="Q147" s="433">
        <f>Q146/Q75</f>
        <v/>
      </c>
      <c r="R147" s="433">
        <f>R146/R75</f>
        <v/>
      </c>
      <c r="S147" s="433">
        <f>S146/S75</f>
        <v/>
      </c>
      <c r="T147" s="433">
        <f>T146/T75</f>
        <v/>
      </c>
      <c r="U147" s="433">
        <f>U146/U75</f>
        <v/>
      </c>
      <c r="V147" s="433">
        <f>V146/V75</f>
        <v/>
      </c>
      <c r="W147" s="433">
        <f>W146/W75</f>
        <v/>
      </c>
    </row>
    <row r="148">
      <c r="A148" s="392" t="n"/>
    </row>
    <row r="149">
      <c r="A149" s="388" t="inlineStr">
        <is>
          <t>Cash (Net of debt)</t>
        </is>
      </c>
      <c r="B149" s="166" t="n"/>
      <c r="C149" s="166" t="n"/>
      <c r="D149" s="166" t="n"/>
      <c r="E149" s="166">
        <f>E139-E146</f>
        <v/>
      </c>
      <c r="F149" s="166">
        <f>F139-F146</f>
        <v/>
      </c>
      <c r="G149" s="166">
        <f>G139-G146</f>
        <v/>
      </c>
      <c r="H149" s="166">
        <f>H139-H146</f>
        <v/>
      </c>
      <c r="I149" s="166">
        <f>I139-I146</f>
        <v/>
      </c>
      <c r="J149" s="166">
        <f>J139-J146</f>
        <v/>
      </c>
      <c r="K149" s="166">
        <f>K139-K146</f>
        <v/>
      </c>
      <c r="L149" s="166">
        <f>L139-L146</f>
        <v/>
      </c>
      <c r="M149" s="166">
        <f>M139-M146</f>
        <v/>
      </c>
      <c r="N149" s="166">
        <f>N139-N146</f>
        <v/>
      </c>
      <c r="O149" s="166">
        <f>O139-O146</f>
        <v/>
      </c>
      <c r="P149" s="166">
        <f>P139-P146</f>
        <v/>
      </c>
      <c r="Q149" s="166">
        <f>Q139-Q146</f>
        <v/>
      </c>
      <c r="R149" s="166">
        <f>R139-R146</f>
        <v/>
      </c>
      <c r="S149" s="166">
        <f>S139-S146</f>
        <v/>
      </c>
      <c r="T149" s="166">
        <f>T139-T146</f>
        <v/>
      </c>
      <c r="U149" s="166">
        <f>U139-U146</f>
        <v/>
      </c>
      <c r="V149" s="166">
        <f>V139-V146</f>
        <v/>
      </c>
      <c r="W149" s="166">
        <f>W139-W146</f>
        <v/>
      </c>
    </row>
    <row r="150">
      <c r="A150" s="393" t="n"/>
      <c r="B150" s="94" t="n"/>
      <c r="C150" s="94" t="n"/>
      <c r="D150" s="94" t="n"/>
      <c r="E150" s="94" t="n"/>
      <c r="F150" s="94" t="n"/>
      <c r="G150" s="94" t="n"/>
      <c r="H150" s="94" t="n"/>
      <c r="I150" s="94" t="n"/>
      <c r="J150" s="94" t="n"/>
      <c r="K150" s="94" t="n"/>
      <c r="L150" s="94" t="n"/>
      <c r="M150" s="94" t="n"/>
      <c r="N150" s="94" t="n"/>
      <c r="O150" s="94" t="n"/>
      <c r="P150" s="94" t="n"/>
      <c r="Q150" s="94" t="n"/>
      <c r="R150" s="94" t="n"/>
      <c r="S150" s="94" t="n"/>
      <c r="T150" s="94" t="n"/>
      <c r="U150" s="94" t="n"/>
      <c r="V150" s="94" t="n"/>
      <c r="W150" s="94" t="n"/>
    </row>
    <row r="151">
      <c r="A151" s="387" t="n"/>
    </row>
    <row r="152">
      <c r="A152" s="388" t="inlineStr">
        <is>
          <t>Account Receivable days</t>
        </is>
      </c>
      <c r="B152" s="401" t="n"/>
      <c r="C152" s="401" t="n"/>
      <c r="D152" s="401" t="n"/>
      <c r="E152" s="401" t="n"/>
      <c r="F152" s="166">
        <f>AVERAGE(E46:F46)/F$11*F$190</f>
        <v/>
      </c>
      <c r="G152" s="166">
        <f>AVERAGE(F46:G46)/G$11*G$190</f>
        <v/>
      </c>
      <c r="H152" s="166">
        <f>AVERAGE(G46:H46)/H$11*H$190</f>
        <v/>
      </c>
      <c r="I152" s="166">
        <f>AVERAGE(H46:I46)/I$11*I$190</f>
        <v/>
      </c>
      <c r="J152" s="166">
        <f>AVERAGE(I46:J46)/J$11*J$190</f>
        <v/>
      </c>
      <c r="K152" s="166">
        <f>AVERAGE(J46:K46)/K$11*K$190</f>
        <v/>
      </c>
      <c r="L152" s="166">
        <f>AVERAGE(K46:L46)/L$11*L$190</f>
        <v/>
      </c>
      <c r="M152" s="166">
        <f>AVERAGE(L46:M46)/M$11*M$190</f>
        <v/>
      </c>
      <c r="N152" s="166">
        <f>AVERAGE(M46:N46)/N$11*N$190</f>
        <v/>
      </c>
      <c r="O152" s="166">
        <f>AVERAGE(N46:O46)/O$11*O$190</f>
        <v/>
      </c>
      <c r="P152" s="166">
        <f>AVERAGE(O46:P46)/P$11*P$190</f>
        <v/>
      </c>
      <c r="Q152" s="166">
        <f>AVERAGE(P46:Q46)/Q$11*Q$190</f>
        <v/>
      </c>
      <c r="R152" s="166">
        <f>AVERAGE(Q46:R46)/R$11*R$190</f>
        <v/>
      </c>
      <c r="S152" s="166">
        <f>AVERAGE(R46:S46)/S$11*S$190</f>
        <v/>
      </c>
      <c r="T152" s="166">
        <f>AVERAGE(S46:T46)/T$11*T$190</f>
        <v/>
      </c>
      <c r="U152" s="166">
        <f>AVERAGE(T46:U46)/U$11*U$190</f>
        <v/>
      </c>
      <c r="V152" s="166">
        <f>AVERAGE(U46:V46)/V$11*V$190</f>
        <v/>
      </c>
      <c r="W152" s="166">
        <f>AVERAGE(V46:W46)/W$11*W$190</f>
        <v/>
      </c>
    </row>
    <row r="153">
      <c r="A153" s="388" t="inlineStr">
        <is>
          <t>Inventory turnover days</t>
        </is>
      </c>
      <c r="B153" s="401" t="n"/>
      <c r="C153" s="401" t="n"/>
      <c r="D153" s="401" t="n"/>
      <c r="E153" s="401" t="n"/>
      <c r="F153" s="166">
        <f>AVERAGE(E47:F47)/F$12*F$190</f>
        <v/>
      </c>
      <c r="G153" s="166">
        <f>AVERAGE(F47:G47)/G$12*G$190</f>
        <v/>
      </c>
      <c r="H153" s="166">
        <f>AVERAGE(G47:H47)/H$12*H$190</f>
        <v/>
      </c>
      <c r="I153" s="166">
        <f>AVERAGE(H47:I47)/I$12*I$190</f>
        <v/>
      </c>
      <c r="J153" s="166">
        <f>AVERAGE(I47:J47)/J$12*J$190</f>
        <v/>
      </c>
      <c r="K153" s="166">
        <f>AVERAGE(J47:K47)/K$12*K$190</f>
        <v/>
      </c>
      <c r="L153" s="166">
        <f>AVERAGE(K47:L47)/L$12*L$190</f>
        <v/>
      </c>
      <c r="M153" s="166">
        <f>AVERAGE(L47:M47)/M$12*M$190</f>
        <v/>
      </c>
      <c r="N153" s="166">
        <f>AVERAGE(M47:N47)/N$12*N$190</f>
        <v/>
      </c>
      <c r="O153" s="166">
        <f>AVERAGE(N47:O47)/O$12*O$190</f>
        <v/>
      </c>
      <c r="P153" s="166">
        <f>AVERAGE(O47:P47)/P$12*P$190</f>
        <v/>
      </c>
      <c r="Q153" s="166">
        <f>AVERAGE(P47:Q47)/Q$12*Q$190</f>
        <v/>
      </c>
      <c r="R153" s="166">
        <f>AVERAGE(Q47:R47)/R$12*R$190</f>
        <v/>
      </c>
      <c r="S153" s="166">
        <f>AVERAGE(R47:S47)/S$12*S$190</f>
        <v/>
      </c>
      <c r="T153" s="166">
        <f>AVERAGE(S47:T47)/T$12*T$190</f>
        <v/>
      </c>
      <c r="U153" s="166">
        <f>AVERAGE(T47:U47)/U$12*U$190</f>
        <v/>
      </c>
      <c r="V153" s="166">
        <f>AVERAGE(U47:V47)/V$12*V$190</f>
        <v/>
      </c>
      <c r="W153" s="166">
        <f>AVERAGE(V47:W47)/W$12*W$190</f>
        <v/>
      </c>
    </row>
    <row r="154">
      <c r="A154" s="388" t="inlineStr">
        <is>
          <t>Account Payable days</t>
        </is>
      </c>
      <c r="B154" s="401" t="n"/>
      <c r="C154" s="401" t="n"/>
      <c r="D154" s="401" t="n"/>
      <c r="E154" s="401" t="n"/>
      <c r="F154" s="166">
        <f>AVERAGE(E59:F59)/F$12*F$190</f>
        <v/>
      </c>
      <c r="G154" s="166">
        <f>AVERAGE(F59:G59)/G$12*G$190</f>
        <v/>
      </c>
      <c r="H154" s="166">
        <f>AVERAGE(G59:H59)/H$12*H$190</f>
        <v/>
      </c>
      <c r="I154" s="166">
        <f>AVERAGE(H59:I59)/I$12*I$190</f>
        <v/>
      </c>
      <c r="J154" s="166">
        <f>AVERAGE(I59:J59)/J$12*J$190</f>
        <v/>
      </c>
      <c r="K154" s="166">
        <f>AVERAGE(J59:K59)/K$12*K$190</f>
        <v/>
      </c>
      <c r="L154" s="166">
        <f>AVERAGE(K59:L59)/L$12*L$190</f>
        <v/>
      </c>
      <c r="M154" s="166">
        <f>AVERAGE(L59:M59)/M$12*M$190</f>
        <v/>
      </c>
      <c r="N154" s="166">
        <f>AVERAGE(M59:N59)/N$12*N$190</f>
        <v/>
      </c>
      <c r="O154" s="166">
        <f>AVERAGE(N59:O59)/O$12*O$190</f>
        <v/>
      </c>
      <c r="P154" s="166">
        <f>AVERAGE(O59:P59)/P$12*P$190</f>
        <v/>
      </c>
      <c r="Q154" s="166">
        <f>AVERAGE(P59:Q59)/Q$12*Q$190</f>
        <v/>
      </c>
      <c r="R154" s="166">
        <f>AVERAGE(Q59:R59)/R$12*R$190</f>
        <v/>
      </c>
      <c r="S154" s="166">
        <f>AVERAGE(R59:S59)/S$12*S$190</f>
        <v/>
      </c>
      <c r="T154" s="166">
        <f>AVERAGE(S59:T59)/T$12*T$190</f>
        <v/>
      </c>
      <c r="U154" s="166">
        <f>AVERAGE(T59:U59)/U$12*U$190</f>
        <v/>
      </c>
      <c r="V154" s="166">
        <f>AVERAGE(U59:V59)/V$12*V$190</f>
        <v/>
      </c>
      <c r="W154" s="166">
        <f>AVERAGE(V59:W59)/W$12*W$190</f>
        <v/>
      </c>
    </row>
    <row r="155">
      <c r="A155" s="388" t="inlineStr">
        <is>
          <t>Cash conversion cycle</t>
        </is>
      </c>
      <c r="B155" s="401" t="n"/>
      <c r="C155" s="401" t="n"/>
      <c r="D155" s="401" t="n"/>
      <c r="E155" s="401" t="n"/>
      <c r="F155" s="401">
        <f>F152+F153-F154</f>
        <v/>
      </c>
      <c r="G155" s="401">
        <f>G152+G153-G154</f>
        <v/>
      </c>
      <c r="H155" s="401">
        <f>H152+H153-H154</f>
        <v/>
      </c>
      <c r="I155" s="401">
        <f>I152+I153-I154</f>
        <v/>
      </c>
      <c r="J155" s="401">
        <f>J152+J153-J154</f>
        <v/>
      </c>
      <c r="K155" s="401">
        <f>K152+K153-K154</f>
        <v/>
      </c>
      <c r="L155" s="401">
        <f>L152+L153-L154</f>
        <v/>
      </c>
      <c r="M155" s="401">
        <f>M152+M153-M154</f>
        <v/>
      </c>
      <c r="N155" s="401">
        <f>N152+N153-N154</f>
        <v/>
      </c>
      <c r="O155" s="401">
        <f>O152+O153-O154</f>
        <v/>
      </c>
      <c r="P155" s="401">
        <f>P152+P153-P154</f>
        <v/>
      </c>
      <c r="Q155" s="401">
        <f>Q152+Q153-Q154</f>
        <v/>
      </c>
      <c r="R155" s="401">
        <f>R152+R153-R154</f>
        <v/>
      </c>
      <c r="S155" s="401">
        <f>S152+S153-S154</f>
        <v/>
      </c>
      <c r="T155" s="401">
        <f>T152+T153-T154</f>
        <v/>
      </c>
      <c r="U155" s="401">
        <f>U152+U153-U154</f>
        <v/>
      </c>
      <c r="V155" s="401">
        <f>V152+V153-V154</f>
        <v/>
      </c>
      <c r="W155" s="401">
        <f>W152+W153-W154</f>
        <v/>
      </c>
    </row>
    <row r="156">
      <c r="A156" s="388" t="inlineStr">
        <is>
          <t>Net working capital days</t>
        </is>
      </c>
      <c r="B156" s="401" t="n"/>
      <c r="C156" s="401" t="n"/>
      <c r="D156" s="401" t="n"/>
      <c r="E156" s="401" t="n"/>
      <c r="F156" s="166">
        <f>AVERAGE(E162:F162)/F$11*F$190</f>
        <v/>
      </c>
      <c r="G156" s="166">
        <f>AVERAGE(F162:G162)/G$11*G$190</f>
        <v/>
      </c>
      <c r="H156" s="166">
        <f>AVERAGE(G162:H162)/H$11*H$190</f>
        <v/>
      </c>
      <c r="I156" s="166">
        <f>AVERAGE(H162:I162)/I$11*I$190</f>
        <v/>
      </c>
      <c r="J156" s="166">
        <f>AVERAGE(I162:J162)/J$11*J$190</f>
        <v/>
      </c>
      <c r="K156" s="166">
        <f>AVERAGE(J162:K162)/K$11*K$190</f>
        <v/>
      </c>
      <c r="L156" s="166">
        <f>AVERAGE(K162:L162)/L$11*L$190</f>
        <v/>
      </c>
      <c r="M156" s="166">
        <f>AVERAGE(L162:M162)/M$11*M$190</f>
        <v/>
      </c>
      <c r="N156" s="166">
        <f>AVERAGE(M162:N162)/N$11*N$190</f>
        <v/>
      </c>
      <c r="O156" s="166">
        <f>AVERAGE(N162:O162)/O$11*O$190</f>
        <v/>
      </c>
      <c r="P156" s="166">
        <f>AVERAGE(O162:P162)/P$11*P$190</f>
        <v/>
      </c>
      <c r="Q156" s="166">
        <f>AVERAGE(P162:Q162)/Q$11*Q$190</f>
        <v/>
      </c>
      <c r="R156" s="166">
        <f>AVERAGE(Q162:R162)/R$11*R$190</f>
        <v/>
      </c>
      <c r="S156" s="166">
        <f>AVERAGE(R162:S162)/S$11*S$190</f>
        <v/>
      </c>
      <c r="T156" s="166">
        <f>AVERAGE(S162:T162)/T$11*T$190</f>
        <v/>
      </c>
      <c r="U156" s="166">
        <f>AVERAGE(T162:U162)/U$11*U$190</f>
        <v/>
      </c>
      <c r="V156" s="166">
        <f>AVERAGE(U162:V162)/V$11*V$190</f>
        <v/>
      </c>
      <c r="W156" s="166">
        <f>AVERAGE(V162:W162)/W$11*W$190</f>
        <v/>
      </c>
    </row>
    <row r="157">
      <c r="A157" s="386" t="n"/>
    </row>
    <row r="158">
      <c r="A158" s="385" t="inlineStr">
        <is>
          <t>CAPEX</t>
        </is>
      </c>
      <c r="B158" s="166" t="n"/>
      <c r="C158" s="166" t="n"/>
      <c r="D158" s="166" t="n"/>
      <c r="E158" s="166">
        <f>-E105</f>
        <v/>
      </c>
      <c r="F158" s="166">
        <f>-F105</f>
        <v/>
      </c>
      <c r="G158" s="166">
        <f>-G105</f>
        <v/>
      </c>
      <c r="H158" s="166">
        <f>-H105</f>
        <v/>
      </c>
      <c r="I158" s="166">
        <f>-I105</f>
        <v/>
      </c>
      <c r="J158" s="166">
        <f>-J105</f>
        <v/>
      </c>
      <c r="K158" s="166">
        <f>-K105</f>
        <v/>
      </c>
      <c r="L158" s="166">
        <f>-L105</f>
        <v/>
      </c>
      <c r="M158" s="166">
        <f>-M105</f>
        <v/>
      </c>
      <c r="N158" s="166">
        <f>-N105</f>
        <v/>
      </c>
      <c r="O158" s="166">
        <f>-O105</f>
        <v/>
      </c>
      <c r="P158" s="166">
        <f>-P105</f>
        <v/>
      </c>
      <c r="Q158" s="166">
        <f>-Q105</f>
        <v/>
      </c>
      <c r="R158" s="166">
        <f>-R105</f>
        <v/>
      </c>
      <c r="S158" s="166">
        <f>-S105</f>
        <v/>
      </c>
      <c r="T158" s="166">
        <f>-T105</f>
        <v/>
      </c>
      <c r="U158" s="166">
        <f>-U105</f>
        <v/>
      </c>
      <c r="V158" s="166">
        <f>-V105</f>
        <v/>
      </c>
      <c r="W158" s="166">
        <f>-W105</f>
        <v/>
      </c>
    </row>
    <row r="159" customFormat="1" s="432">
      <c r="A159" s="431" t="inlineStr">
        <is>
          <t>As % of sales (capital intensity)</t>
        </is>
      </c>
      <c r="B159" s="900" t="n"/>
      <c r="C159" s="900" t="n"/>
      <c r="D159" s="900" t="n"/>
      <c r="E159" s="900">
        <f>E158/E11</f>
        <v/>
      </c>
      <c r="F159" s="900">
        <f>F158/F11</f>
        <v/>
      </c>
      <c r="G159" s="900">
        <f>G158/G11</f>
        <v/>
      </c>
      <c r="H159" s="900">
        <f>H158/H11</f>
        <v/>
      </c>
      <c r="I159" s="900">
        <f>I158/I11</f>
        <v/>
      </c>
      <c r="J159" s="900">
        <f>J158/J11</f>
        <v/>
      </c>
      <c r="K159" s="900">
        <f>K158/K11</f>
        <v/>
      </c>
      <c r="L159" s="900">
        <f>L158/L11</f>
        <v/>
      </c>
      <c r="M159" s="900">
        <f>M158/M11</f>
        <v/>
      </c>
      <c r="N159" s="900">
        <f>N158/N11</f>
        <v/>
      </c>
      <c r="O159" s="900">
        <f>O158/O11</f>
        <v/>
      </c>
      <c r="P159" s="900">
        <f>P158/P11</f>
        <v/>
      </c>
      <c r="Q159" s="900">
        <f>Q158/Q11</f>
        <v/>
      </c>
      <c r="R159" s="900">
        <f>R158/R11</f>
        <v/>
      </c>
      <c r="S159" s="900">
        <f>S158/S11</f>
        <v/>
      </c>
      <c r="T159" s="900">
        <f>T158/T11</f>
        <v/>
      </c>
      <c r="U159" s="900">
        <f>U158/U11</f>
        <v/>
      </c>
      <c r="V159" s="900">
        <f>V158/V11</f>
        <v/>
      </c>
      <c r="W159" s="900">
        <f>W158/W11</f>
        <v/>
      </c>
    </row>
    <row r="160">
      <c r="A160" s="387" t="n"/>
      <c r="O160" s="166" t="n"/>
      <c r="P160" s="166" t="n"/>
      <c r="Q160" s="166" t="n"/>
      <c r="R160" s="166" t="n"/>
      <c r="S160" s="166" t="n"/>
    </row>
    <row r="161">
      <c r="A161" s="388" t="inlineStr">
        <is>
          <t>Invested capital, in which</t>
        </is>
      </c>
      <c r="B161" s="166" t="n"/>
      <c r="C161" s="166" t="n"/>
      <c r="D161" s="166" t="n"/>
      <c r="E161" s="166">
        <f>SUM(E162:E163)</f>
        <v/>
      </c>
      <c r="F161" s="166">
        <f>SUM(F162:F163)</f>
        <v/>
      </c>
      <c r="G161" s="166">
        <f>SUM(G162:G163)</f>
        <v/>
      </c>
      <c r="H161" s="166">
        <f>SUM(H162:H163)</f>
        <v/>
      </c>
      <c r="I161" s="166">
        <f>SUM(I162:I163)</f>
        <v/>
      </c>
      <c r="J161" s="166">
        <f>SUM(J162:J163)</f>
        <v/>
      </c>
      <c r="K161" s="166">
        <f>SUM(K162:K163)</f>
        <v/>
      </c>
      <c r="L161" s="166">
        <f>SUM(L162:L163)</f>
        <v/>
      </c>
      <c r="M161" s="166">
        <f>SUM(M162:M163)</f>
        <v/>
      </c>
      <c r="N161" s="166">
        <f>SUM(N162:N163)</f>
        <v/>
      </c>
      <c r="O161" s="166">
        <f>SUM(O162:O163)</f>
        <v/>
      </c>
      <c r="P161" s="166">
        <f>SUM(P162:P163)</f>
        <v/>
      </c>
      <c r="Q161" s="166">
        <f>SUM(Q162:Q163)</f>
        <v/>
      </c>
      <c r="R161" s="166">
        <f>SUM(R162:R163)</f>
        <v/>
      </c>
      <c r="S161" s="166">
        <f>SUM(S162:S163)</f>
        <v/>
      </c>
      <c r="T161" s="166">
        <f>SUM(T162:T163)</f>
        <v/>
      </c>
      <c r="U161" s="166">
        <f>SUM(U162:U163)</f>
        <v/>
      </c>
      <c r="V161" s="166">
        <f>SUM(V162:V163)</f>
        <v/>
      </c>
      <c r="W161" s="166">
        <f>SUM(W162:W163)</f>
        <v/>
      </c>
    </row>
    <row r="162">
      <c r="A162" s="386" t="inlineStr">
        <is>
          <t>Net working capital (current assets less cash - current liabilities less debt)</t>
        </is>
      </c>
      <c r="B162" s="166" t="n"/>
      <c r="C162" s="166" t="n"/>
      <c r="D162" s="166" t="n"/>
      <c r="E162" s="166">
        <f>SUM(E46:E50)-SUM(E59:E62)</f>
        <v/>
      </c>
      <c r="F162" s="166">
        <f>SUM(F46:F50)-SUM(F59:F62)</f>
        <v/>
      </c>
      <c r="G162" s="166">
        <f>SUM(G46:G50)-SUM(G59:G62)</f>
        <v/>
      </c>
      <c r="H162" s="166">
        <f>SUM(H46:H50)-SUM(H59:H62)</f>
        <v/>
      </c>
      <c r="I162" s="166">
        <f>SUM(I46:I50)-SUM(I59:I62)</f>
        <v/>
      </c>
      <c r="J162" s="166">
        <f>SUM(J46:J50)-SUM(J59:J62)</f>
        <v/>
      </c>
      <c r="K162" s="166">
        <f>SUM(K46:K50)-SUM(K59:K62)</f>
        <v/>
      </c>
      <c r="L162" s="166">
        <f>SUM(L46:L50)-SUM(L59:L62)</f>
        <v/>
      </c>
      <c r="M162" s="166">
        <f>SUM(M46:M50)-SUM(M59:M62)</f>
        <v/>
      </c>
      <c r="N162" s="166">
        <f>SUM(N46:N50)-SUM(N59:N62)</f>
        <v/>
      </c>
      <c r="O162" s="166">
        <f>SUM(O46:O50)-SUM(O59:O62)</f>
        <v/>
      </c>
      <c r="P162" s="166">
        <f>SUM(P46:P50)-SUM(P59:P62)</f>
        <v/>
      </c>
      <c r="Q162" s="166">
        <f>SUM(Q46:Q50)-SUM(Q59:Q62)</f>
        <v/>
      </c>
      <c r="R162" s="166">
        <f>SUM(R46:R50)-SUM(R59:R62)</f>
        <v/>
      </c>
      <c r="S162" s="166">
        <f>SUM(S46:S50)-SUM(S59:S62)</f>
        <v/>
      </c>
      <c r="T162" s="166">
        <f>SUM(T46:T50)-SUM(T59:T62)</f>
        <v/>
      </c>
      <c r="U162" s="166">
        <f>SUM(U46:U50)-SUM(U59:U62)</f>
        <v/>
      </c>
      <c r="V162" s="166">
        <f>SUM(V46:V50)-SUM(V59:V62)</f>
        <v/>
      </c>
      <c r="W162" s="166">
        <f>SUM(W46:W50)-SUM(W59:W62)</f>
        <v/>
      </c>
    </row>
    <row r="163">
      <c r="A163" s="386" t="inlineStr">
        <is>
          <t>Fixed assets</t>
        </is>
      </c>
      <c r="B163" s="166" t="n"/>
      <c r="C163" s="166" t="n"/>
      <c r="D163" s="166" t="n"/>
      <c r="E163" s="166">
        <f>SUM(E52:E55)</f>
        <v/>
      </c>
      <c r="F163" s="166">
        <f>SUM(F52:F55)</f>
        <v/>
      </c>
      <c r="G163" s="166">
        <f>SUM(G52:G55)</f>
        <v/>
      </c>
      <c r="H163" s="166">
        <f>SUM(H52:H55)</f>
        <v/>
      </c>
      <c r="I163" s="166">
        <f>SUM(I52:I55)</f>
        <v/>
      </c>
      <c r="J163" s="166">
        <f>SUM(J52:J55)</f>
        <v/>
      </c>
      <c r="K163" s="166">
        <f>SUM(K52:K55)</f>
        <v/>
      </c>
      <c r="L163" s="166">
        <f>SUM(L52:L55)</f>
        <v/>
      </c>
      <c r="M163" s="166">
        <f>SUM(M52:M55)</f>
        <v/>
      </c>
      <c r="N163" s="166">
        <f>SUM(N52:N55)</f>
        <v/>
      </c>
      <c r="O163" s="166">
        <f>SUM(O52:O55)</f>
        <v/>
      </c>
      <c r="P163" s="166">
        <f>SUM(P52:P55)</f>
        <v/>
      </c>
      <c r="Q163" s="166">
        <f>SUM(Q52:Q55)</f>
        <v/>
      </c>
      <c r="R163" s="166">
        <f>SUM(R52:R55)</f>
        <v/>
      </c>
      <c r="S163" s="166">
        <f>SUM(S52:S55)</f>
        <v/>
      </c>
      <c r="T163" s="166">
        <f>SUM(T52:T55)</f>
        <v/>
      </c>
      <c r="U163" s="166">
        <f>SUM(U52:U55)</f>
        <v/>
      </c>
      <c r="V163" s="166">
        <f>SUM(V52:V55)</f>
        <v/>
      </c>
      <c r="W163" s="166">
        <f>SUM(W52:W55)</f>
        <v/>
      </c>
    </row>
    <row r="164">
      <c r="A164" s="387" t="n"/>
    </row>
    <row r="165">
      <c r="A165" s="385" t="inlineStr">
        <is>
          <t>Net profit from operations</t>
        </is>
      </c>
      <c r="B165" s="166" t="n"/>
      <c r="C165" s="166" t="n"/>
      <c r="D165" s="166" t="n"/>
      <c r="E165" s="166">
        <f>E19</f>
        <v/>
      </c>
      <c r="F165" s="166">
        <f>F19</f>
        <v/>
      </c>
      <c r="G165" s="166">
        <f>G19</f>
        <v/>
      </c>
      <c r="H165" s="166">
        <f>H19</f>
        <v/>
      </c>
      <c r="I165" s="166">
        <f>I19</f>
        <v/>
      </c>
      <c r="J165" s="166">
        <f>J19</f>
        <v/>
      </c>
      <c r="K165" s="166">
        <f>K19</f>
        <v/>
      </c>
      <c r="L165" s="166">
        <f>L19</f>
        <v/>
      </c>
      <c r="M165" s="166">
        <f>M19</f>
        <v/>
      </c>
      <c r="N165" s="166">
        <f>N19</f>
        <v/>
      </c>
      <c r="O165" s="166">
        <f>O19</f>
        <v/>
      </c>
      <c r="P165" s="166">
        <f>P19</f>
        <v/>
      </c>
      <c r="Q165" s="166">
        <f>Q19</f>
        <v/>
      </c>
      <c r="R165" s="166">
        <f>R19</f>
        <v/>
      </c>
      <c r="S165" s="166">
        <f>S19</f>
        <v/>
      </c>
      <c r="T165" s="166">
        <f>T19</f>
        <v/>
      </c>
      <c r="U165" s="166">
        <f>U19</f>
        <v/>
      </c>
      <c r="V165" s="166">
        <f>V19</f>
        <v/>
      </c>
      <c r="W165" s="166">
        <f>W19</f>
        <v/>
      </c>
    </row>
    <row r="166" customFormat="1" s="499">
      <c r="A166" s="546" t="inlineStr">
        <is>
          <t>Income tax rate</t>
        </is>
      </c>
      <c r="B166" s="901" t="n"/>
      <c r="C166" s="902" t="n"/>
      <c r="D166" s="902" t="n"/>
      <c r="E166" s="900">
        <f>-E24/E23</f>
        <v/>
      </c>
      <c r="F166" s="900">
        <f>-F24/F23</f>
        <v/>
      </c>
      <c r="G166" s="900">
        <f>-G24/G23</f>
        <v/>
      </c>
      <c r="H166" s="900">
        <f>-H24/H23</f>
        <v/>
      </c>
      <c r="I166" s="900">
        <f>-I24/I23</f>
        <v/>
      </c>
      <c r="J166" s="900">
        <f>-J24/J23</f>
        <v/>
      </c>
      <c r="K166" s="900">
        <f>-K24/K23</f>
        <v/>
      </c>
      <c r="L166" s="900">
        <f>-L24/L23</f>
        <v/>
      </c>
      <c r="M166" s="900">
        <f>-M24/M23</f>
        <v/>
      </c>
      <c r="N166" s="900">
        <f>-N24/N23</f>
        <v/>
      </c>
      <c r="O166" s="900">
        <f>-O24/O23</f>
        <v/>
      </c>
      <c r="P166" s="900">
        <f>-P24/P23</f>
        <v/>
      </c>
      <c r="Q166" s="900">
        <f>-Q24/Q23</f>
        <v/>
      </c>
      <c r="R166" s="900">
        <f>-R24/R23</f>
        <v/>
      </c>
      <c r="S166" s="900">
        <f>-S24/S23</f>
        <v/>
      </c>
      <c r="T166" s="900">
        <f>-T24/T23</f>
        <v/>
      </c>
      <c r="U166" s="900">
        <f>-U24/U23</f>
        <v/>
      </c>
      <c r="V166" s="900">
        <f>-V24/V23</f>
        <v/>
      </c>
      <c r="W166" s="900">
        <f>-W24/W23</f>
        <v/>
      </c>
    </row>
    <row r="167" customFormat="1" s="21">
      <c r="A167" s="385" t="inlineStr">
        <is>
          <t>NOPLAT</t>
        </is>
      </c>
      <c r="B167" s="343" t="n"/>
      <c r="C167" s="343" t="n"/>
      <c r="D167" s="343" t="n"/>
      <c r="E167" s="343">
        <f>E165*(1-E166)</f>
        <v/>
      </c>
      <c r="F167" s="343">
        <f>F165*(1-F166)</f>
        <v/>
      </c>
      <c r="G167" s="343">
        <f>G165*(1-G166)</f>
        <v/>
      </c>
      <c r="H167" s="343">
        <f>H165*(1-H166)</f>
        <v/>
      </c>
      <c r="I167" s="343">
        <f>I165*(1-I166)</f>
        <v/>
      </c>
      <c r="J167" s="343">
        <f>J165*(1-J166)</f>
        <v/>
      </c>
      <c r="K167" s="343">
        <f>K165*(1-K166)</f>
        <v/>
      </c>
      <c r="L167" s="343">
        <f>L165*(1-L166)</f>
        <v/>
      </c>
      <c r="M167" s="343">
        <f>M165*(1-M166)</f>
        <v/>
      </c>
      <c r="N167" s="343">
        <f>N165*(1-N166)</f>
        <v/>
      </c>
      <c r="O167" s="343">
        <f>O165*(1-O166)</f>
        <v/>
      </c>
      <c r="P167" s="343">
        <f>P165*(1-P166)</f>
        <v/>
      </c>
      <c r="Q167" s="343">
        <f>Q165*(1-Q166)</f>
        <v/>
      </c>
      <c r="R167" s="343">
        <f>R165*(1-R166)</f>
        <v/>
      </c>
      <c r="S167" s="343">
        <f>S165*(1-S166)</f>
        <v/>
      </c>
      <c r="T167" s="343">
        <f>T165*(1-T166)</f>
        <v/>
      </c>
      <c r="U167" s="343">
        <f>U165*(1-U166)</f>
        <v/>
      </c>
      <c r="V167" s="343">
        <f>V165*(1-V166)</f>
        <v/>
      </c>
      <c r="W167" s="343">
        <f>W165*(1-W166)</f>
        <v/>
      </c>
    </row>
    <row r="168">
      <c r="A168" s="389" t="inlineStr">
        <is>
          <t>Add: Non-cash charges, incl. depreciation and amortization</t>
        </is>
      </c>
      <c r="B168" s="166" t="n"/>
      <c r="C168" s="166" t="n"/>
      <c r="D168" s="166" t="n"/>
      <c r="E168" s="166">
        <f>SUM(E93:E95)</f>
        <v/>
      </c>
      <c r="F168" s="166">
        <f>SUM(F93:F95)</f>
        <v/>
      </c>
      <c r="G168" s="166">
        <f>SUM(G93:G95)</f>
        <v/>
      </c>
      <c r="H168" s="166">
        <f>SUM(H93:H95)</f>
        <v/>
      </c>
      <c r="I168" s="166">
        <f>SUM(I93:I95)</f>
        <v/>
      </c>
      <c r="J168" s="166">
        <f>SUM(J93:J95)</f>
        <v/>
      </c>
      <c r="K168" s="166">
        <f>SUM(K93:K95)</f>
        <v/>
      </c>
      <c r="L168" s="166">
        <f>SUM(L93:L95)</f>
        <v/>
      </c>
      <c r="M168" s="166">
        <f>SUM(M93:M95)</f>
        <v/>
      </c>
      <c r="N168" s="166">
        <f>SUM(N93:N95)</f>
        <v/>
      </c>
      <c r="O168" s="166">
        <f>SUM(O93:O95)</f>
        <v/>
      </c>
      <c r="P168" s="166">
        <f>SUM(P93:P95)</f>
        <v/>
      </c>
      <c r="Q168" s="166">
        <f>SUM(Q93:Q95)</f>
        <v/>
      </c>
      <c r="R168" s="166">
        <f>SUM(R93:R95)</f>
        <v/>
      </c>
      <c r="S168" s="166">
        <f>SUM(S93:S95)</f>
        <v/>
      </c>
      <c r="T168" s="166">
        <f>SUM(T93:T95)</f>
        <v/>
      </c>
      <c r="U168" s="166">
        <f>SUM(U93:U95)</f>
        <v/>
      </c>
      <c r="V168" s="166">
        <f>SUM(V93:V95)</f>
        <v/>
      </c>
      <c r="W168" s="166">
        <f>SUM(W93:W95)</f>
        <v/>
      </c>
    </row>
    <row r="169" customFormat="1" s="21">
      <c r="A169" s="385" t="inlineStr">
        <is>
          <t>Gross cash flow</t>
        </is>
      </c>
      <c r="B169" s="342" t="n"/>
      <c r="C169" s="342" t="n"/>
      <c r="D169" s="342" t="n"/>
      <c r="E169" s="342">
        <f>E167+E168</f>
        <v/>
      </c>
      <c r="F169" s="342">
        <f>F167+F168</f>
        <v/>
      </c>
      <c r="G169" s="342">
        <f>G167+G168</f>
        <v/>
      </c>
      <c r="H169" s="342">
        <f>H167+H168</f>
        <v/>
      </c>
      <c r="I169" s="342">
        <f>I167+I168</f>
        <v/>
      </c>
      <c r="J169" s="342">
        <f>J167+J168</f>
        <v/>
      </c>
      <c r="K169" s="342">
        <f>K167+K168</f>
        <v/>
      </c>
      <c r="L169" s="342">
        <f>L167+L168</f>
        <v/>
      </c>
      <c r="M169" s="342">
        <f>M167+M168</f>
        <v/>
      </c>
      <c r="N169" s="342">
        <f>N167+N168</f>
        <v/>
      </c>
      <c r="O169" s="342">
        <f>O167+O168</f>
        <v/>
      </c>
      <c r="P169" s="342">
        <f>P167+P168</f>
        <v/>
      </c>
      <c r="Q169" s="342">
        <f>Q167+Q168</f>
        <v/>
      </c>
      <c r="R169" s="342">
        <f>R167+R168</f>
        <v/>
      </c>
      <c r="S169" s="342">
        <f>S167+S168</f>
        <v/>
      </c>
      <c r="T169" s="342">
        <f>T167+T168</f>
        <v/>
      </c>
      <c r="U169" s="342">
        <f>U167+U168</f>
        <v/>
      </c>
      <c r="V169" s="342">
        <f>V167+V168</f>
        <v/>
      </c>
      <c r="W169" s="342">
        <f>W167+W168</f>
        <v/>
      </c>
    </row>
    <row r="170" customFormat="1" s="21">
      <c r="A170" s="385" t="inlineStr">
        <is>
          <t>Gross investment, including</t>
        </is>
      </c>
      <c r="B170" s="343" t="n"/>
      <c r="C170" s="343" t="n"/>
      <c r="D170" s="343" t="n"/>
      <c r="E170" s="343">
        <f>SUM(E171:E172)</f>
        <v/>
      </c>
      <c r="F170" s="343">
        <f>SUM(F171:F172)</f>
        <v/>
      </c>
      <c r="G170" s="343">
        <f>SUM(G171:G172)</f>
        <v/>
      </c>
      <c r="H170" s="343">
        <f>SUM(H171:H172)</f>
        <v/>
      </c>
      <c r="I170" s="343">
        <f>SUM(I171:I172)</f>
        <v/>
      </c>
      <c r="J170" s="343">
        <f>SUM(J171:J172)</f>
        <v/>
      </c>
      <c r="K170" s="343">
        <f>SUM(K171:K172)</f>
        <v/>
      </c>
      <c r="L170" s="343">
        <f>SUM(L171:L172)</f>
        <v/>
      </c>
      <c r="M170" s="343">
        <f>SUM(M171:M172)</f>
        <v/>
      </c>
      <c r="N170" s="343">
        <f>SUM(N171:N172)</f>
        <v/>
      </c>
      <c r="O170" s="343">
        <f>SUM(O171:O172)</f>
        <v/>
      </c>
      <c r="P170" s="343">
        <f>SUM(P171:P172)</f>
        <v/>
      </c>
      <c r="Q170" s="343">
        <f>SUM(Q171:Q172)</f>
        <v/>
      </c>
      <c r="R170" s="343">
        <f>SUM(R171:R172)</f>
        <v/>
      </c>
      <c r="S170" s="343">
        <f>SUM(S171:S172)</f>
        <v/>
      </c>
      <c r="T170" s="343">
        <f>SUM(T171:T172)</f>
        <v/>
      </c>
      <c r="U170" s="343">
        <f>SUM(U171:U172)</f>
        <v/>
      </c>
      <c r="V170" s="343">
        <f>SUM(V171:V172)</f>
        <v/>
      </c>
      <c r="W170" s="343">
        <f>SUM(W171:W172)</f>
        <v/>
      </c>
    </row>
    <row r="171">
      <c r="A171" s="386" t="inlineStr">
        <is>
          <t>(Increase) in net working capital</t>
        </is>
      </c>
      <c r="B171" s="166" t="n"/>
      <c r="C171" s="166" t="n"/>
      <c r="D171" s="166" t="n"/>
      <c r="E171" s="166">
        <f>SUM(E97:E101)</f>
        <v/>
      </c>
      <c r="F171" s="166">
        <f>SUM(F97:F101)</f>
        <v/>
      </c>
      <c r="G171" s="166">
        <f>SUM(G97:G101)</f>
        <v/>
      </c>
      <c r="H171" s="166">
        <f>SUM(H97:H101)</f>
        <v/>
      </c>
      <c r="I171" s="166">
        <f>SUM(I97:I101)</f>
        <v/>
      </c>
      <c r="J171" s="166">
        <f>SUM(J97:J101)</f>
        <v/>
      </c>
      <c r="K171" s="166">
        <f>SUM(K97:K101)</f>
        <v/>
      </c>
      <c r="L171" s="166">
        <f>SUM(L97:L101)</f>
        <v/>
      </c>
      <c r="M171" s="166">
        <f>SUM(M97:M101)</f>
        <v/>
      </c>
      <c r="N171" s="166">
        <f>SUM(N97:N101)</f>
        <v/>
      </c>
      <c r="O171" s="166">
        <f>SUM(O97:O101)</f>
        <v/>
      </c>
      <c r="P171" s="166">
        <f>SUM(P97:P101)</f>
        <v/>
      </c>
      <c r="Q171" s="166">
        <f>SUM(Q97:Q101)</f>
        <v/>
      </c>
      <c r="R171" s="166">
        <f>SUM(R97:R101)</f>
        <v/>
      </c>
      <c r="S171" s="166">
        <f>SUM(S97:S101)</f>
        <v/>
      </c>
      <c r="T171" s="166">
        <f>SUM(T97:T101)</f>
        <v/>
      </c>
      <c r="U171" s="166">
        <f>SUM(U97:U101)</f>
        <v/>
      </c>
      <c r="V171" s="166">
        <f>SUM(V97:V101)</f>
        <v/>
      </c>
      <c r="W171" s="166">
        <f>SUM(W97:W101)</f>
        <v/>
      </c>
    </row>
    <row r="172">
      <c r="A172" s="386" t="inlineStr">
        <is>
          <t>(Capex)</t>
        </is>
      </c>
      <c r="B172" s="166" t="n"/>
      <c r="C172" s="166" t="n"/>
      <c r="D172" s="166" t="n"/>
      <c r="E172" s="166">
        <f>-E158</f>
        <v/>
      </c>
      <c r="F172" s="166">
        <f>-F158</f>
        <v/>
      </c>
      <c r="G172" s="166">
        <f>-G158</f>
        <v/>
      </c>
      <c r="H172" s="166">
        <f>-H158</f>
        <v/>
      </c>
      <c r="I172" s="166">
        <f>-I158</f>
        <v/>
      </c>
      <c r="J172" s="166">
        <f>-J158</f>
        <v/>
      </c>
      <c r="K172" s="166">
        <f>-K158</f>
        <v/>
      </c>
      <c r="L172" s="166">
        <f>-L158</f>
        <v/>
      </c>
      <c r="M172" s="166">
        <f>-M158</f>
        <v/>
      </c>
      <c r="N172" s="166">
        <f>-N158</f>
        <v/>
      </c>
      <c r="O172" s="166">
        <f>-O158</f>
        <v/>
      </c>
      <c r="P172" s="166">
        <f>-P158</f>
        <v/>
      </c>
      <c r="Q172" s="166">
        <f>-Q158</f>
        <v/>
      </c>
      <c r="R172" s="166">
        <f>-R158</f>
        <v/>
      </c>
      <c r="S172" s="166">
        <f>-S158</f>
        <v/>
      </c>
      <c r="T172" s="166">
        <f>-T158</f>
        <v/>
      </c>
      <c r="U172" s="166">
        <f>-U158</f>
        <v/>
      </c>
      <c r="V172" s="166">
        <f>-V158</f>
        <v/>
      </c>
      <c r="W172" s="166">
        <f>-W158</f>
        <v/>
      </c>
    </row>
    <row r="173">
      <c r="A173" s="385" t="inlineStr">
        <is>
          <t>FCF</t>
        </is>
      </c>
      <c r="D173" s="128" t="n"/>
      <c r="E173" s="128">
        <f>E169+E170</f>
        <v/>
      </c>
      <c r="F173" s="128">
        <f>F169+F170</f>
        <v/>
      </c>
      <c r="G173" s="128">
        <f>G169+G170</f>
        <v/>
      </c>
      <c r="H173" s="128">
        <f>H169+H170</f>
        <v/>
      </c>
      <c r="I173" s="128">
        <f>I169+I170</f>
        <v/>
      </c>
      <c r="J173" s="128">
        <f>J169+J170</f>
        <v/>
      </c>
      <c r="K173" s="128">
        <f>K169+K170</f>
        <v/>
      </c>
      <c r="L173" s="128">
        <f>L169+L170</f>
        <v/>
      </c>
      <c r="M173" s="128">
        <f>M169+M170</f>
        <v/>
      </c>
      <c r="N173" s="128">
        <f>N169+N170</f>
        <v/>
      </c>
      <c r="O173" s="128">
        <f>O169+O170</f>
        <v/>
      </c>
      <c r="P173" s="128">
        <f>P169+P170</f>
        <v/>
      </c>
      <c r="Q173" s="128">
        <f>Q169+Q170</f>
        <v/>
      </c>
      <c r="R173" s="128">
        <f>R169+R170</f>
        <v/>
      </c>
      <c r="S173" s="128">
        <f>S169+S170</f>
        <v/>
      </c>
      <c r="T173" s="128">
        <f>T169+T170</f>
        <v/>
      </c>
      <c r="U173" s="128">
        <f>U169+U170</f>
        <v/>
      </c>
      <c r="V173" s="128">
        <f>V169+V170</f>
        <v/>
      </c>
      <c r="W173" s="128">
        <f>W169+W170</f>
        <v/>
      </c>
    </row>
    <row r="174">
      <c r="A174" s="386" t="inlineStr">
        <is>
          <t>(Increase) in working cash</t>
        </is>
      </c>
      <c r="D174" s="166" t="n"/>
      <c r="E174" s="166">
        <f>D141-E141</f>
        <v/>
      </c>
      <c r="F174" s="166">
        <f>E141-F141</f>
        <v/>
      </c>
      <c r="G174" s="166">
        <f>F141-G141</f>
        <v/>
      </c>
      <c r="H174" s="166">
        <f>G141-H141</f>
        <v/>
      </c>
      <c r="I174" s="166">
        <f>H141-I141</f>
        <v/>
      </c>
      <c r="J174" s="166">
        <f>I141-J141</f>
        <v/>
      </c>
      <c r="K174" s="166">
        <f>J141-K141</f>
        <v/>
      </c>
      <c r="L174" s="166">
        <f>K141-L141</f>
        <v/>
      </c>
      <c r="M174" s="166">
        <f>L141-M141</f>
        <v/>
      </c>
      <c r="N174" s="166">
        <f>M141-N141</f>
        <v/>
      </c>
      <c r="O174" s="166">
        <f>N141-O141</f>
        <v/>
      </c>
      <c r="P174" s="166">
        <f>O141-P141</f>
        <v/>
      </c>
      <c r="Q174" s="166">
        <f>P141-Q141</f>
        <v/>
      </c>
      <c r="R174" s="166">
        <f>Q141-R141</f>
        <v/>
      </c>
      <c r="S174" s="166">
        <f>R141-S141</f>
        <v/>
      </c>
      <c r="T174" s="166">
        <f>S141-T141</f>
        <v/>
      </c>
      <c r="U174" s="166">
        <f>T141-U141</f>
        <v/>
      </c>
      <c r="V174" s="166">
        <f>U141-V141</f>
        <v/>
      </c>
      <c r="W174" s="166">
        <f>V141-W141</f>
        <v/>
      </c>
    </row>
    <row r="175">
      <c r="A175" s="393" t="inlineStr">
        <is>
          <t>FCF (net of working cash)</t>
        </is>
      </c>
      <c r="D175" s="166" t="n"/>
      <c r="E175" s="166">
        <f>SUM(E173:E174)</f>
        <v/>
      </c>
      <c r="F175" s="166">
        <f>SUM(F173:F174)</f>
        <v/>
      </c>
      <c r="G175" s="166">
        <f>SUM(G173:G174)</f>
        <v/>
      </c>
      <c r="H175" s="166">
        <f>SUM(H173:H174)</f>
        <v/>
      </c>
      <c r="I175" s="166">
        <f>SUM(I173:I174)</f>
        <v/>
      </c>
      <c r="J175" s="166">
        <f>SUM(J173:J174)</f>
        <v/>
      </c>
      <c r="K175" s="166">
        <f>SUM(K173:K174)</f>
        <v/>
      </c>
      <c r="L175" s="166">
        <f>SUM(L173:L174)</f>
        <v/>
      </c>
      <c r="M175" s="166">
        <f>SUM(M173:M174)</f>
        <v/>
      </c>
      <c r="N175" s="166">
        <f>SUM(N173:N174)</f>
        <v/>
      </c>
      <c r="O175" s="166">
        <f>SUM(O173:O174)</f>
        <v/>
      </c>
      <c r="P175" s="166">
        <f>SUM(P173:P174)</f>
        <v/>
      </c>
      <c r="Q175" s="166">
        <f>SUM(Q173:Q174)</f>
        <v/>
      </c>
      <c r="R175" s="166">
        <f>SUM(R173:R174)</f>
        <v/>
      </c>
      <c r="S175" s="166">
        <f>SUM(S173:S174)</f>
        <v/>
      </c>
      <c r="T175" s="166">
        <f>SUM(T173:T174)</f>
        <v/>
      </c>
      <c r="U175" s="166">
        <f>SUM(U173:U174)</f>
        <v/>
      </c>
      <c r="V175" s="166">
        <f>SUM(V173:V174)</f>
        <v/>
      </c>
      <c r="W175" s="166">
        <f>SUM(W173:W174)</f>
        <v/>
      </c>
    </row>
    <row r="176">
      <c r="A176" s="393" t="inlineStr">
        <is>
          <t>FCF (alt. NOPLAT - NET CHANGE IN IC)</t>
        </is>
      </c>
      <c r="D176" s="166" t="n"/>
      <c r="E176" s="166">
        <f>E167-(E161-D161)</f>
        <v/>
      </c>
      <c r="F176" s="166">
        <f>F167-(F161-E161)</f>
        <v/>
      </c>
      <c r="G176" s="166">
        <f>G167-(G161-F161)</f>
        <v/>
      </c>
      <c r="H176" s="166">
        <f>H167-(H161-G161)</f>
        <v/>
      </c>
      <c r="I176" s="166">
        <f>I167-(I161-H161)</f>
        <v/>
      </c>
      <c r="J176" s="166">
        <f>J167-(J161-I161)</f>
        <v/>
      </c>
      <c r="K176" s="166">
        <f>K167-(K161-J161)</f>
        <v/>
      </c>
      <c r="L176" s="166">
        <f>L167-(L161-K161)</f>
        <v/>
      </c>
      <c r="M176" s="166">
        <f>M167-(M161-L161)</f>
        <v/>
      </c>
      <c r="N176" s="166">
        <f>N167-(N161-M161)</f>
        <v/>
      </c>
      <c r="O176" s="166">
        <f>O167-(O161-N161)</f>
        <v/>
      </c>
      <c r="P176" s="166">
        <f>P167-(P161-O161)</f>
        <v/>
      </c>
      <c r="Q176" s="166">
        <f>Q167-(Q161-P161)</f>
        <v/>
      </c>
      <c r="R176" s="166">
        <f>R167-(R161-Q161)</f>
        <v/>
      </c>
      <c r="S176" s="166">
        <f>S167-(S161-R161)</f>
        <v/>
      </c>
      <c r="T176" s="166">
        <f>T167-(T161-S161)</f>
        <v/>
      </c>
      <c r="U176" s="166">
        <f>U167-(U161-T161)</f>
        <v/>
      </c>
      <c r="V176" s="166">
        <f>V167-(V161-U161)</f>
        <v/>
      </c>
      <c r="W176" s="166">
        <f>W167-(W161-V161)</f>
        <v/>
      </c>
    </row>
    <row r="177" customFormat="1" s="432">
      <c r="A177" s="436" t="inlineStr">
        <is>
          <t>ROIC (excluding investment)</t>
        </is>
      </c>
      <c r="C177" s="433" t="n"/>
      <c r="D177" s="433" t="n"/>
      <c r="E177" s="903">
        <f>E167/AVERAGE(D160:E161)</f>
        <v/>
      </c>
      <c r="F177" s="903">
        <f>F167/AVERAGE(E160:F161)</f>
        <v/>
      </c>
      <c r="G177" s="903">
        <f>G167/AVERAGE(F160:G161)</f>
        <v/>
      </c>
      <c r="H177" s="903">
        <f>H167/AVERAGE(G160:H161)</f>
        <v/>
      </c>
      <c r="I177" s="903">
        <f>I167/AVERAGE(H160:I161)</f>
        <v/>
      </c>
      <c r="J177" s="903">
        <f>J167/AVERAGE(I160:J161)</f>
        <v/>
      </c>
      <c r="K177" s="903">
        <f>K167/AVERAGE(J160:K161)</f>
        <v/>
      </c>
      <c r="L177" s="903">
        <f>L167/AVERAGE(K160:L161)</f>
        <v/>
      </c>
      <c r="M177" s="903">
        <f>M167/AVERAGE(L160:M161)</f>
        <v/>
      </c>
      <c r="N177" s="903">
        <f>N167/AVERAGE(M160:N161)</f>
        <v/>
      </c>
      <c r="O177" s="903">
        <f>O167/AVERAGE(N160:O161)</f>
        <v/>
      </c>
      <c r="P177" s="903">
        <f>P167/AVERAGE(O160:P161)</f>
        <v/>
      </c>
      <c r="Q177" s="903">
        <f>Q167/AVERAGE(P160:Q161)</f>
        <v/>
      </c>
      <c r="R177" s="903">
        <f>R167/AVERAGE(Q160:R161)</f>
        <v/>
      </c>
      <c r="S177" s="903">
        <f>S167/AVERAGE(R160:S161)</f>
        <v/>
      </c>
      <c r="T177" s="903">
        <f>T167/AVERAGE(S160:T161)</f>
        <v/>
      </c>
      <c r="U177" s="903">
        <f>U167/AVERAGE(T160:U161)</f>
        <v/>
      </c>
      <c r="V177" s="903">
        <f>V167/AVERAGE(U160:V161)</f>
        <v/>
      </c>
      <c r="W177" s="903">
        <f>W167/AVERAGE(V160:W161)</f>
        <v/>
      </c>
    </row>
    <row r="178" customFormat="1" s="432">
      <c r="A178" s="436" t="inlineStr">
        <is>
          <t>ROE</t>
        </is>
      </c>
      <c r="B178" s="433" t="n"/>
      <c r="C178" s="433" t="n"/>
      <c r="D178" s="433" t="n"/>
      <c r="E178" s="903">
        <f>E25/AVERAGE(D75:E75)</f>
        <v/>
      </c>
      <c r="F178" s="903">
        <f>F25/AVERAGE(E75:F75)</f>
        <v/>
      </c>
      <c r="G178" s="903">
        <f>G25/AVERAGE(F75:G75)</f>
        <v/>
      </c>
      <c r="H178" s="903">
        <f>H25/AVERAGE(G75:H75)</f>
        <v/>
      </c>
      <c r="I178" s="903">
        <f>I25/AVERAGE(H75:I75)</f>
        <v/>
      </c>
      <c r="J178" s="903">
        <f>J25/AVERAGE(I75:J75)</f>
        <v/>
      </c>
      <c r="K178" s="903">
        <f>K25/AVERAGE(J75:K75)</f>
        <v/>
      </c>
      <c r="L178" s="903">
        <f>L25/AVERAGE(K75:L75)</f>
        <v/>
      </c>
      <c r="M178" s="903">
        <f>M25/AVERAGE(L75:M75)</f>
        <v/>
      </c>
      <c r="N178" s="903">
        <f>N25/AVERAGE(M75:N75)</f>
        <v/>
      </c>
      <c r="O178" s="903">
        <f>O25/AVERAGE(N75:O75)</f>
        <v/>
      </c>
      <c r="P178" s="903">
        <f>P25/AVERAGE(O75:P75)</f>
        <v/>
      </c>
      <c r="Q178" s="903">
        <f>Q25/AVERAGE(P75:Q75)</f>
        <v/>
      </c>
      <c r="R178" s="903">
        <f>R25/AVERAGE(Q75:R75)</f>
        <v/>
      </c>
      <c r="S178" s="903">
        <f>S25/AVERAGE(R75:S75)</f>
        <v/>
      </c>
      <c r="T178" s="903">
        <f>T25/AVERAGE(S75:T75)</f>
        <v/>
      </c>
      <c r="U178" s="903">
        <f>U25/AVERAGE(T75:U75)</f>
        <v/>
      </c>
      <c r="V178" s="903">
        <f>V25/AVERAGE(U75:V75)</f>
        <v/>
      </c>
      <c r="W178" s="903">
        <f>W25/AVERAGE(V75:W75)</f>
        <v/>
      </c>
    </row>
    <row r="179" customFormat="1" s="432">
      <c r="A179" s="437" t="inlineStr">
        <is>
          <t>FCF margin</t>
        </is>
      </c>
      <c r="E179" s="904">
        <f>E173/E11</f>
        <v/>
      </c>
      <c r="F179" s="904">
        <f>F173/F11</f>
        <v/>
      </c>
      <c r="G179" s="904">
        <f>G173/G11</f>
        <v/>
      </c>
      <c r="H179" s="904">
        <f>H173/H11</f>
        <v/>
      </c>
      <c r="I179" s="904">
        <f>I173/I11</f>
        <v/>
      </c>
      <c r="J179" s="904">
        <f>J173/J11</f>
        <v/>
      </c>
      <c r="K179" s="904">
        <f>K173/K11</f>
        <v/>
      </c>
      <c r="L179" s="904">
        <f>L173/L11</f>
        <v/>
      </c>
      <c r="M179" s="904">
        <f>M173/M11</f>
        <v/>
      </c>
      <c r="N179" s="904">
        <f>N173/N11</f>
        <v/>
      </c>
      <c r="O179" s="904">
        <f>O173/O11</f>
        <v/>
      </c>
      <c r="P179" s="904">
        <f>P173/P11</f>
        <v/>
      </c>
      <c r="Q179" s="904">
        <f>Q173/Q11</f>
        <v/>
      </c>
      <c r="R179" s="904">
        <f>R173/R11</f>
        <v/>
      </c>
      <c r="S179" s="904">
        <f>S173/S11</f>
        <v/>
      </c>
      <c r="T179" s="904">
        <f>T173/T11</f>
        <v/>
      </c>
      <c r="U179" s="904">
        <f>U173/U11</f>
        <v/>
      </c>
      <c r="V179" s="904">
        <f>V173/V11</f>
        <v/>
      </c>
      <c r="W179" s="904">
        <f>W173/W11</f>
        <v/>
      </c>
    </row>
    <row r="180" customFormat="1" s="432">
      <c r="A180" s="437" t="n"/>
      <c r="F180" s="904" t="n"/>
      <c r="G180" s="904" t="n"/>
      <c r="H180" s="904" t="n"/>
      <c r="I180" s="904" t="n"/>
      <c r="J180" s="904" t="n"/>
      <c r="K180" s="904" t="n"/>
      <c r="L180" s="904" t="n"/>
      <c r="M180" s="904" t="n"/>
      <c r="N180" s="904" t="n"/>
      <c r="O180" s="904" t="n"/>
      <c r="P180" s="904" t="n"/>
      <c r="Q180" s="904" t="n"/>
      <c r="R180" s="904" t="n"/>
      <c r="S180" s="904" t="n"/>
      <c r="T180" s="904" t="n"/>
      <c r="U180" s="904" t="n"/>
      <c r="V180" s="904" t="n"/>
      <c r="W180" s="904" t="n"/>
    </row>
    <row r="181" customFormat="1" s="432">
      <c r="A181" s="385" t="inlineStr">
        <is>
          <t>BVPS(basic)</t>
        </is>
      </c>
      <c r="E181" s="550">
        <f>E$75/E32</f>
        <v/>
      </c>
      <c r="F181" s="550">
        <f>F$75/F32</f>
        <v/>
      </c>
      <c r="G181" s="550">
        <f>G$75/G32</f>
        <v/>
      </c>
      <c r="H181" s="550">
        <f>H$75/H32</f>
        <v/>
      </c>
      <c r="I181" s="550">
        <f>I$75/I32</f>
        <v/>
      </c>
      <c r="J181" s="550">
        <f>J$75/J32</f>
        <v/>
      </c>
      <c r="K181" s="550">
        <f>K$75/K32</f>
        <v/>
      </c>
      <c r="L181" s="550">
        <f>L$75/L32</f>
        <v/>
      </c>
      <c r="M181" s="550">
        <f>M$75/M32</f>
        <v/>
      </c>
      <c r="N181" s="550">
        <f>N$75/N32</f>
        <v/>
      </c>
      <c r="O181" s="550">
        <f>O$75/O32</f>
        <v/>
      </c>
      <c r="P181" s="550">
        <f>P$75/P32</f>
        <v/>
      </c>
      <c r="Q181" s="550">
        <f>Q$75/Q32</f>
        <v/>
      </c>
      <c r="R181" s="550">
        <f>R$75/R32</f>
        <v/>
      </c>
      <c r="S181" s="550">
        <f>S$75/S32</f>
        <v/>
      </c>
      <c r="T181" s="550">
        <f>T$75/T32</f>
        <v/>
      </c>
      <c r="U181" s="550">
        <f>U$75/U32</f>
        <v/>
      </c>
      <c r="V181" s="550">
        <f>V$75/V32</f>
        <v/>
      </c>
      <c r="W181" s="550">
        <f>W$75/W32</f>
        <v/>
      </c>
    </row>
    <row r="182" customFormat="1" s="432">
      <c r="A182" s="385" t="inlineStr">
        <is>
          <t>BVPS(diluted)</t>
        </is>
      </c>
      <c r="E182" s="550">
        <f>E$75/E33</f>
        <v/>
      </c>
      <c r="F182" s="550">
        <f>F$75/F33</f>
        <v/>
      </c>
      <c r="G182" s="550">
        <f>G$75/G33</f>
        <v/>
      </c>
      <c r="H182" s="550">
        <f>H$75/H33</f>
        <v/>
      </c>
      <c r="I182" s="550">
        <f>I$75/I33</f>
        <v/>
      </c>
      <c r="J182" s="550">
        <f>J$75/J33</f>
        <v/>
      </c>
      <c r="K182" s="550">
        <f>K$75/K33</f>
        <v/>
      </c>
      <c r="L182" s="550">
        <f>L$75/L33</f>
        <v/>
      </c>
      <c r="M182" s="550">
        <f>M$75/M33</f>
        <v/>
      </c>
      <c r="N182" s="550">
        <f>N$75/N33</f>
        <v/>
      </c>
      <c r="O182" s="550">
        <f>O$75/O33</f>
        <v/>
      </c>
      <c r="P182" s="550">
        <f>P$75/P33</f>
        <v/>
      </c>
      <c r="Q182" s="550">
        <f>Q$75/Q33</f>
        <v/>
      </c>
      <c r="R182" s="550">
        <f>R$75/R33</f>
        <v/>
      </c>
      <c r="S182" s="550">
        <f>S$75/S33</f>
        <v/>
      </c>
      <c r="T182" s="550">
        <f>T$75/T33</f>
        <v/>
      </c>
      <c r="U182" s="550">
        <f>U$75/U33</f>
        <v/>
      </c>
      <c r="V182" s="550">
        <f>V$75/V33</f>
        <v/>
      </c>
      <c r="W182" s="550">
        <f>W$75/W33</f>
        <v/>
      </c>
    </row>
    <row r="183" customFormat="1" s="432">
      <c r="A183" s="385" t="n"/>
      <c r="E183" s="550" t="n"/>
      <c r="F183" s="550" t="n"/>
      <c r="G183" s="550" t="n"/>
      <c r="H183" s="550" t="n"/>
      <c r="I183" s="550" t="n"/>
      <c r="J183" s="550" t="n"/>
      <c r="K183" s="550" t="n"/>
      <c r="L183" s="550" t="n"/>
      <c r="M183" s="550" t="n"/>
      <c r="N183" s="550" t="n"/>
      <c r="O183" s="550" t="n"/>
      <c r="P183" s="550" t="n"/>
      <c r="Q183" s="550" t="n"/>
      <c r="R183" s="550" t="n"/>
      <c r="S183" s="550" t="n"/>
      <c r="T183" s="550" t="n"/>
      <c r="U183" s="550" t="n"/>
      <c r="V183" s="550" t="n"/>
      <c r="W183" s="550" t="n"/>
    </row>
    <row r="184" customFormat="1" s="432">
      <c r="A184" s="385" t="inlineStr">
        <is>
          <t>DOL (Degree of operating leverage)</t>
        </is>
      </c>
      <c r="E184" s="550" t="n"/>
      <c r="F184" s="472">
        <f>(F19/E19-1)/(F11/E11-1)</f>
        <v/>
      </c>
      <c r="G184" s="472">
        <f>(G19/F19-1)/(G11/F11-1)</f>
        <v/>
      </c>
      <c r="H184" s="472">
        <f>(H19/G19-1)/(H11/G11-1)</f>
        <v/>
      </c>
      <c r="I184" s="472">
        <f>(I19/H19-1)/(I11/H11-1)</f>
        <v/>
      </c>
      <c r="J184" s="472">
        <f>(J19/I19-1)/(J11/I11-1)</f>
        <v/>
      </c>
      <c r="K184" s="472">
        <f>(K19/J19-1)/(K11/J11-1)</f>
        <v/>
      </c>
      <c r="L184" s="472">
        <f>(L19/K19-1)/(L11/K11-1)</f>
        <v/>
      </c>
      <c r="M184" s="472">
        <f>(M19/L19-1)/(M11/L11-1)</f>
        <v/>
      </c>
      <c r="N184" s="472">
        <f>(N19/M19-1)/(N11/M11-1)</f>
        <v/>
      </c>
      <c r="O184" s="472">
        <f>(O19/N19-1)/(O11/N11-1)</f>
        <v/>
      </c>
      <c r="P184" s="472">
        <f>(P19/O19-1)/(P11/O11-1)</f>
        <v/>
      </c>
      <c r="Q184" s="472">
        <f>(Q19/P19-1)/(Q11/P11-1)</f>
        <v/>
      </c>
      <c r="R184" s="472">
        <f>(R19/Q19-1)/(R11/Q11-1)</f>
        <v/>
      </c>
      <c r="S184" s="472">
        <f>(S19/R19-1)/(S11/R11-1)</f>
        <v/>
      </c>
      <c r="T184" s="472">
        <f>(T19/S19-1)/(T11/S11-1)</f>
        <v/>
      </c>
      <c r="U184" s="472">
        <f>(U19/T19-1)/(U11/T11-1)</f>
        <v/>
      </c>
      <c r="V184" s="472">
        <f>(V19/U19-1)/(V11/U11-1)</f>
        <v/>
      </c>
      <c r="W184" s="472">
        <f>(W19/V19-1)/(W11/V11-1)</f>
        <v/>
      </c>
    </row>
    <row r="185">
      <c r="A185" s="387" t="n"/>
    </row>
    <row r="186">
      <c r="A186" s="383" t="inlineStr">
        <is>
          <t>Annualization - Half</t>
        </is>
      </c>
    </row>
    <row r="187">
      <c r="A187" s="394" t="inlineStr">
        <is>
          <t>Period Start</t>
        </is>
      </c>
      <c r="B187" s="46">
        <f>DATE(B1,1,1)</f>
        <v/>
      </c>
      <c r="C187" s="46">
        <f>DATE(C1-1,3,21)</f>
        <v/>
      </c>
      <c r="D187" s="46">
        <f>DATE(D1-1,3,21)</f>
        <v/>
      </c>
      <c r="E187" s="544">
        <f>DATE(E5,1,1)</f>
        <v/>
      </c>
      <c r="F187" s="545">
        <f>DATE(F5,1,1)</f>
        <v/>
      </c>
      <c r="G187" s="545">
        <f>DATE(G5,1,1)</f>
        <v/>
      </c>
      <c r="H187" s="545">
        <f>DATE(H5,1,1)</f>
        <v/>
      </c>
      <c r="I187" s="545">
        <f>DATE(I5,1,1)</f>
        <v/>
      </c>
      <c r="J187" s="545">
        <f>DATE(J5,1,1)</f>
        <v/>
      </c>
      <c r="K187" s="545">
        <f>DATE(K5,1,1)</f>
        <v/>
      </c>
      <c r="L187" s="545">
        <f>DATE(L5,1,1)</f>
        <v/>
      </c>
      <c r="M187" s="545">
        <f>DATE(M5,1,1)</f>
        <v/>
      </c>
      <c r="N187" s="545">
        <f>DATE(N5,1,1)</f>
        <v/>
      </c>
      <c r="O187" s="545">
        <f>DATE(O5,1,1)</f>
        <v/>
      </c>
      <c r="P187" s="545">
        <f>DATE(P5,1,1)</f>
        <v/>
      </c>
      <c r="Q187" s="545">
        <f>DATE(Q5,1,1)</f>
        <v/>
      </c>
      <c r="R187" s="545">
        <f>DATE(R5,1,1)</f>
        <v/>
      </c>
      <c r="S187" s="545">
        <f>DATE(S5,1,1)</f>
        <v/>
      </c>
      <c r="T187" s="545">
        <f>DATE(T5,1,1)</f>
        <v/>
      </c>
      <c r="U187" s="545">
        <f>DATE(U5,1,1)</f>
        <v/>
      </c>
      <c r="V187" s="545">
        <f>DATE(V5,1,1)</f>
        <v/>
      </c>
      <c r="W187" s="545">
        <f>DATE(W5,1,1)</f>
        <v/>
      </c>
    </row>
    <row r="188">
      <c r="A188" s="394" t="inlineStr">
        <is>
          <t>Year Starts</t>
        </is>
      </c>
      <c r="B188" s="46">
        <f>+B187</f>
        <v/>
      </c>
      <c r="C188" s="46">
        <f>+C187</f>
        <v/>
      </c>
      <c r="D188" s="46">
        <f>+D187</f>
        <v/>
      </c>
      <c r="E188" s="522">
        <f>DATE(E5,1,1)</f>
        <v/>
      </c>
      <c r="F188" s="522">
        <f>DATE(F5,1,1)</f>
        <v/>
      </c>
      <c r="G188" s="522">
        <f>DATE(G5,1,1)</f>
        <v/>
      </c>
      <c r="H188" s="522">
        <f>DATE(H5,1,1)</f>
        <v/>
      </c>
      <c r="I188" s="522">
        <f>DATE(I5,1,1)</f>
        <v/>
      </c>
      <c r="J188" s="522">
        <f>DATE(J5,1,1)</f>
        <v/>
      </c>
      <c r="K188" s="522">
        <f>DATE(K5,1,1)</f>
        <v/>
      </c>
      <c r="L188" s="522">
        <f>DATE(L5,1,1)</f>
        <v/>
      </c>
      <c r="M188" s="522">
        <f>DATE(M5,1,1)</f>
        <v/>
      </c>
      <c r="N188" s="522">
        <f>DATE(N5,1,1)</f>
        <v/>
      </c>
      <c r="O188" s="522">
        <f>DATE(O5,1,1)</f>
        <v/>
      </c>
      <c r="P188" s="522">
        <f>DATE(P5,1,1)</f>
        <v/>
      </c>
      <c r="Q188" s="522">
        <f>DATE(Q5,1,1)</f>
        <v/>
      </c>
      <c r="R188" s="522">
        <f>DATE(R5,1,1)</f>
        <v/>
      </c>
      <c r="S188" s="522">
        <f>DATE(S5,1,1)</f>
        <v/>
      </c>
      <c r="T188" s="522">
        <f>DATE(T5,1,1)</f>
        <v/>
      </c>
      <c r="U188" s="522">
        <f>DATE(U5,1,1)</f>
        <v/>
      </c>
      <c r="V188" s="522">
        <f>DATE(V5,1,1)</f>
        <v/>
      </c>
      <c r="W188" s="522">
        <f>DATE(W5,1,1)</f>
        <v/>
      </c>
    </row>
    <row r="189">
      <c r="A189" s="394" t="inlineStr">
        <is>
          <t>Year Ends</t>
        </is>
      </c>
      <c r="B189" s="46">
        <f>+#REF!</f>
        <v/>
      </c>
      <c r="C189" s="46">
        <f>+#REF!</f>
        <v/>
      </c>
      <c r="D189" s="46">
        <f>+#REF!</f>
        <v/>
      </c>
      <c r="E189" s="522">
        <f>DATE(E5,12,31)</f>
        <v/>
      </c>
      <c r="F189" s="522">
        <f>DATE(F5,12,31)</f>
        <v/>
      </c>
      <c r="G189" s="522">
        <f>DATE(G5,12,31)</f>
        <v/>
      </c>
      <c r="H189" s="522">
        <f>DATE(H5,12,31)</f>
        <v/>
      </c>
      <c r="I189" s="522">
        <f>DATE(I5,12,31)</f>
        <v/>
      </c>
      <c r="J189" s="522">
        <f>DATE(J5,12,31)</f>
        <v/>
      </c>
      <c r="K189" s="522">
        <f>DATE(K5,12,31)</f>
        <v/>
      </c>
      <c r="L189" s="522">
        <f>DATE(L5,12,31)</f>
        <v/>
      </c>
      <c r="M189" s="522">
        <f>DATE(M5,12,31)</f>
        <v/>
      </c>
      <c r="N189" s="522">
        <f>DATE(N5,12,31)</f>
        <v/>
      </c>
      <c r="O189" s="522">
        <f>DATE(O5,12,31)</f>
        <v/>
      </c>
      <c r="P189" s="522">
        <f>DATE(P5,12,31)</f>
        <v/>
      </c>
      <c r="Q189" s="522">
        <f>DATE(Q5,12,31)</f>
        <v/>
      </c>
      <c r="R189" s="522">
        <f>DATE(R5,12,31)</f>
        <v/>
      </c>
      <c r="S189" s="522">
        <f>DATE(S5,12,31)</f>
        <v/>
      </c>
      <c r="T189" s="522">
        <f>DATE(T5,12,31)</f>
        <v/>
      </c>
      <c r="U189" s="522">
        <f>DATE(U5,12,31)</f>
        <v/>
      </c>
      <c r="V189" s="522">
        <f>DATE(V5,12,31)</f>
        <v/>
      </c>
      <c r="W189" s="522">
        <f>DATE(W5,12,31)</f>
        <v/>
      </c>
    </row>
    <row r="190">
      <c r="A190" s="394" t="inlineStr">
        <is>
          <t>Year Days</t>
        </is>
      </c>
      <c r="B190" s="82">
        <f>B189-B188+1</f>
        <v/>
      </c>
      <c r="C190" s="82">
        <f>C189-C188+1</f>
        <v/>
      </c>
      <c r="D190" s="82">
        <f>D189-D188+1</f>
        <v/>
      </c>
      <c r="E190" s="82">
        <f>E189-E188+1</f>
        <v/>
      </c>
      <c r="F190" s="82">
        <f>F189-F188+1</f>
        <v/>
      </c>
      <c r="G190" s="82">
        <f>G189-G188+1</f>
        <v/>
      </c>
      <c r="H190" s="82">
        <f>H189-H188+1</f>
        <v/>
      </c>
      <c r="I190" s="82">
        <f>I189-I188+1</f>
        <v/>
      </c>
      <c r="J190" s="82">
        <f>J189-J188+1</f>
        <v/>
      </c>
      <c r="K190" s="82">
        <f>K189-K188+1</f>
        <v/>
      </c>
      <c r="L190" s="82">
        <f>L189-L188+1</f>
        <v/>
      </c>
      <c r="M190" s="82">
        <f>M189-M188+1</f>
        <v/>
      </c>
      <c r="N190" s="82">
        <f>N189-N188+1</f>
        <v/>
      </c>
      <c r="O190" s="82">
        <f>O189-O188+1</f>
        <v/>
      </c>
      <c r="P190" s="82">
        <f>P189-P188+1</f>
        <v/>
      </c>
      <c r="Q190" s="82">
        <f>Q189-Q188+1</f>
        <v/>
      </c>
      <c r="R190" s="82">
        <f>R189-R188+1</f>
        <v/>
      </c>
      <c r="S190" s="82">
        <f>S189-S188+1</f>
        <v/>
      </c>
      <c r="T190" s="82">
        <f>T189-T188+1</f>
        <v/>
      </c>
      <c r="U190" s="82">
        <f>U189-U188+1</f>
        <v/>
      </c>
      <c r="V190" s="82">
        <f>V189-V188+1</f>
        <v/>
      </c>
      <c r="W190" s="82">
        <f>W189-W188+1</f>
        <v/>
      </c>
    </row>
    <row r="191">
      <c r="A191" s="387" t="n"/>
    </row>
    <row r="192">
      <c r="A192" s="394" t="n"/>
    </row>
  </sheetData>
  <pageMargins left="0.7" right="0.7" top="0.75" bottom="0.75" header="0.3" footer="0.3"/>
  <pageSetup orientation="portrait" paperSize="9" horizontalDpi="300" verticalDpi="300"/>
</worksheet>
</file>

<file path=xl/worksheets/sheet7.xml><?xml version="1.0" encoding="utf-8"?>
<worksheet xmlns="http://schemas.openxmlformats.org/spreadsheetml/2006/main">
  <sheetPr>
    <tabColor theme="1"/>
    <outlinePr summaryBelow="1" summaryRight="1"/>
    <pageSetUpPr/>
  </sheetPr>
  <dimension ref="A1:CK128"/>
  <sheetViews>
    <sheetView zoomScaleNormal="100" workbookViewId="0">
      <pane xSplit="13" ySplit="6" topLeftCell="BW7" activePane="bottomRight" state="frozen"/>
      <selection pane="topRight" activeCell="N1" sqref="N1"/>
      <selection pane="bottomLeft" activeCell="A7" sqref="A7"/>
      <selection pane="bottomRight" activeCell="CC41" sqref="CC41"/>
    </sheetView>
  </sheetViews>
  <sheetFormatPr baseColWidth="10" defaultColWidth="9.33203125" defaultRowHeight="13" outlineLevelRow="1"/>
  <cols>
    <col width="78.33203125" customWidth="1" min="1" max="1"/>
    <col hidden="1" min="2" max="13"/>
    <col width="12.6640625" customWidth="1" min="14" max="89"/>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23">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row>
    <row r="2">
      <c r="A2" t="inlineStr">
        <is>
          <t>Forecast</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24">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S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S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26">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S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row>
    <row r="8">
      <c r="A8" s="105" t="n"/>
      <c r="B8" s="121" t="n"/>
      <c r="C8" s="121" t="n"/>
      <c r="D8" s="121" t="n"/>
      <c r="E8" s="121" t="n"/>
      <c r="F8" s="121" t="n"/>
      <c r="G8" s="121" t="n"/>
      <c r="H8" s="121" t="n"/>
      <c r="I8" s="121" t="n"/>
      <c r="J8" s="121" t="n"/>
      <c r="K8" s="121" t="n"/>
      <c r="L8" s="121" t="n"/>
      <c r="M8" s="121" t="n"/>
      <c r="N8" s="121" t="n"/>
      <c r="O8" s="121" t="n"/>
      <c r="P8" s="121" t="n"/>
      <c r="Q8" s="121" t="n"/>
      <c r="R8" s="121" t="n"/>
      <c r="S8" s="121" t="n"/>
      <c r="T8" s="121" t="n"/>
      <c r="U8" s="121" t="n"/>
      <c r="V8" s="121" t="n"/>
      <c r="W8" s="121" t="n"/>
      <c r="X8" s="121" t="n"/>
      <c r="Y8" s="121" t="n"/>
      <c r="Z8" s="121" t="n"/>
      <c r="AA8" s="121" t="n"/>
      <c r="AB8" s="121" t="n"/>
      <c r="AC8" s="121" t="n"/>
      <c r="AD8" s="121" t="n"/>
      <c r="AE8" s="121" t="n"/>
      <c r="AF8" s="121" t="n"/>
      <c r="AG8" s="121" t="n"/>
      <c r="AH8" s="121" t="n"/>
      <c r="AI8" s="121" t="n"/>
      <c r="AJ8" s="121" t="n"/>
      <c r="AK8" s="439" t="n"/>
      <c r="AL8" s="439" t="n"/>
      <c r="AM8" s="121" t="n"/>
      <c r="AN8" s="121" t="n"/>
      <c r="AO8" s="121" t="n"/>
      <c r="AP8" s="121" t="n"/>
      <c r="AQ8" s="121" t="n"/>
      <c r="AR8" s="121" t="n"/>
      <c r="AV8" s="519" t="n"/>
    </row>
    <row r="9">
      <c r="A9" s="81" t="inlineStr">
        <is>
          <t>CONSOLIDATED INCOME STATEMENT (in '000 USD)</t>
        </is>
      </c>
      <c r="B9" s="119" t="n"/>
      <c r="C9" s="119" t="n"/>
      <c r="D9" s="119" t="n"/>
      <c r="E9" s="119" t="n"/>
      <c r="F9" s="119" t="n"/>
      <c r="G9" s="119" t="n"/>
      <c r="H9" s="119" t="n"/>
      <c r="I9" s="119" t="n"/>
      <c r="J9" s="119" t="n"/>
      <c r="K9" s="119" t="n"/>
      <c r="L9" s="119" t="n"/>
      <c r="M9" s="119" t="n"/>
      <c r="N9" s="119" t="n"/>
      <c r="O9" s="119" t="n"/>
      <c r="P9" s="119" t="n"/>
      <c r="Q9" s="119" t="n"/>
      <c r="R9" s="119" t="n"/>
      <c r="S9" s="119"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U9" s="905" t="n"/>
      <c r="AV9" s="668" t="n"/>
      <c r="AW9" s="905" t="n"/>
      <c r="AX9" s="905" t="n"/>
      <c r="AY9" s="905" t="n"/>
      <c r="AZ9" s="905" t="n"/>
      <c r="BA9" s="905" t="n"/>
    </row>
    <row r="10">
      <c r="B10" s="76" t="n"/>
      <c r="C10" s="76" t="n"/>
      <c r="D10" s="76" t="n"/>
      <c r="E10" s="76" t="n"/>
      <c r="F10" s="76" t="n"/>
      <c r="G10" s="76" t="n"/>
      <c r="H10" s="76" t="n"/>
      <c r="I10" s="76" t="n"/>
      <c r="J10" s="76" t="n"/>
      <c r="K10" s="76" t="n"/>
      <c r="L10" s="76" t="n"/>
      <c r="M10" s="76" t="n"/>
      <c r="N10" s="76" t="n"/>
      <c r="O10" s="76" t="n"/>
      <c r="P10" s="76" t="n"/>
      <c r="Q10" s="76" t="n"/>
      <c r="R10" s="76" t="n"/>
      <c r="S10" s="76" t="n"/>
      <c r="AO10" s="108" t="n"/>
      <c r="AP10" s="108" t="n"/>
      <c r="AQ10" s="108" t="n"/>
      <c r="AR10" s="108" t="n"/>
      <c r="AT10" s="905" t="n"/>
    </row>
    <row r="11">
      <c r="A11" s="22" t="inlineStr">
        <is>
          <t>Net Sales</t>
        </is>
      </c>
      <c r="B11" s="133" t="n"/>
      <c r="C11" s="133" t="n"/>
      <c r="D11" s="133" t="n"/>
      <c r="E11" s="133" t="n"/>
      <c r="F11" s="133" t="n"/>
      <c r="G11" s="133" t="n"/>
      <c r="H11" s="133" t="n"/>
      <c r="I11" s="133" t="n"/>
      <c r="J11" s="133" t="n"/>
      <c r="K11" s="133" t="n"/>
      <c r="L11" s="133" t="n"/>
      <c r="M11" s="133" t="n"/>
      <c r="N11" s="671">
        <f>IF(N$2=1,Reported!N79,Reported!N79-Reported!M79)</f>
        <v/>
      </c>
      <c r="O11" s="671">
        <f>IF(O$2=1,Reported!O79,Reported!O79-Reported!N79)</f>
        <v/>
      </c>
      <c r="P11" s="671">
        <f>IF(P$2=1,Reported!P79,Reported!P79-Reported!O79)</f>
        <v/>
      </c>
      <c r="Q11" s="671">
        <f>IF(Q$2=1,Reported!Q79,Reported!Q79-Reported!P79)</f>
        <v/>
      </c>
      <c r="R11" s="671">
        <f>IF(R$2=1,Reported!R79,Reported!R79-Reported!Q79)</f>
        <v/>
      </c>
      <c r="S11" s="671">
        <f>IF(S$2=1,Reported!S79,Reported!S79-Reported!R79)</f>
        <v/>
      </c>
      <c r="T11" s="671">
        <f>IF(T$2=1,Reported!T79,Reported!T79-Reported!S79)</f>
        <v/>
      </c>
      <c r="U11" s="671">
        <f>IF(U$2=1,Reported!U79,Reported!U79-Reported!T79)</f>
        <v/>
      </c>
      <c r="V11" s="671">
        <f>IF(V$2=1,Reported!V79,Reported!V79-Reported!U79)</f>
        <v/>
      </c>
      <c r="W11" s="671">
        <f>IF(W$2=1,Reported!W79,Reported!W79-Reported!V79)</f>
        <v/>
      </c>
      <c r="X11" s="671">
        <f>IF(X$2=1,Reported!X79,Reported!X79-Reported!W79)</f>
        <v/>
      </c>
      <c r="Y11" s="671">
        <f>IF(Y$2=1,Reported!Y79,Reported!Y79-Reported!X79)</f>
        <v/>
      </c>
      <c r="Z11" s="671">
        <f>IF(Z$2=1,Reported!Z79,Reported!Z79-Reported!Y79)</f>
        <v/>
      </c>
      <c r="AA11" s="671">
        <f>IF(AA$2=1,Reported!AA79,Reported!AA79-Reported!Z79)</f>
        <v/>
      </c>
      <c r="AB11" s="671">
        <f>IF(AB$2=1,Reported!AB79,Reported!AB79-Reported!AA79)</f>
        <v/>
      </c>
      <c r="AC11" s="671">
        <f>IF(AC$2=1,Reported!AC79,Reported!AC79-Reported!AB79)</f>
        <v/>
      </c>
      <c r="AD11" s="671">
        <f>IF(AD$2=1,Reported!AD79,Reported!AD79-Reported!AC79)</f>
        <v/>
      </c>
      <c r="AE11" s="671">
        <f>IF(AE$2=1,Reported!AE79,Reported!AE79-Reported!AD79)</f>
        <v/>
      </c>
      <c r="AF11" s="671">
        <f>IF(AF$2=1,Reported!AF79,Reported!AF79-Reported!AE79)</f>
        <v/>
      </c>
      <c r="AG11" s="671">
        <f>IF(AG$2=1,Reported!AG79,Reported!AG79-Reported!AF79)</f>
        <v/>
      </c>
      <c r="AH11" s="671">
        <f>IF(AH$2=1,Reported!AH79,Reported!AH79-Reported!AG79)</f>
        <v/>
      </c>
      <c r="AI11" s="671">
        <f>IF(AI$2=1,Reported!AI79,Reported!AI79-Reported!AH79)</f>
        <v/>
      </c>
      <c r="AJ11" s="671">
        <f>IF(AJ$2=1,Reported!AJ79,Reported!AJ79-Reported!AI79)</f>
        <v/>
      </c>
      <c r="AK11" s="671">
        <f>IF(AK$2=1,Reported!AK79,Reported!AK79-Reported!AJ79)</f>
        <v/>
      </c>
      <c r="AL11" s="671">
        <f>IF(AL$2=1,Reported!AL79,Reported!AL79-Reported!AK79)</f>
        <v/>
      </c>
      <c r="AM11" s="671">
        <f>IF(AM$2=1,Reported!AM79,Reported!AM79-Reported!AL79)</f>
        <v/>
      </c>
      <c r="AN11" s="671">
        <f>IF(AN$2=1,Reported!AN79,Reported!AN79-Reported!AM79)</f>
        <v/>
      </c>
      <c r="AO11" s="671">
        <f>IF(AO$2=1,Reported!AO79,Reported!AO79-Reported!AN79)</f>
        <v/>
      </c>
      <c r="AP11" s="671">
        <f>IF(AP$2=1,Reported!AP79,Reported!AP79-Reported!AO79)</f>
        <v/>
      </c>
      <c r="AQ11" s="671">
        <f>IF(AQ$2=1,Reported!AQ79,Reported!AQ79-Reported!AP79)</f>
        <v/>
      </c>
      <c r="AR11" s="671">
        <f>IF(AR$2=1,Reported!AR79,Reported!AR79-Reported!AQ79)</f>
        <v/>
      </c>
      <c r="AS11" s="671">
        <f>IF(AS$2=1,Reported!AS79,Reported!AS79-Reported!AR79)</f>
        <v/>
      </c>
      <c r="AT11" s="671">
        <f>IF(AT$2=1,Reported!AT79,Reported!AT79-Reported!AS79)</f>
        <v/>
      </c>
      <c r="AU11" s="671">
        <f>IF(AU$2=1,Reported!AU79,Reported!AU79-Reported!AT79)</f>
        <v/>
      </c>
      <c r="AV11" s="671">
        <f>IF(AV$2=1,Reported!AV79,Reported!AV79-Reported!AU79)</f>
        <v/>
      </c>
      <c r="AW11" s="671">
        <f>IF(AW$2=1,Reported!AW79,Reported!AW79-Reported!AV79)</f>
        <v/>
      </c>
      <c r="AX11" s="671">
        <f>IF(AX$2=1,Reported!AX79,Reported!AX79-Reported!AW79)</f>
        <v/>
      </c>
      <c r="AY11" s="671">
        <f>IF(AY$2=1,Reported!AY79,Reported!AY79-Reported!AX79)</f>
        <v/>
      </c>
      <c r="AZ11" s="671">
        <f>IF(AZ$2=1,Reported!AZ79,Reported!AZ79-Reported!AY79)</f>
        <v/>
      </c>
      <c r="BA11" s="671">
        <f>IF(BA$2=1,Reported!BA79,Reported!BA79-Reported!AZ79)</f>
        <v/>
      </c>
      <c r="BB11" s="671">
        <f>IF(BB$2=1,Reported!BB79,Reported!BB79-Reported!BA79)</f>
        <v/>
      </c>
      <c r="BC11" s="671">
        <f>IF(BC$2=1,Reported!BC79,Reported!BC79-Reported!BB79)</f>
        <v/>
      </c>
      <c r="BD11" s="671">
        <f>IF(BD$2=1,Reported!BD79,Reported!BD79-Reported!BC79)</f>
        <v/>
      </c>
      <c r="BE11" s="671">
        <f>IF(BE$2=1,Reported!BE79,Reported!BE79-Reported!BD79)</f>
        <v/>
      </c>
      <c r="BF11" s="671">
        <f>IF(BF$2=1,Reported!BF79,Reported!BF79-Reported!BE79)</f>
        <v/>
      </c>
      <c r="BG11" s="671">
        <f>IF(BG$2=1,Reported!BG79,Reported!BG79-Reported!BF79)</f>
        <v/>
      </c>
      <c r="BH11" s="671">
        <f>IF(BH$2=1,Reported!BH79,Reported!BH79-Reported!BG79)</f>
        <v/>
      </c>
      <c r="BI11" s="671">
        <f>IF(BI$2=1,Reported!BI79,Reported!BI79-Reported!BH79)</f>
        <v/>
      </c>
      <c r="BJ11" s="671">
        <f>IF(BJ$2=1,Reported!BJ79,Reported!BJ79-Reported!BI79)</f>
        <v/>
      </c>
      <c r="BK11" s="671">
        <f>IF(BK$2=1,Reported!BK79,Reported!BK79-Reported!BJ79)</f>
        <v/>
      </c>
      <c r="BL11" s="671">
        <f>IF(BL$2=1,Reported!BL79,Reported!BL79-Reported!BK79)</f>
        <v/>
      </c>
      <c r="BM11" s="671">
        <f>IF(BM$2=1,Reported!BM79,Reported!BM79-Reported!BL79)</f>
        <v/>
      </c>
      <c r="BN11" s="671">
        <f>IF(BN$2=1,Reported!BN79,Reported!BN79-Reported!BM79)</f>
        <v/>
      </c>
      <c r="BO11" s="671">
        <f>IF(BO$2=1,Reported!BO79,Reported!BO79-Reported!BN79)</f>
        <v/>
      </c>
      <c r="BP11" s="671">
        <f>IF(BP$2=1,Reported!BP79,Reported!BP79-Reported!BO79)</f>
        <v/>
      </c>
      <c r="BQ11" s="671">
        <f>IF(BQ$2=1,Reported!BQ79,Reported!BQ79-Reported!BP79)</f>
        <v/>
      </c>
      <c r="BR11" s="671">
        <f>IF(BR$2=1,Reported!BR79,Reported!BR79-Reported!BQ79)</f>
        <v/>
      </c>
      <c r="BS11" s="519">
        <f>Assumption!BS20</f>
        <v/>
      </c>
      <c r="BT11" s="519">
        <f>Assumption!BT20</f>
        <v/>
      </c>
      <c r="BU11" s="519">
        <f>Assumption!BU20</f>
        <v/>
      </c>
      <c r="BV11" s="519">
        <f>Assumption!BV20</f>
        <v/>
      </c>
      <c r="BW11" s="519">
        <f>Assumption!BW20</f>
        <v/>
      </c>
      <c r="BX11" s="519">
        <f>Assumption!BX20</f>
        <v/>
      </c>
      <c r="BY11" s="519">
        <f>Assumption!BY20</f>
        <v/>
      </c>
      <c r="BZ11" s="519">
        <f>Assumption!BZ20</f>
        <v/>
      </c>
      <c r="CA11" s="519">
        <f>Assumption!CA20</f>
        <v/>
      </c>
      <c r="CB11" s="519">
        <f>Assumption!CB20</f>
        <v/>
      </c>
      <c r="CC11" s="519">
        <f>Assumption!CC20</f>
        <v/>
      </c>
      <c r="CD11" s="519">
        <f>Assumption!CD20</f>
        <v/>
      </c>
      <c r="CE11" s="519">
        <f>Assumption!CE20</f>
        <v/>
      </c>
      <c r="CF11" s="519">
        <f>Assumption!CF20</f>
        <v/>
      </c>
      <c r="CG11" s="519">
        <f>Assumption!CG20</f>
        <v/>
      </c>
      <c r="CH11" s="519">
        <f>Assumption!CH20</f>
        <v/>
      </c>
      <c r="CI11" s="519">
        <f>Assumption!CI20</f>
        <v/>
      </c>
      <c r="CJ11" s="519">
        <f>Assumption!CJ20</f>
        <v/>
      </c>
      <c r="CK11" s="519">
        <f>Assumption!CK20</f>
        <v/>
      </c>
    </row>
    <row r="12">
      <c r="A12" s="74" t="inlineStr">
        <is>
          <t>Cost of sales</t>
        </is>
      </c>
      <c r="B12" s="145" t="n"/>
      <c r="C12" s="145" t="n"/>
      <c r="D12" s="145" t="n"/>
      <c r="E12" s="145" t="n"/>
      <c r="F12" s="145" t="n"/>
      <c r="G12" s="145" t="n"/>
      <c r="H12" s="145" t="n"/>
      <c r="I12" s="145" t="n"/>
      <c r="J12" s="145" t="n"/>
      <c r="K12" s="145" t="n"/>
      <c r="L12" s="145" t="n"/>
      <c r="M12" s="145" t="n"/>
      <c r="N12" s="509">
        <f>IF(N$2=1,Reported!N80,Reported!N80-Reported!M80)</f>
        <v/>
      </c>
      <c r="O12" s="509">
        <f>IF(O$2=1,Reported!O80,Reported!O80-Reported!N80)</f>
        <v/>
      </c>
      <c r="P12" s="509">
        <f>IF(P$2=1,Reported!P80,Reported!P80-Reported!O80)</f>
        <v/>
      </c>
      <c r="Q12" s="509">
        <f>IF(Q$2=1,Reported!Q80,Reported!Q80-Reported!P80)</f>
        <v/>
      </c>
      <c r="R12" s="509">
        <f>IF(R$2=1,Reported!R80,Reported!R80-Reported!Q80)</f>
        <v/>
      </c>
      <c r="S12" s="509">
        <f>IF(S$2=1,Reported!S80,Reported!S80-Reported!R80)</f>
        <v/>
      </c>
      <c r="T12" s="509">
        <f>IF(T$2=1,Reported!T80,Reported!T80-Reported!S80)</f>
        <v/>
      </c>
      <c r="U12" s="509">
        <f>IF(U$2=1,Reported!U80,Reported!U80-Reported!T80)</f>
        <v/>
      </c>
      <c r="V12" s="509">
        <f>IF(V$2=1,Reported!V80,Reported!V80-Reported!U80)</f>
        <v/>
      </c>
      <c r="W12" s="509">
        <f>IF(W$2=1,Reported!W80,Reported!W80-Reported!V80)</f>
        <v/>
      </c>
      <c r="X12" s="509">
        <f>IF(X$2=1,Reported!X80,Reported!X80-Reported!W80)</f>
        <v/>
      </c>
      <c r="Y12" s="509">
        <f>IF(Y$2=1,Reported!Y80,Reported!Y80-Reported!X80)</f>
        <v/>
      </c>
      <c r="Z12" s="509">
        <f>IF(Z$2=1,Reported!Z80,Reported!Z80-Reported!Y80)</f>
        <v/>
      </c>
      <c r="AA12" s="509">
        <f>IF(AA$2=1,Reported!AA80,Reported!AA80-Reported!Z80)</f>
        <v/>
      </c>
      <c r="AB12" s="509">
        <f>IF(AB$2=1,Reported!AB80,Reported!AB80-Reported!AA80)</f>
        <v/>
      </c>
      <c r="AC12" s="509">
        <f>IF(AC$2=1,Reported!AC80,Reported!AC80-Reported!AB80)</f>
        <v/>
      </c>
      <c r="AD12" s="509">
        <f>IF(AD$2=1,Reported!AD80,Reported!AD80-Reported!AC80)</f>
        <v/>
      </c>
      <c r="AE12" s="509">
        <f>IF(AE$2=1,Reported!AE80,Reported!AE80-Reported!AD80)</f>
        <v/>
      </c>
      <c r="AF12" s="509">
        <f>IF(AF$2=1,Reported!AF80,Reported!AF80-Reported!AE80)</f>
        <v/>
      </c>
      <c r="AG12" s="509">
        <f>IF(AG$2=1,Reported!AG80,Reported!AG80-Reported!AF80)</f>
        <v/>
      </c>
      <c r="AH12" s="509">
        <f>IF(AH$2=1,Reported!AH80,Reported!AH80-Reported!AG80)</f>
        <v/>
      </c>
      <c r="AI12" s="509">
        <f>IF(AI$2=1,Reported!AI80,Reported!AI80-Reported!AH80)</f>
        <v/>
      </c>
      <c r="AJ12" s="509">
        <f>IF(AJ$2=1,Reported!AJ80,Reported!AJ80-Reported!AI80)</f>
        <v/>
      </c>
      <c r="AK12" s="509">
        <f>IF(AK$2=1,Reported!AK80,Reported!AK80-Reported!AJ80)</f>
        <v/>
      </c>
      <c r="AL12" s="509">
        <f>IF(AL$2=1,Reported!AL80,Reported!AL80-Reported!AK80)</f>
        <v/>
      </c>
      <c r="AM12" s="509">
        <f>IF(AM$2=1,Reported!AM80,Reported!AM80-Reported!AL80)</f>
        <v/>
      </c>
      <c r="AN12" s="509">
        <f>IF(AN$2=1,Reported!AN80,Reported!AN80-Reported!AM80)</f>
        <v/>
      </c>
      <c r="AO12" s="509">
        <f>IF(AO$2=1,Reported!AO80,Reported!AO80-Reported!AN80)</f>
        <v/>
      </c>
      <c r="AP12" s="509">
        <f>IF(AP$2=1,Reported!AP80,Reported!AP80-Reported!AO80)</f>
        <v/>
      </c>
      <c r="AQ12" s="509">
        <f>IF(AQ$2=1,Reported!AQ80,Reported!AQ80-Reported!AP80)</f>
        <v/>
      </c>
      <c r="AR12" s="509">
        <f>IF(AR$2=1,Reported!AR80,Reported!AR80-Reported!AQ80)</f>
        <v/>
      </c>
      <c r="AS12" s="509">
        <f>IF(AS$2=1,Reported!AS80,Reported!AS80-Reported!AR80)</f>
        <v/>
      </c>
      <c r="AT12" s="509">
        <f>IF(AT$2=1,Reported!AT80,Reported!AT80-Reported!AS80)</f>
        <v/>
      </c>
      <c r="AU12" s="509">
        <f>IF(AU$2=1,Reported!AU80,Reported!AU80-Reported!AT80)</f>
        <v/>
      </c>
      <c r="AV12" s="509">
        <f>IF(AV$2=1,Reported!AV80,Reported!AV80-Reported!AU80)</f>
        <v/>
      </c>
      <c r="AW12" s="509">
        <f>IF(AW$2=1,Reported!AW80,Reported!AW80-Reported!AV80)</f>
        <v/>
      </c>
      <c r="AX12" s="509">
        <f>IF(AX$2=1,Reported!AX80,Reported!AX80-Reported!AW80)</f>
        <v/>
      </c>
      <c r="AY12" s="509">
        <f>IF(AY$2=1,Reported!AY80,Reported!AY80-Reported!AX80)</f>
        <v/>
      </c>
      <c r="AZ12" s="509">
        <f>IF(AZ$2=1,Reported!AZ80,Reported!AZ80-Reported!AY80)</f>
        <v/>
      </c>
      <c r="BA12" s="509">
        <f>IF(BA$2=1,Reported!BA80,Reported!BA80-Reported!AZ80)</f>
        <v/>
      </c>
      <c r="BB12" s="509">
        <f>IF(BB$2=1,Reported!BB80,Reported!BB80-Reported!BA80)</f>
        <v/>
      </c>
      <c r="BC12" s="509">
        <f>IF(BC$2=1,Reported!BC80,Reported!BC80-Reported!BB80)</f>
        <v/>
      </c>
      <c r="BD12" s="509">
        <f>IF(BD$2=1,Reported!BD80,Reported!BD80-Reported!BC80)</f>
        <v/>
      </c>
      <c r="BE12" s="509">
        <f>IF(BE$2=1,Reported!BE80,Reported!BE80-Reported!BD80)</f>
        <v/>
      </c>
      <c r="BF12" s="509">
        <f>IF(BF$2=1,Reported!BF80,Reported!BF80-Reported!BE80)</f>
        <v/>
      </c>
      <c r="BG12" s="509">
        <f>IF(BG$2=1,Reported!BG80,Reported!BG80-Reported!BF80)</f>
        <v/>
      </c>
      <c r="BH12" s="509">
        <f>IF(BH$2=1,Reported!BH80,Reported!BH80-Reported!BG80)</f>
        <v/>
      </c>
      <c r="BI12" s="509">
        <f>IF(BI$2=1,Reported!BI80,Reported!BI80-Reported!BH80)</f>
        <v/>
      </c>
      <c r="BJ12" s="509">
        <f>IF(BJ$2=1,Reported!BJ80,Reported!BJ80-Reported!BI80)</f>
        <v/>
      </c>
      <c r="BK12" s="509">
        <f>IF(BK$2=1,Reported!BK80,Reported!BK80-Reported!BJ80)</f>
        <v/>
      </c>
      <c r="BL12" s="509">
        <f>IF(BL$2=1,Reported!BL80,Reported!BL80-Reported!BK80)</f>
        <v/>
      </c>
      <c r="BM12" s="509">
        <f>IF(BM$2=1,Reported!BM80,Reported!BM80-Reported!BL80)</f>
        <v/>
      </c>
      <c r="BN12" s="509">
        <f>IF(BN$2=1,Reported!BN80,Reported!BN80-Reported!BM80)</f>
        <v/>
      </c>
      <c r="BO12" s="509">
        <f>IF(BO$2=1,Reported!BO80,Reported!BO80-Reported!BN80)</f>
        <v/>
      </c>
      <c r="BP12" s="509">
        <f>IF(BP$2=1,Reported!BP80,Reported!BP80-Reported!BO80)</f>
        <v/>
      </c>
      <c r="BQ12" s="509">
        <f>IF(BQ$2=1,Reported!BQ80,Reported!BQ80-Reported!BP80)</f>
        <v/>
      </c>
      <c r="BR12" s="509">
        <f>IF(BR$2=1,Reported!BR80,Reported!BR80-Reported!BQ80)</f>
        <v/>
      </c>
      <c r="BS12" s="517">
        <f>Assumption!BS64</f>
        <v/>
      </c>
      <c r="BT12" s="517">
        <f>Assumption!BT64</f>
        <v/>
      </c>
      <c r="BU12" s="517">
        <f>Assumption!BU64</f>
        <v/>
      </c>
      <c r="BV12" s="517">
        <f>Assumption!BV64</f>
        <v/>
      </c>
      <c r="BW12" s="517">
        <f>Assumption!BW64</f>
        <v/>
      </c>
      <c r="BX12" s="517">
        <f>Assumption!BX64</f>
        <v/>
      </c>
      <c r="BY12" s="517">
        <f>Assumption!BY64</f>
        <v/>
      </c>
      <c r="BZ12" s="517">
        <f>Assumption!BZ64</f>
        <v/>
      </c>
      <c r="CA12" s="517">
        <f>Assumption!CA64</f>
        <v/>
      </c>
      <c r="CB12" s="517">
        <f>Assumption!CB64</f>
        <v/>
      </c>
      <c r="CC12" s="517">
        <f>Assumption!CC64</f>
        <v/>
      </c>
      <c r="CD12" s="517">
        <f>Assumption!CD64</f>
        <v/>
      </c>
      <c r="CE12" s="517">
        <f>Assumption!CE64</f>
        <v/>
      </c>
      <c r="CF12" s="517">
        <f>Assumption!CF64</f>
        <v/>
      </c>
      <c r="CG12" s="517">
        <f>Assumption!CG64</f>
        <v/>
      </c>
      <c r="CH12" s="517">
        <f>Assumption!CH64</f>
        <v/>
      </c>
      <c r="CI12" s="517">
        <f>Assumption!CI64</f>
        <v/>
      </c>
      <c r="CJ12" s="517">
        <f>Assumption!CJ64</f>
        <v/>
      </c>
      <c r="CK12" s="517">
        <f>Assumption!CK64</f>
        <v/>
      </c>
    </row>
    <row r="13">
      <c r="A13" s="22" t="inlineStr">
        <is>
          <t>Gross profit</t>
        </is>
      </c>
      <c r="B13" s="133" t="n"/>
      <c r="C13" s="133" t="n"/>
      <c r="D13" s="133" t="n"/>
      <c r="E13" s="133" t="n"/>
      <c r="F13" s="133" t="n"/>
      <c r="G13" s="133" t="n"/>
      <c r="H13" s="133" t="n"/>
      <c r="I13" s="133" t="n"/>
      <c r="J13" s="133" t="n"/>
      <c r="K13" s="133" t="n"/>
      <c r="L13" s="133" t="n"/>
      <c r="M13" s="133" t="n"/>
      <c r="N13" s="671">
        <f>IF(N$2=1,Reported!N81,Reported!N81-Reported!M81)</f>
        <v/>
      </c>
      <c r="O13" s="671">
        <f>IF(O$2=1,Reported!O81,Reported!O81-Reported!N81)</f>
        <v/>
      </c>
      <c r="P13" s="671">
        <f>IF(P$2=1,Reported!P81,Reported!P81-Reported!O81)</f>
        <v/>
      </c>
      <c r="Q13" s="671">
        <f>IF(Q$2=1,Reported!Q81,Reported!Q81-Reported!P81)</f>
        <v/>
      </c>
      <c r="R13" s="671">
        <f>IF(R$2=1,Reported!R81,Reported!R81-Reported!Q81)</f>
        <v/>
      </c>
      <c r="S13" s="671">
        <f>IF(S$2=1,Reported!S81,Reported!S81-Reported!R81)</f>
        <v/>
      </c>
      <c r="T13" s="671">
        <f>IF(T$2=1,Reported!T81,Reported!T81-Reported!S81)</f>
        <v/>
      </c>
      <c r="U13" s="671">
        <f>IF(U$2=1,Reported!U81,Reported!U81-Reported!T81)</f>
        <v/>
      </c>
      <c r="V13" s="671">
        <f>IF(V$2=1,Reported!V81,Reported!V81-Reported!U81)</f>
        <v/>
      </c>
      <c r="W13" s="671">
        <f>IF(W$2=1,Reported!W81,Reported!W81-Reported!V81)</f>
        <v/>
      </c>
      <c r="X13" s="671">
        <f>IF(X$2=1,Reported!X81,Reported!X81-Reported!W81)</f>
        <v/>
      </c>
      <c r="Y13" s="671">
        <f>IF(Y$2=1,Reported!Y81,Reported!Y81-Reported!X81)</f>
        <v/>
      </c>
      <c r="Z13" s="671">
        <f>IF(Z$2=1,Reported!Z81,Reported!Z81-Reported!Y81)</f>
        <v/>
      </c>
      <c r="AA13" s="671">
        <f>IF(AA$2=1,Reported!AA81,Reported!AA81-Reported!Z81)</f>
        <v/>
      </c>
      <c r="AB13" s="671">
        <f>IF(AB$2=1,Reported!AB81,Reported!AB81-Reported!AA81)</f>
        <v/>
      </c>
      <c r="AC13" s="671">
        <f>IF(AC$2=1,Reported!AC81,Reported!AC81-Reported!AB81)</f>
        <v/>
      </c>
      <c r="AD13" s="671">
        <f>IF(AD$2=1,Reported!AD81,Reported!AD81-Reported!AC81)</f>
        <v/>
      </c>
      <c r="AE13" s="671">
        <f>IF(AE$2=1,Reported!AE81,Reported!AE81-Reported!AD81)</f>
        <v/>
      </c>
      <c r="AF13" s="671">
        <f>IF(AF$2=1,Reported!AF81,Reported!AF81-Reported!AE81)</f>
        <v/>
      </c>
      <c r="AG13" s="671">
        <f>IF(AG$2=1,Reported!AG81,Reported!AG81-Reported!AF81)</f>
        <v/>
      </c>
      <c r="AH13" s="671">
        <f>IF(AH$2=1,Reported!AH81,Reported!AH81-Reported!AG81)</f>
        <v/>
      </c>
      <c r="AI13" s="671">
        <f>IF(AI$2=1,Reported!AI81,Reported!AI81-Reported!AH81)</f>
        <v/>
      </c>
      <c r="AJ13" s="671">
        <f>IF(AJ$2=1,Reported!AJ81,Reported!AJ81-Reported!AI81)</f>
        <v/>
      </c>
      <c r="AK13" s="671">
        <f>IF(AK$2=1,Reported!AK81,Reported!AK81-Reported!AJ81)</f>
        <v/>
      </c>
      <c r="AL13" s="671">
        <f>IF(AL$2=1,Reported!AL81,Reported!AL81-Reported!AK81)</f>
        <v/>
      </c>
      <c r="AM13" s="671">
        <f>IF(AM$2=1,Reported!AM81,Reported!AM81-Reported!AL81)</f>
        <v/>
      </c>
      <c r="AN13" s="671">
        <f>IF(AN$2=1,Reported!AN81,Reported!AN81-Reported!AM81)</f>
        <v/>
      </c>
      <c r="AO13" s="671">
        <f>IF(AO$2=1,Reported!AO81,Reported!AO81-Reported!AN81)</f>
        <v/>
      </c>
      <c r="AP13" s="671">
        <f>IF(AP$2=1,Reported!AP81,Reported!AP81-Reported!AO81)</f>
        <v/>
      </c>
      <c r="AQ13" s="671">
        <f>IF(AQ$2=1,Reported!AQ81,Reported!AQ81-Reported!AP81)</f>
        <v/>
      </c>
      <c r="AR13" s="671">
        <f>IF(AR$2=1,Reported!AR81,Reported!AR81-Reported!AQ81)</f>
        <v/>
      </c>
      <c r="AS13" s="671">
        <f>IF(AS$2=1,Reported!AS81,Reported!AS81-Reported!AR81)</f>
        <v/>
      </c>
      <c r="AT13" s="671">
        <f>IF(AT$2=1,Reported!AT81,Reported!AT81-Reported!AS81)</f>
        <v/>
      </c>
      <c r="AU13" s="671">
        <f>IF(AU$2=1,Reported!AU81,Reported!AU81-Reported!AT81)</f>
        <v/>
      </c>
      <c r="AV13" s="671">
        <f>IF(AV$2=1,Reported!AV81,Reported!AV81-Reported!AU81)</f>
        <v/>
      </c>
      <c r="AW13" s="671">
        <f>IF(AW$2=1,Reported!AW81,Reported!AW81-Reported!AV81)</f>
        <v/>
      </c>
      <c r="AX13" s="671">
        <f>IF(AX$2=1,Reported!AX81,Reported!AX81-Reported!AW81)</f>
        <v/>
      </c>
      <c r="AY13" s="671">
        <f>IF(AY$2=1,Reported!AY81,Reported!AY81-Reported!AX81)</f>
        <v/>
      </c>
      <c r="AZ13" s="671">
        <f>IF(AZ$2=1,Reported!AZ81,Reported!AZ81-Reported!AY81)</f>
        <v/>
      </c>
      <c r="BA13" s="671">
        <f>IF(BA$2=1,Reported!BA81,Reported!BA81-Reported!AZ81)</f>
        <v/>
      </c>
      <c r="BB13" s="671">
        <f>IF(BB$2=1,Reported!BB81,Reported!BB81-Reported!BA81)</f>
        <v/>
      </c>
      <c r="BC13" s="671">
        <f>IF(BC$2=1,Reported!BC81,Reported!BC81-Reported!BB81)</f>
        <v/>
      </c>
      <c r="BD13" s="671">
        <f>IF(BD$2=1,Reported!BD81,Reported!BD81-Reported!BC81)</f>
        <v/>
      </c>
      <c r="BE13" s="671">
        <f>IF(BE$2=1,Reported!BE81,Reported!BE81-Reported!BD81)</f>
        <v/>
      </c>
      <c r="BF13" s="671">
        <f>IF(BF$2=1,Reported!BF81,Reported!BF81-Reported!BE81)</f>
        <v/>
      </c>
      <c r="BG13" s="671">
        <f>IF(BG$2=1,Reported!BG81,Reported!BG81-Reported!BF81)</f>
        <v/>
      </c>
      <c r="BH13" s="671">
        <f>IF(BH$2=1,Reported!BH81,Reported!BH81-Reported!BG81)</f>
        <v/>
      </c>
      <c r="BI13" s="671">
        <f>IF(BI$2=1,Reported!BI81,Reported!BI81-Reported!BH81)</f>
        <v/>
      </c>
      <c r="BJ13" s="671">
        <f>IF(BJ$2=1,Reported!BJ81,Reported!BJ81-Reported!BI81)</f>
        <v/>
      </c>
      <c r="BK13" s="671">
        <f>IF(BK$2=1,Reported!BK81,Reported!BK81-Reported!BJ81)</f>
        <v/>
      </c>
      <c r="BL13" s="671">
        <f>IF(BL$2=1,Reported!BL81,Reported!BL81-Reported!BK81)</f>
        <v/>
      </c>
      <c r="BM13" s="671">
        <f>IF(BM$2=1,Reported!BM81,Reported!BM81-Reported!BL81)</f>
        <v/>
      </c>
      <c r="BN13" s="671">
        <f>IF(BN$2=1,Reported!BN81,Reported!BN81-Reported!BM81)</f>
        <v/>
      </c>
      <c r="BO13" s="671">
        <f>IF(BO$2=1,Reported!BO81,Reported!BO81-Reported!BN81)</f>
        <v/>
      </c>
      <c r="BP13" s="671">
        <f>IF(BP$2=1,Reported!BP81,Reported!BP81-Reported!BO81)</f>
        <v/>
      </c>
      <c r="BQ13" s="671">
        <f>IF(BQ$2=1,Reported!BQ81,Reported!BQ81-Reported!BP81)</f>
        <v/>
      </c>
      <c r="BR13" s="671">
        <f>IF(BR$2=1,Reported!BR81,Reported!BR81-Reported!BQ81)</f>
        <v/>
      </c>
      <c r="BS13" s="519">
        <f>BS11-BS12</f>
        <v/>
      </c>
      <c r="BT13" s="519">
        <f>BT11-BT12</f>
        <v/>
      </c>
      <c r="BU13" s="519">
        <f>BU11-BU12</f>
        <v/>
      </c>
      <c r="BV13" s="519">
        <f>BV11-BV12</f>
        <v/>
      </c>
      <c r="BW13" s="519">
        <f>BW11-BW12</f>
        <v/>
      </c>
      <c r="BX13" s="519">
        <f>BX11-BX12</f>
        <v/>
      </c>
      <c r="BY13" s="519">
        <f>BY11-BY12</f>
        <v/>
      </c>
      <c r="BZ13" s="519">
        <f>BZ11-BZ12</f>
        <v/>
      </c>
      <c r="CA13" s="519">
        <f>CA11-CA12</f>
        <v/>
      </c>
      <c r="CB13" s="519">
        <f>CB11-CB12</f>
        <v/>
      </c>
      <c r="CC13" s="519">
        <f>CC11-CC12</f>
        <v/>
      </c>
      <c r="CD13" s="519">
        <f>CD11-CD12</f>
        <v/>
      </c>
      <c r="CE13" s="519">
        <f>CE11-CE12</f>
        <v/>
      </c>
      <c r="CF13" s="519">
        <f>CF11-CF12</f>
        <v/>
      </c>
      <c r="CG13" s="519">
        <f>CG11-CG12</f>
        <v/>
      </c>
      <c r="CH13" s="519">
        <f>CH11-CH12</f>
        <v/>
      </c>
      <c r="CI13" s="519">
        <f>CI11-CI12</f>
        <v/>
      </c>
      <c r="CJ13" s="519">
        <f>CJ11-CJ12</f>
        <v/>
      </c>
      <c r="CK13" s="519">
        <f>CK11-CK12</f>
        <v/>
      </c>
    </row>
    <row r="14">
      <c r="A14" s="33" t="inlineStr">
        <is>
          <t>Sales and marketing</t>
        </is>
      </c>
      <c r="B14" s="145" t="n"/>
      <c r="C14" s="145" t="n"/>
      <c r="D14" s="145" t="n"/>
      <c r="E14" s="145" t="n"/>
      <c r="F14" s="145" t="n"/>
      <c r="G14" s="145" t="n"/>
      <c r="H14" s="145" t="n"/>
      <c r="I14" s="145" t="n"/>
      <c r="J14" s="145" t="n"/>
      <c r="K14" s="145" t="n"/>
      <c r="L14" s="145" t="n"/>
      <c r="M14" s="145" t="n"/>
      <c r="N14" s="509">
        <f>IF(N$2=1,Reported!N82,Reported!N82-Reported!M82)</f>
        <v/>
      </c>
      <c r="O14" s="509">
        <f>IF(O$2=1,Reported!O82,Reported!O82-Reported!N82)</f>
        <v/>
      </c>
      <c r="P14" s="509">
        <f>IF(P$2=1,Reported!P82,Reported!P82-Reported!O82)</f>
        <v/>
      </c>
      <c r="Q14" s="509">
        <f>IF(Q$2=1,Reported!Q82,Reported!Q82-Reported!P82)</f>
        <v/>
      </c>
      <c r="R14" s="509">
        <f>IF(R$2=1,Reported!R82,Reported!R82-Reported!Q82)</f>
        <v/>
      </c>
      <c r="S14" s="509">
        <f>IF(S$2=1,Reported!S82,Reported!S82-Reported!R82)</f>
        <v/>
      </c>
      <c r="T14" s="509">
        <f>IF(T$2=1,Reported!T82,Reported!T82-Reported!S82)</f>
        <v/>
      </c>
      <c r="U14" s="509">
        <f>IF(U$2=1,Reported!U82,Reported!U82-Reported!T82)</f>
        <v/>
      </c>
      <c r="V14" s="509">
        <f>IF(V$2=1,Reported!V82,Reported!V82-Reported!U82)</f>
        <v/>
      </c>
      <c r="W14" s="509">
        <f>IF(W$2=1,Reported!W82,Reported!W82-Reported!V82)</f>
        <v/>
      </c>
      <c r="X14" s="509">
        <f>IF(X$2=1,Reported!X82,Reported!X82-Reported!W82)</f>
        <v/>
      </c>
      <c r="Y14" s="509">
        <f>IF(Y$2=1,Reported!Y82,Reported!Y82-Reported!X82)</f>
        <v/>
      </c>
      <c r="Z14" s="509">
        <f>IF(Z$2=1,Reported!Z82,Reported!Z82-Reported!Y82)</f>
        <v/>
      </c>
      <c r="AA14" s="509">
        <f>IF(AA$2=1,Reported!AA82,Reported!AA82-Reported!Z82)</f>
        <v/>
      </c>
      <c r="AB14" s="509">
        <f>IF(AB$2=1,Reported!AB82,Reported!AB82-Reported!AA82)</f>
        <v/>
      </c>
      <c r="AC14" s="509">
        <f>IF(AC$2=1,Reported!AC82,Reported!AC82-Reported!AB82)</f>
        <v/>
      </c>
      <c r="AD14" s="509">
        <f>IF(AD$2=1,Reported!AD82,Reported!AD82-Reported!AC82)</f>
        <v/>
      </c>
      <c r="AE14" s="509">
        <f>IF(AE$2=1,Reported!AE82,Reported!AE82-Reported!AD82)</f>
        <v/>
      </c>
      <c r="AF14" s="509">
        <f>IF(AF$2=1,Reported!AF82,Reported!AF82-Reported!AE82)</f>
        <v/>
      </c>
      <c r="AG14" s="509">
        <f>IF(AG$2=1,Reported!AG82,Reported!AG82-Reported!AF82)</f>
        <v/>
      </c>
      <c r="AH14" s="509">
        <f>IF(AH$2=1,Reported!AH82,Reported!AH82-Reported!AG82)</f>
        <v/>
      </c>
      <c r="AI14" s="509">
        <f>IF(AI$2=1,Reported!AI82,Reported!AI82-Reported!AH82)</f>
        <v/>
      </c>
      <c r="AJ14" s="509">
        <f>IF(AJ$2=1,Reported!AJ82,Reported!AJ82-Reported!AI82)</f>
        <v/>
      </c>
      <c r="AK14" s="509">
        <f>IF(AK$2=1,Reported!AK82,Reported!AK82-Reported!AJ82)</f>
        <v/>
      </c>
      <c r="AL14" s="509">
        <f>IF(AL$2=1,Reported!AL82,Reported!AL82-Reported!AK82)</f>
        <v/>
      </c>
      <c r="AM14" s="509">
        <f>IF(AM$2=1,Reported!AM82,Reported!AM82-Reported!AL82)</f>
        <v/>
      </c>
      <c r="AN14" s="509">
        <f>IF(AN$2=1,Reported!AN82,Reported!AN82-Reported!AM82)</f>
        <v/>
      </c>
      <c r="AO14" s="509">
        <f>IF(AO$2=1,Reported!AO82,Reported!AO82-Reported!AN82)</f>
        <v/>
      </c>
      <c r="AP14" s="509">
        <f>IF(AP$2=1,Reported!AP82,Reported!AP82-Reported!AO82)</f>
        <v/>
      </c>
      <c r="AQ14" s="509">
        <f>IF(AQ$2=1,Reported!AQ82,Reported!AQ82-Reported!AP82)</f>
        <v/>
      </c>
      <c r="AR14" s="509">
        <f>IF(AR$2=1,Reported!AR82,Reported!AR82-Reported!AQ82)</f>
        <v/>
      </c>
      <c r="AS14" s="509">
        <f>IF(AS$2=1,Reported!AS82,Reported!AS82-Reported!AR82)</f>
        <v/>
      </c>
      <c r="AT14" s="509">
        <f>IF(AT$2=1,Reported!AT82,Reported!AT82-Reported!AS82)</f>
        <v/>
      </c>
      <c r="AU14" s="509">
        <f>IF(AU$2=1,Reported!AU82,Reported!AU82-Reported!AT82)</f>
        <v/>
      </c>
      <c r="AV14" s="509">
        <f>IF(AV$2=1,Reported!AV82,Reported!AV82-Reported!AU82)</f>
        <v/>
      </c>
      <c r="AW14" s="509">
        <f>IF(AW$2=1,Reported!AW82,Reported!AW82-Reported!AV82)</f>
        <v/>
      </c>
      <c r="AX14" s="509">
        <f>IF(AX$2=1,Reported!AX82,Reported!AX82-Reported!AW82)</f>
        <v/>
      </c>
      <c r="AY14" s="509">
        <f>IF(AY$2=1,Reported!AY82,Reported!AY82-Reported!AX82)</f>
        <v/>
      </c>
      <c r="AZ14" s="509">
        <f>IF(AZ$2=1,Reported!AZ82,Reported!AZ82-Reported!AY82)</f>
        <v/>
      </c>
      <c r="BA14" s="509">
        <f>IF(BA$2=1,Reported!BA82,Reported!BA82-Reported!AZ82)</f>
        <v/>
      </c>
      <c r="BB14" s="509">
        <f>IF(BB$2=1,Reported!BB82,Reported!BB82-Reported!BA82)</f>
        <v/>
      </c>
      <c r="BC14" s="509">
        <f>IF(BC$2=1,Reported!BC82,Reported!BC82-Reported!BB82)</f>
        <v/>
      </c>
      <c r="BD14" s="509">
        <f>IF(BD$2=1,Reported!BD82,Reported!BD82-Reported!BC82)</f>
        <v/>
      </c>
      <c r="BE14" s="509">
        <f>IF(BE$2=1,Reported!BE82,Reported!BE82-Reported!BD82)</f>
        <v/>
      </c>
      <c r="BF14" s="509">
        <f>IF(BF$2=1,Reported!BF82,Reported!BF82-Reported!BE82)</f>
        <v/>
      </c>
      <c r="BG14" s="509">
        <f>IF(BG$2=1,Reported!BG82,Reported!BG82-Reported!BF82)</f>
        <v/>
      </c>
      <c r="BH14" s="509">
        <f>IF(BH$2=1,Reported!BH82,Reported!BH82-Reported!BG82)</f>
        <v/>
      </c>
      <c r="BI14" s="509">
        <f>IF(BI$2=1,Reported!BI82,Reported!BI82-Reported!BH82)</f>
        <v/>
      </c>
      <c r="BJ14" s="509">
        <f>IF(BJ$2=1,Reported!BJ82,Reported!BJ82-Reported!BI82)</f>
        <v/>
      </c>
      <c r="BK14" s="509">
        <f>IF(BK$2=1,Reported!BK82,Reported!BK82-Reported!BJ82)</f>
        <v/>
      </c>
      <c r="BL14" s="509">
        <f>IF(BL$2=1,Reported!BL82,Reported!BL82-Reported!BK82)</f>
        <v/>
      </c>
      <c r="BM14" s="509">
        <f>IF(BM$2=1,Reported!BM82,Reported!BM82-Reported!BL82)</f>
        <v/>
      </c>
      <c r="BN14" s="509">
        <f>IF(BN$2=1,Reported!BN82,Reported!BN82-Reported!BM82)</f>
        <v/>
      </c>
      <c r="BO14" s="509">
        <f>IF(BO$2=1,Reported!BO82,Reported!BO82-Reported!BN82)</f>
        <v/>
      </c>
      <c r="BP14" s="509">
        <f>IF(BP$2=1,Reported!BP82,Reported!BP82-Reported!BO82)</f>
        <v/>
      </c>
      <c r="BQ14" s="509">
        <f>IF(BQ$2=1,Reported!BQ82,Reported!BQ82-Reported!BP82)</f>
        <v/>
      </c>
      <c r="BR14" s="509">
        <f>IF(BR$2=1,Reported!BR82,Reported!BR82-Reported!BQ82)</f>
        <v/>
      </c>
      <c r="BS14" s="517">
        <f>Assumption!BS73</f>
        <v/>
      </c>
      <c r="BT14" s="517">
        <f>Assumption!BT73</f>
        <v/>
      </c>
      <c r="BU14" s="517">
        <f>Assumption!BU73</f>
        <v/>
      </c>
      <c r="BV14" s="517">
        <f>Assumption!BV73</f>
        <v/>
      </c>
      <c r="BW14" s="517">
        <f>Assumption!BW73</f>
        <v/>
      </c>
      <c r="BX14" s="517">
        <f>Assumption!BX73</f>
        <v/>
      </c>
      <c r="BY14" s="517">
        <f>Assumption!BY73</f>
        <v/>
      </c>
      <c r="BZ14" s="517">
        <f>Assumption!BZ73</f>
        <v/>
      </c>
      <c r="CA14" s="517">
        <f>Assumption!CA73</f>
        <v/>
      </c>
      <c r="CB14" s="517">
        <f>Assumption!CB73</f>
        <v/>
      </c>
      <c r="CC14" s="517">
        <f>Assumption!CC73</f>
        <v/>
      </c>
      <c r="CD14" s="517">
        <f>Assumption!CD73</f>
        <v/>
      </c>
      <c r="CE14" s="517">
        <f>Assumption!CE73</f>
        <v/>
      </c>
      <c r="CF14" s="517">
        <f>Assumption!CF73</f>
        <v/>
      </c>
      <c r="CG14" s="517">
        <f>Assumption!CG73</f>
        <v/>
      </c>
      <c r="CH14" s="517">
        <f>Assumption!CH73</f>
        <v/>
      </c>
      <c r="CI14" s="517">
        <f>Assumption!CI73</f>
        <v/>
      </c>
      <c r="CJ14" s="517">
        <f>Assumption!CJ73</f>
        <v/>
      </c>
      <c r="CK14" s="517">
        <f>Assumption!CK73</f>
        <v/>
      </c>
    </row>
    <row r="15">
      <c r="A15" s="33" t="inlineStr">
        <is>
          <t>Research and development</t>
        </is>
      </c>
      <c r="B15" s="145" t="n"/>
      <c r="C15" s="145" t="n"/>
      <c r="D15" s="145" t="n"/>
      <c r="E15" s="145" t="n"/>
      <c r="F15" s="145" t="n"/>
      <c r="G15" s="145" t="n"/>
      <c r="H15" s="145" t="n"/>
      <c r="I15" s="145" t="n"/>
      <c r="J15" s="145" t="n"/>
      <c r="K15" s="145" t="n"/>
      <c r="L15" s="145" t="n"/>
      <c r="M15" s="145" t="n"/>
      <c r="N15" s="509">
        <f>IF(N$2=1,Reported!N83,Reported!N83-Reported!M83)</f>
        <v/>
      </c>
      <c r="O15" s="509">
        <f>IF(O$2=1,Reported!O83,Reported!O83-Reported!N83)</f>
        <v/>
      </c>
      <c r="P15" s="509">
        <f>IF(P$2=1,Reported!P83,Reported!P83-Reported!O83)</f>
        <v/>
      </c>
      <c r="Q15" s="509">
        <f>IF(Q$2=1,Reported!Q83,Reported!Q83-Reported!P83)</f>
        <v/>
      </c>
      <c r="R15" s="509">
        <f>IF(R$2=1,Reported!R83,Reported!R83-Reported!Q83)</f>
        <v/>
      </c>
      <c r="S15" s="509">
        <f>IF(S$2=1,Reported!S83,Reported!S83-Reported!R83)</f>
        <v/>
      </c>
      <c r="T15" s="509">
        <f>IF(T$2=1,Reported!T83,Reported!T83-Reported!S83)</f>
        <v/>
      </c>
      <c r="U15" s="509">
        <f>IF(U$2=1,Reported!U83,Reported!U83-Reported!T83)</f>
        <v/>
      </c>
      <c r="V15" s="509">
        <f>IF(V$2=1,Reported!V83,Reported!V83-Reported!U83)</f>
        <v/>
      </c>
      <c r="W15" s="509">
        <f>IF(W$2=1,Reported!W83,Reported!W83-Reported!V83)</f>
        <v/>
      </c>
      <c r="X15" s="509">
        <f>IF(X$2=1,Reported!X83,Reported!X83-Reported!W83)</f>
        <v/>
      </c>
      <c r="Y15" s="509">
        <f>IF(Y$2=1,Reported!Y83,Reported!Y83-Reported!X83)</f>
        <v/>
      </c>
      <c r="Z15" s="509">
        <f>IF(Z$2=1,Reported!Z83,Reported!Z83-Reported!Y83)</f>
        <v/>
      </c>
      <c r="AA15" s="509">
        <f>IF(AA$2=1,Reported!AA83,Reported!AA83-Reported!Z83)</f>
        <v/>
      </c>
      <c r="AB15" s="509">
        <f>IF(AB$2=1,Reported!AB83,Reported!AB83-Reported!AA83)</f>
        <v/>
      </c>
      <c r="AC15" s="509">
        <f>IF(AC$2=1,Reported!AC83,Reported!AC83-Reported!AB83)</f>
        <v/>
      </c>
      <c r="AD15" s="509">
        <f>IF(AD$2=1,Reported!AD83,Reported!AD83-Reported!AC83)</f>
        <v/>
      </c>
      <c r="AE15" s="509">
        <f>IF(AE$2=1,Reported!AE83,Reported!AE83-Reported!AD83)</f>
        <v/>
      </c>
      <c r="AF15" s="509">
        <f>IF(AF$2=1,Reported!AF83,Reported!AF83-Reported!AE83)</f>
        <v/>
      </c>
      <c r="AG15" s="509">
        <f>IF(AG$2=1,Reported!AG83,Reported!AG83-Reported!AF83)</f>
        <v/>
      </c>
      <c r="AH15" s="509">
        <f>IF(AH$2=1,Reported!AH83,Reported!AH83-Reported!AG83)</f>
        <v/>
      </c>
      <c r="AI15" s="509">
        <f>IF(AI$2=1,Reported!AI83,Reported!AI83-Reported!AH83)</f>
        <v/>
      </c>
      <c r="AJ15" s="509">
        <f>IF(AJ$2=1,Reported!AJ83,Reported!AJ83-Reported!AI83)</f>
        <v/>
      </c>
      <c r="AK15" s="509">
        <f>IF(AK$2=1,Reported!AK83,Reported!AK83-Reported!AJ83)</f>
        <v/>
      </c>
      <c r="AL15" s="509">
        <f>IF(AL$2=1,Reported!AL83,Reported!AL83-Reported!AK83)</f>
        <v/>
      </c>
      <c r="AM15" s="509">
        <f>IF(AM$2=1,Reported!AM83,Reported!AM83-Reported!AL83)</f>
        <v/>
      </c>
      <c r="AN15" s="509">
        <f>IF(AN$2=1,Reported!AN83,Reported!AN83-Reported!AM83)</f>
        <v/>
      </c>
      <c r="AO15" s="509">
        <f>IF(AO$2=1,Reported!AO83,Reported!AO83-Reported!AN83)</f>
        <v/>
      </c>
      <c r="AP15" s="509">
        <f>IF(AP$2=1,Reported!AP83,Reported!AP83-Reported!AO83)</f>
        <v/>
      </c>
      <c r="AQ15" s="509">
        <f>IF(AQ$2=1,Reported!AQ83,Reported!AQ83-Reported!AP83)</f>
        <v/>
      </c>
      <c r="AR15" s="509">
        <f>IF(AR$2=1,Reported!AR83,Reported!AR83-Reported!AQ83)</f>
        <v/>
      </c>
      <c r="AS15" s="509">
        <f>IF(AS$2=1,Reported!AS83,Reported!AS83-Reported!AR83)</f>
        <v/>
      </c>
      <c r="AT15" s="509">
        <f>IF(AT$2=1,Reported!AT83,Reported!AT83-Reported!AS83)</f>
        <v/>
      </c>
      <c r="AU15" s="509">
        <f>IF(AU$2=1,Reported!AU83,Reported!AU83-Reported!AT83)</f>
        <v/>
      </c>
      <c r="AV15" s="509">
        <f>IF(AV$2=1,Reported!AV83,Reported!AV83-Reported!AU83)</f>
        <v/>
      </c>
      <c r="AW15" s="509">
        <f>IF(AW$2=1,Reported!AW83,Reported!AW83-Reported!AV83)</f>
        <v/>
      </c>
      <c r="AX15" s="509">
        <f>IF(AX$2=1,Reported!AX83,Reported!AX83-Reported!AW83)</f>
        <v/>
      </c>
      <c r="AY15" s="509">
        <f>IF(AY$2=1,Reported!AY83,Reported!AY83-Reported!AX83)</f>
        <v/>
      </c>
      <c r="AZ15" s="509">
        <f>IF(AZ$2=1,Reported!AZ83,Reported!AZ83-Reported!AY83)</f>
        <v/>
      </c>
      <c r="BA15" s="509">
        <f>IF(BA$2=1,Reported!BA83,Reported!BA83-Reported!AZ83)</f>
        <v/>
      </c>
      <c r="BB15" s="509">
        <f>IF(BB$2=1,Reported!BB83,Reported!BB83-Reported!BA83)</f>
        <v/>
      </c>
      <c r="BC15" s="509">
        <f>IF(BC$2=1,Reported!BC83,Reported!BC83-Reported!BB83)</f>
        <v/>
      </c>
      <c r="BD15" s="509">
        <f>IF(BD$2=1,Reported!BD83,Reported!BD83-Reported!BC83)</f>
        <v/>
      </c>
      <c r="BE15" s="509">
        <f>IF(BE$2=1,Reported!BE83,Reported!BE83-Reported!BD83)</f>
        <v/>
      </c>
      <c r="BF15" s="509">
        <f>IF(BF$2=1,Reported!BF83,Reported!BF83-Reported!BE83)</f>
        <v/>
      </c>
      <c r="BG15" s="509">
        <f>IF(BG$2=1,Reported!BG83,Reported!BG83-Reported!BF83)</f>
        <v/>
      </c>
      <c r="BH15" s="509">
        <f>IF(BH$2=1,Reported!BH83,Reported!BH83-Reported!BG83)</f>
        <v/>
      </c>
      <c r="BI15" s="509">
        <f>IF(BI$2=1,Reported!BI83,Reported!BI83-Reported!BH83)</f>
        <v/>
      </c>
      <c r="BJ15" s="509">
        <f>IF(BJ$2=1,Reported!BJ83,Reported!BJ83-Reported!BI83)</f>
        <v/>
      </c>
      <c r="BK15" s="509">
        <f>IF(BK$2=1,Reported!BK83,Reported!BK83-Reported!BJ83)</f>
        <v/>
      </c>
      <c r="BL15" s="509">
        <f>IF(BL$2=1,Reported!BL83,Reported!BL83-Reported!BK83)</f>
        <v/>
      </c>
      <c r="BM15" s="509">
        <f>IF(BM$2=1,Reported!BM83,Reported!BM83-Reported!BL83)</f>
        <v/>
      </c>
      <c r="BN15" s="509">
        <f>IF(BN$2=1,Reported!BN83,Reported!BN83-Reported!BM83)</f>
        <v/>
      </c>
      <c r="BO15" s="509">
        <f>IF(BO$2=1,Reported!BO83,Reported!BO83-Reported!BN83)</f>
        <v/>
      </c>
      <c r="BP15" s="509">
        <f>IF(BP$2=1,Reported!BP83,Reported!BP83-Reported!BO83)</f>
        <v/>
      </c>
      <c r="BQ15" s="509">
        <f>IF(BQ$2=1,Reported!BQ83,Reported!BQ83-Reported!BP83)</f>
        <v/>
      </c>
      <c r="BR15" s="509">
        <f>IF(BR$2=1,Reported!BR83,Reported!BR83-Reported!BQ83)</f>
        <v/>
      </c>
      <c r="BS15" s="517">
        <f>Assumption!BS76</f>
        <v/>
      </c>
      <c r="BT15" s="517">
        <f>Assumption!BT76</f>
        <v/>
      </c>
      <c r="BU15" s="517">
        <f>Assumption!BU76</f>
        <v/>
      </c>
      <c r="BV15" s="517">
        <f>Assumption!BV76</f>
        <v/>
      </c>
      <c r="BW15" s="517">
        <f>Assumption!BW76</f>
        <v/>
      </c>
      <c r="BX15" s="517">
        <f>Assumption!BX76</f>
        <v/>
      </c>
      <c r="BY15" s="517">
        <f>Assumption!BY76</f>
        <v/>
      </c>
      <c r="BZ15" s="517">
        <f>Assumption!BZ76</f>
        <v/>
      </c>
      <c r="CA15" s="517">
        <f>Assumption!CA76</f>
        <v/>
      </c>
      <c r="CB15" s="517">
        <f>Assumption!CB76</f>
        <v/>
      </c>
      <c r="CC15" s="517">
        <f>Assumption!CC76</f>
        <v/>
      </c>
      <c r="CD15" s="517">
        <f>Assumption!CD76</f>
        <v/>
      </c>
      <c r="CE15" s="517">
        <f>Assumption!CE76</f>
        <v/>
      </c>
      <c r="CF15" s="517">
        <f>Assumption!CF76</f>
        <v/>
      </c>
      <c r="CG15" s="517">
        <f>Assumption!CG76</f>
        <v/>
      </c>
      <c r="CH15" s="517">
        <f>Assumption!CH76</f>
        <v/>
      </c>
      <c r="CI15" s="517">
        <f>Assumption!CI76</f>
        <v/>
      </c>
      <c r="CJ15" s="517">
        <f>Assumption!CJ76</f>
        <v/>
      </c>
      <c r="CK15" s="517">
        <f>Assumption!CK76</f>
        <v/>
      </c>
    </row>
    <row r="16">
      <c r="A16" s="33" t="inlineStr">
        <is>
          <t>General and administrative</t>
        </is>
      </c>
      <c r="B16" s="145" t="n"/>
      <c r="C16" s="145" t="n"/>
      <c r="D16" s="145" t="n"/>
      <c r="E16" s="145" t="n"/>
      <c r="F16" s="145" t="n"/>
      <c r="G16" s="145" t="n"/>
      <c r="H16" s="145" t="n"/>
      <c r="I16" s="145" t="n"/>
      <c r="J16" s="145" t="n"/>
      <c r="K16" s="145" t="n"/>
      <c r="L16" s="145" t="n"/>
      <c r="M16" s="145" t="n"/>
      <c r="N16" s="509">
        <f>IF(N$2=1,Reported!N84,Reported!N84-Reported!M84)</f>
        <v/>
      </c>
      <c r="O16" s="509">
        <f>IF(O$2=1,Reported!O84,Reported!O84-Reported!N84)</f>
        <v/>
      </c>
      <c r="P16" s="509">
        <f>IF(P$2=1,Reported!P84,Reported!P84-Reported!O84)</f>
        <v/>
      </c>
      <c r="Q16" s="509">
        <f>IF(Q$2=1,Reported!Q84,Reported!Q84-Reported!P84)</f>
        <v/>
      </c>
      <c r="R16" s="509">
        <f>IF(R$2=1,Reported!R84,Reported!R84-Reported!Q84)</f>
        <v/>
      </c>
      <c r="S16" s="509">
        <f>IF(S$2=1,Reported!S84,Reported!S84-Reported!R84)</f>
        <v/>
      </c>
      <c r="T16" s="509">
        <f>IF(T$2=1,Reported!T84,Reported!T84-Reported!S84)</f>
        <v/>
      </c>
      <c r="U16" s="509">
        <f>IF(U$2=1,Reported!U84,Reported!U84-Reported!T84)</f>
        <v/>
      </c>
      <c r="V16" s="509">
        <f>IF(V$2=1,Reported!V84,Reported!V84-Reported!U84)</f>
        <v/>
      </c>
      <c r="W16" s="509">
        <f>IF(W$2=1,Reported!W84,Reported!W84-Reported!V84)</f>
        <v/>
      </c>
      <c r="X16" s="509">
        <f>IF(X$2=1,Reported!X84,Reported!X84-Reported!W84)</f>
        <v/>
      </c>
      <c r="Y16" s="509">
        <f>IF(Y$2=1,Reported!Y84,Reported!Y84-Reported!X84)</f>
        <v/>
      </c>
      <c r="Z16" s="509">
        <f>IF(Z$2=1,Reported!Z84,Reported!Z84-Reported!Y84)</f>
        <v/>
      </c>
      <c r="AA16" s="509">
        <f>IF(AA$2=1,Reported!AA84,Reported!AA84-Reported!Z84)</f>
        <v/>
      </c>
      <c r="AB16" s="509">
        <f>IF(AB$2=1,Reported!AB84,Reported!AB84-Reported!AA84)</f>
        <v/>
      </c>
      <c r="AC16" s="509">
        <f>IF(AC$2=1,Reported!AC84,Reported!AC84-Reported!AB84)</f>
        <v/>
      </c>
      <c r="AD16" s="509">
        <f>IF(AD$2=1,Reported!AD84,Reported!AD84-Reported!AC84)</f>
        <v/>
      </c>
      <c r="AE16" s="509">
        <f>IF(AE$2=1,Reported!AE84,Reported!AE84-Reported!AD84)</f>
        <v/>
      </c>
      <c r="AF16" s="509">
        <f>IF(AF$2=1,Reported!AF84,Reported!AF84-Reported!AE84)</f>
        <v/>
      </c>
      <c r="AG16" s="509">
        <f>IF(AG$2=1,Reported!AG84,Reported!AG84-Reported!AF84)</f>
        <v/>
      </c>
      <c r="AH16" s="509">
        <f>IF(AH$2=1,Reported!AH84,Reported!AH84-Reported!AG84)</f>
        <v/>
      </c>
      <c r="AI16" s="509">
        <f>IF(AI$2=1,Reported!AI84,Reported!AI84-Reported!AH84)</f>
        <v/>
      </c>
      <c r="AJ16" s="509">
        <f>IF(AJ$2=1,Reported!AJ84,Reported!AJ84-Reported!AI84)</f>
        <v/>
      </c>
      <c r="AK16" s="509">
        <f>IF(AK$2=1,Reported!AK84,Reported!AK84-Reported!AJ84)</f>
        <v/>
      </c>
      <c r="AL16" s="509">
        <f>IF(AL$2=1,Reported!AL84,Reported!AL84-Reported!AK84)</f>
        <v/>
      </c>
      <c r="AM16" s="509">
        <f>IF(AM$2=1,Reported!AM84,Reported!AM84-Reported!AL84)</f>
        <v/>
      </c>
      <c r="AN16" s="509">
        <f>IF(AN$2=1,Reported!AN84,Reported!AN84-Reported!AM84)</f>
        <v/>
      </c>
      <c r="AO16" s="509">
        <f>IF(AO$2=1,Reported!AO84,Reported!AO84-Reported!AN84)</f>
        <v/>
      </c>
      <c r="AP16" s="509">
        <f>IF(AP$2=1,Reported!AP84,Reported!AP84-Reported!AO84)</f>
        <v/>
      </c>
      <c r="AQ16" s="509">
        <f>IF(AQ$2=1,Reported!AQ84,Reported!AQ84-Reported!AP84)</f>
        <v/>
      </c>
      <c r="AR16" s="509">
        <f>IF(AR$2=1,Reported!AR84,Reported!AR84-Reported!AQ84)</f>
        <v/>
      </c>
      <c r="AS16" s="509">
        <f>IF(AS$2=1,Reported!AS84,Reported!AS84-Reported!AR84)</f>
        <v/>
      </c>
      <c r="AT16" s="509">
        <f>IF(AT$2=1,Reported!AT84,Reported!AT84-Reported!AS84)</f>
        <v/>
      </c>
      <c r="AU16" s="509">
        <f>IF(AU$2=1,Reported!AU84,Reported!AU84-Reported!AT84)</f>
        <v/>
      </c>
      <c r="AV16" s="509">
        <f>IF(AV$2=1,Reported!AV84,Reported!AV84-Reported!AU84)</f>
        <v/>
      </c>
      <c r="AW16" s="509">
        <f>IF(AW$2=1,Reported!AW84,Reported!AW84-Reported!AV84)</f>
        <v/>
      </c>
      <c r="AX16" s="509">
        <f>IF(AX$2=1,Reported!AX84,Reported!AX84-Reported!AW84)</f>
        <v/>
      </c>
      <c r="AY16" s="509">
        <f>IF(AY$2=1,Reported!AY84,Reported!AY84-Reported!AX84)</f>
        <v/>
      </c>
      <c r="AZ16" s="509">
        <f>IF(AZ$2=1,Reported!AZ84,Reported!AZ84-Reported!AY84)</f>
        <v/>
      </c>
      <c r="BA16" s="509">
        <f>IF(BA$2=1,Reported!BA84,Reported!BA84-Reported!AZ84)</f>
        <v/>
      </c>
      <c r="BB16" s="509">
        <f>IF(BB$2=1,Reported!BB84,Reported!BB84-Reported!BA84)</f>
        <v/>
      </c>
      <c r="BC16" s="509">
        <f>IF(BC$2=1,Reported!BC84,Reported!BC84-Reported!BB84)</f>
        <v/>
      </c>
      <c r="BD16" s="509">
        <f>IF(BD$2=1,Reported!BD84,Reported!BD84-Reported!BC84)</f>
        <v/>
      </c>
      <c r="BE16" s="509">
        <f>IF(BE$2=1,Reported!BE84,Reported!BE84-Reported!BD84)</f>
        <v/>
      </c>
      <c r="BF16" s="509">
        <f>IF(BF$2=1,Reported!BF84,Reported!BF84-Reported!BE84)</f>
        <v/>
      </c>
      <c r="BG16" s="509">
        <f>IF(BG$2=1,Reported!BG84,Reported!BG84-Reported!BF84)</f>
        <v/>
      </c>
      <c r="BH16" s="509">
        <f>IF(BH$2=1,Reported!BH84,Reported!BH84-Reported!BG84)</f>
        <v/>
      </c>
      <c r="BI16" s="509">
        <f>IF(BI$2=1,Reported!BI84,Reported!BI84-Reported!BH84)</f>
        <v/>
      </c>
      <c r="BJ16" s="509">
        <f>IF(BJ$2=1,Reported!BJ84,Reported!BJ84-Reported!BI84)</f>
        <v/>
      </c>
      <c r="BK16" s="509">
        <f>IF(BK$2=1,Reported!BK84,Reported!BK84-Reported!BJ84)</f>
        <v/>
      </c>
      <c r="BL16" s="509">
        <f>IF(BL$2=1,Reported!BL84,Reported!BL84-Reported!BK84)</f>
        <v/>
      </c>
      <c r="BM16" s="509">
        <f>IF(BM$2=1,Reported!BM84,Reported!BM84-Reported!BL84)</f>
        <v/>
      </c>
      <c r="BN16" s="509">
        <f>IF(BN$2=1,Reported!BN84,Reported!BN84-Reported!BM84)</f>
        <v/>
      </c>
      <c r="BO16" s="509">
        <f>IF(BO$2=1,Reported!BO84,Reported!BO84-Reported!BN84)</f>
        <v/>
      </c>
      <c r="BP16" s="509">
        <f>IF(BP$2=1,Reported!BP84,Reported!BP84-Reported!BO84)</f>
        <v/>
      </c>
      <c r="BQ16" s="509">
        <f>IF(BQ$2=1,Reported!BQ84,Reported!BQ84-Reported!BP84)</f>
        <v/>
      </c>
      <c r="BR16" s="509">
        <f>IF(BR$2=1,Reported!BR84,Reported!BR84-Reported!BQ84)</f>
        <v/>
      </c>
      <c r="BS16" s="517">
        <f>Assumption!BS79</f>
        <v/>
      </c>
      <c r="BT16" s="517">
        <f>Assumption!BT79</f>
        <v/>
      </c>
      <c r="BU16" s="517">
        <f>Assumption!BU79</f>
        <v/>
      </c>
      <c r="BV16" s="517">
        <f>Assumption!BV79</f>
        <v/>
      </c>
      <c r="BW16" s="517">
        <f>Assumption!BW79</f>
        <v/>
      </c>
      <c r="BX16" s="517">
        <f>Assumption!BX79</f>
        <v/>
      </c>
      <c r="BY16" s="517">
        <f>Assumption!BY79</f>
        <v/>
      </c>
      <c r="BZ16" s="517">
        <f>Assumption!BZ79</f>
        <v/>
      </c>
      <c r="CA16" s="517">
        <f>Assumption!CA79</f>
        <v/>
      </c>
      <c r="CB16" s="517">
        <f>Assumption!CB79</f>
        <v/>
      </c>
      <c r="CC16" s="517">
        <f>Assumption!CC79</f>
        <v/>
      </c>
      <c r="CD16" s="517">
        <f>Assumption!CD79</f>
        <v/>
      </c>
      <c r="CE16" s="517">
        <f>Assumption!CE79</f>
        <v/>
      </c>
      <c r="CF16" s="517">
        <f>Assumption!CF79</f>
        <v/>
      </c>
      <c r="CG16" s="517">
        <f>Assumption!CG79</f>
        <v/>
      </c>
      <c r="CH16" s="517">
        <f>Assumption!CH79</f>
        <v/>
      </c>
      <c r="CI16" s="517">
        <f>Assumption!CI79</f>
        <v/>
      </c>
      <c r="CJ16" s="517">
        <f>Assumption!CJ79</f>
        <v/>
      </c>
      <c r="CK16" s="517">
        <f>Assumption!CK79</f>
        <v/>
      </c>
    </row>
    <row r="17">
      <c r="A17" s="33" t="inlineStr">
        <is>
          <t>Loss (gain) on foreign exchange and others</t>
        </is>
      </c>
      <c r="B17" s="145" t="n"/>
      <c r="C17" s="145" t="n"/>
      <c r="D17" s="145" t="n"/>
      <c r="E17" s="145" t="n"/>
      <c r="F17" s="145" t="n"/>
      <c r="G17" s="145" t="n"/>
      <c r="H17" s="145" t="n"/>
      <c r="I17" s="145" t="n"/>
      <c r="J17" s="145" t="n"/>
      <c r="K17" s="145" t="n"/>
      <c r="L17" s="145" t="n"/>
      <c r="M17" s="145" t="n"/>
      <c r="N17" s="509">
        <f>IF(N$2=1,Reported!N85,Reported!N85-Reported!M85)</f>
        <v/>
      </c>
      <c r="O17" s="509">
        <f>IF(O$2=1,Reported!O85,Reported!O85-Reported!N85)</f>
        <v/>
      </c>
      <c r="P17" s="509">
        <f>IF(P$2=1,Reported!P85,Reported!P85-Reported!O85)</f>
        <v/>
      </c>
      <c r="Q17" s="509">
        <f>IF(Q$2=1,Reported!Q85,Reported!Q85-Reported!P85)</f>
        <v/>
      </c>
      <c r="R17" s="509">
        <f>IF(R$2=1,Reported!R85,Reported!R85-Reported!Q85)</f>
        <v/>
      </c>
      <c r="S17" s="509">
        <f>IF(S$2=1,Reported!S85,Reported!S85-Reported!R85)</f>
        <v/>
      </c>
      <c r="T17" s="509">
        <f>IF(T$2=1,Reported!T85,Reported!T85-Reported!S85)</f>
        <v/>
      </c>
      <c r="U17" s="509">
        <f>IF(U$2=1,Reported!U85,Reported!U85-Reported!T85)</f>
        <v/>
      </c>
      <c r="V17" s="509">
        <f>IF(V$2=1,Reported!V85,Reported!V85-Reported!U85)</f>
        <v/>
      </c>
      <c r="W17" s="509">
        <f>IF(W$2=1,Reported!W85,Reported!W85-Reported!V85)</f>
        <v/>
      </c>
      <c r="X17" s="509">
        <f>IF(X$2=1,Reported!X85,Reported!X85-Reported!W85)</f>
        <v/>
      </c>
      <c r="Y17" s="509">
        <f>IF(Y$2=1,Reported!Y85,Reported!Y85-Reported!X85)</f>
        <v/>
      </c>
      <c r="Z17" s="509">
        <f>IF(Z$2=1,Reported!Z85,Reported!Z85-Reported!Y85)</f>
        <v/>
      </c>
      <c r="AA17" s="509">
        <f>IF(AA$2=1,Reported!AA85,Reported!AA85-Reported!Z85)</f>
        <v/>
      </c>
      <c r="AB17" s="509">
        <f>IF(AB$2=1,Reported!AB85,Reported!AB85-Reported!AA85)</f>
        <v/>
      </c>
      <c r="AC17" s="509">
        <f>IF(AC$2=1,Reported!AC85,Reported!AC85-Reported!AB85)</f>
        <v/>
      </c>
      <c r="AD17" s="509">
        <f>IF(AD$2=1,Reported!AD85,Reported!AD85-Reported!AC85)</f>
        <v/>
      </c>
      <c r="AE17" s="509">
        <f>IF(AE$2=1,Reported!AE85,Reported!AE85-Reported!AD85)</f>
        <v/>
      </c>
      <c r="AF17" s="509">
        <f>IF(AF$2=1,Reported!AF85,Reported!AF85-Reported!AE85)</f>
        <v/>
      </c>
      <c r="AG17" s="509">
        <f>IF(AG$2=1,Reported!AG85,Reported!AG85-Reported!AF85)</f>
        <v/>
      </c>
      <c r="AH17" s="509">
        <f>IF(AH$2=1,Reported!AH85,Reported!AH85-Reported!AG85)</f>
        <v/>
      </c>
      <c r="AI17" s="509">
        <f>IF(AI$2=1,Reported!AI85,Reported!AI85-Reported!AH85)</f>
        <v/>
      </c>
      <c r="AJ17" s="509">
        <f>IF(AJ$2=1,Reported!AJ85,Reported!AJ85-Reported!AI85)</f>
        <v/>
      </c>
      <c r="AK17" s="509">
        <f>IF(AK$2=1,Reported!AK85,Reported!AK85-Reported!AJ85)</f>
        <v/>
      </c>
      <c r="AL17" s="509">
        <f>IF(AL$2=1,Reported!AL85,Reported!AL85-Reported!AK85)</f>
        <v/>
      </c>
      <c r="AM17" s="509">
        <f>IF(AM$2=1,Reported!AM85,Reported!AM85-Reported!AL85)</f>
        <v/>
      </c>
      <c r="AN17" s="509">
        <f>IF(AN$2=1,Reported!AN85,Reported!AN85-Reported!AM85)</f>
        <v/>
      </c>
      <c r="AO17" s="509">
        <f>IF(AO$2=1,Reported!AO85,Reported!AO85-Reported!AN85)</f>
        <v/>
      </c>
      <c r="AP17" s="509">
        <f>IF(AP$2=1,Reported!AP85,Reported!AP85-Reported!AO85)</f>
        <v/>
      </c>
      <c r="AQ17" s="509">
        <f>IF(AQ$2=1,Reported!AQ85,Reported!AQ85-Reported!AP85)</f>
        <v/>
      </c>
      <c r="AR17" s="509">
        <f>IF(AR$2=1,Reported!AR85,Reported!AR85-Reported!AQ85)</f>
        <v/>
      </c>
      <c r="AS17" s="509">
        <f>IF(AS$2=1,Reported!AS85,Reported!AS85-Reported!AR85)</f>
        <v/>
      </c>
      <c r="AT17" s="509">
        <f>IF(AT$2=1,Reported!AT85,Reported!AT85-Reported!AS85)</f>
        <v/>
      </c>
      <c r="AU17" s="509">
        <f>IF(AU$2=1,Reported!AU85,Reported!AU85-Reported!AT85)</f>
        <v/>
      </c>
      <c r="AV17" s="509">
        <f>IF(AV$2=1,Reported!AV85,Reported!AV85-Reported!AU85)</f>
        <v/>
      </c>
      <c r="AW17" s="509">
        <f>IF(AW$2=1,Reported!AW85,Reported!AW85-Reported!AV85)</f>
        <v/>
      </c>
      <c r="AX17" s="509">
        <f>IF(AX$2=1,Reported!AX85,Reported!AX85-Reported!AW85)</f>
        <v/>
      </c>
      <c r="AY17" s="509">
        <f>IF(AY$2=1,Reported!AY85,Reported!AY85-Reported!AX85)</f>
        <v/>
      </c>
      <c r="AZ17" s="509">
        <f>IF(AZ$2=1,Reported!AZ85,Reported!AZ85-Reported!AY85)</f>
        <v/>
      </c>
      <c r="BA17" s="509">
        <f>IF(BA$2=1,Reported!BA85,Reported!BA85-Reported!AZ85)</f>
        <v/>
      </c>
      <c r="BB17" s="509">
        <f>IF(BB$2=1,Reported!BB85,Reported!BB85-Reported!BA85)</f>
        <v/>
      </c>
      <c r="BC17" s="509">
        <f>IF(BC$2=1,Reported!BC85,Reported!BC85-Reported!BB85)</f>
        <v/>
      </c>
      <c r="BD17" s="509">
        <f>IF(BD$2=1,Reported!BD85,Reported!BD85-Reported!BC85)</f>
        <v/>
      </c>
      <c r="BE17" s="509">
        <f>IF(BE$2=1,Reported!BE85,Reported!BE85-Reported!BD85)</f>
        <v/>
      </c>
      <c r="BF17" s="509">
        <f>IF(BF$2=1,Reported!BF85,Reported!BF85-Reported!BE85)</f>
        <v/>
      </c>
      <c r="BG17" s="509">
        <f>IF(BG$2=1,Reported!BG85,Reported!BG85-Reported!BF85)</f>
        <v/>
      </c>
      <c r="BH17" s="509">
        <f>IF(BH$2=1,Reported!BH85,Reported!BH85-Reported!BG85)</f>
        <v/>
      </c>
      <c r="BI17" s="509">
        <f>IF(BI$2=1,Reported!BI85,Reported!BI85-Reported!BH85)</f>
        <v/>
      </c>
      <c r="BJ17" s="509">
        <f>IF(BJ$2=1,Reported!BJ85,Reported!BJ85-Reported!BI85)</f>
        <v/>
      </c>
      <c r="BK17" s="509">
        <f>IF(BK$2=1,Reported!BK85,Reported!BK85-Reported!BJ85)</f>
        <v/>
      </c>
      <c r="BL17" s="509">
        <f>IF(BL$2=1,Reported!BL85,Reported!BL85-Reported!BK85)</f>
        <v/>
      </c>
      <c r="BM17" s="509">
        <f>IF(BM$2=1,Reported!BM85,Reported!BM85-Reported!BL85)</f>
        <v/>
      </c>
      <c r="BN17" s="509">
        <f>IF(BN$2=1,Reported!BN85,Reported!BN85-Reported!BM85)</f>
        <v/>
      </c>
      <c r="BO17" s="509">
        <f>IF(BO$2=1,Reported!BO85,Reported!BO85-Reported!BN85)</f>
        <v/>
      </c>
      <c r="BP17" s="509">
        <f>IF(BP$2=1,Reported!BP85,Reported!BP85-Reported!BO85)</f>
        <v/>
      </c>
      <c r="BQ17" s="509">
        <f>IF(BQ$2=1,Reported!BQ85,Reported!BQ85-Reported!BP85)</f>
        <v/>
      </c>
      <c r="BR17" s="509">
        <f>IF(BR$2=1,Reported!BR85,Reported!BR85-Reported!BQ85)</f>
        <v/>
      </c>
      <c r="BS17" s="517">
        <f>Assumption!BS85</f>
        <v/>
      </c>
      <c r="BT17" s="517">
        <f>Assumption!BT85</f>
        <v/>
      </c>
      <c r="BU17" s="517">
        <f>Assumption!BU85</f>
        <v/>
      </c>
      <c r="BV17" s="517">
        <f>Assumption!BV85</f>
        <v/>
      </c>
      <c r="BW17" s="517">
        <f>Assumption!BW85</f>
        <v/>
      </c>
      <c r="BX17" s="517">
        <f>Assumption!BX85</f>
        <v/>
      </c>
      <c r="BY17" s="517">
        <f>Assumption!BY85</f>
        <v/>
      </c>
      <c r="BZ17" s="517">
        <f>Assumption!BZ85</f>
        <v/>
      </c>
      <c r="CA17" s="517">
        <f>Assumption!CA85</f>
        <v/>
      </c>
      <c r="CB17" s="517">
        <f>Assumption!CB85</f>
        <v/>
      </c>
      <c r="CC17" s="517">
        <f>Assumption!CC85</f>
        <v/>
      </c>
      <c r="CD17" s="517">
        <f>Assumption!CD85</f>
        <v/>
      </c>
      <c r="CE17" s="517">
        <f>Assumption!CE85</f>
        <v/>
      </c>
      <c r="CF17" s="517">
        <f>Assumption!CF85</f>
        <v/>
      </c>
      <c r="CG17" s="517">
        <f>Assumption!CG85</f>
        <v/>
      </c>
      <c r="CH17" s="517">
        <f>Assumption!CH85</f>
        <v/>
      </c>
      <c r="CI17" s="517">
        <f>Assumption!CI85</f>
        <v/>
      </c>
      <c r="CJ17" s="517">
        <f>Assumption!CJ85</f>
        <v/>
      </c>
      <c r="CK17" s="517">
        <f>Assumption!CK85</f>
        <v/>
      </c>
    </row>
    <row r="18">
      <c r="A18" s="74" t="inlineStr">
        <is>
          <t>Total operating expenses</t>
        </is>
      </c>
      <c r="B18" s="145" t="n"/>
      <c r="C18" s="145" t="n"/>
      <c r="D18" s="145" t="n"/>
      <c r="E18" s="145" t="n"/>
      <c r="F18" s="145" t="n"/>
      <c r="G18" s="145" t="n"/>
      <c r="H18" s="145" t="n"/>
      <c r="I18" s="145" t="n"/>
      <c r="J18" s="145" t="n"/>
      <c r="K18" s="145" t="n"/>
      <c r="L18" s="145" t="n"/>
      <c r="M18" s="145" t="n"/>
      <c r="N18" s="509">
        <f>IF(N$2=1,Reported!N86,Reported!N86-Reported!M86)</f>
        <v/>
      </c>
      <c r="O18" s="509">
        <f>IF(O$2=1,Reported!O86,Reported!O86-Reported!N86)</f>
        <v/>
      </c>
      <c r="P18" s="509">
        <f>IF(P$2=1,Reported!P86,Reported!P86-Reported!O86)</f>
        <v/>
      </c>
      <c r="Q18" s="509">
        <f>IF(Q$2=1,Reported!Q86,Reported!Q86-Reported!P86)</f>
        <v/>
      </c>
      <c r="R18" s="509">
        <f>IF(R$2=1,Reported!R86,Reported!R86-Reported!Q86)</f>
        <v/>
      </c>
      <c r="S18" s="509">
        <f>IF(S$2=1,Reported!S86,Reported!S86-Reported!R86)</f>
        <v/>
      </c>
      <c r="T18" s="509">
        <f>IF(T$2=1,Reported!T86,Reported!T86-Reported!S86)</f>
        <v/>
      </c>
      <c r="U18" s="509">
        <f>IF(U$2=1,Reported!U86,Reported!U86-Reported!T86)</f>
        <v/>
      </c>
      <c r="V18" s="509">
        <f>IF(V$2=1,Reported!V86,Reported!V86-Reported!U86)</f>
        <v/>
      </c>
      <c r="W18" s="509">
        <f>IF(W$2=1,Reported!W86,Reported!W86-Reported!V86)</f>
        <v/>
      </c>
      <c r="X18" s="509">
        <f>IF(X$2=1,Reported!X86,Reported!X86-Reported!W86)</f>
        <v/>
      </c>
      <c r="Y18" s="509">
        <f>IF(Y$2=1,Reported!Y86,Reported!Y86-Reported!X86)</f>
        <v/>
      </c>
      <c r="Z18" s="509">
        <f>IF(Z$2=1,Reported!Z86,Reported!Z86-Reported!Y86)</f>
        <v/>
      </c>
      <c r="AA18" s="509">
        <f>IF(AA$2=1,Reported!AA86,Reported!AA86-Reported!Z86)</f>
        <v/>
      </c>
      <c r="AB18" s="509">
        <f>IF(AB$2=1,Reported!AB86,Reported!AB86-Reported!AA86)</f>
        <v/>
      </c>
      <c r="AC18" s="509">
        <f>IF(AC$2=1,Reported!AC86,Reported!AC86-Reported!AB86)</f>
        <v/>
      </c>
      <c r="AD18" s="509">
        <f>IF(AD$2=1,Reported!AD86,Reported!AD86-Reported!AC86)</f>
        <v/>
      </c>
      <c r="AE18" s="509">
        <f>IF(AE$2=1,Reported!AE86,Reported!AE86-Reported!AD86)</f>
        <v/>
      </c>
      <c r="AF18" s="509">
        <f>IF(AF$2=1,Reported!AF86,Reported!AF86-Reported!AE86)</f>
        <v/>
      </c>
      <c r="AG18" s="509">
        <f>IF(AG$2=1,Reported!AG86,Reported!AG86-Reported!AF86)</f>
        <v/>
      </c>
      <c r="AH18" s="509">
        <f>IF(AH$2=1,Reported!AH86,Reported!AH86-Reported!AG86)</f>
        <v/>
      </c>
      <c r="AI18" s="509">
        <f>IF(AI$2=1,Reported!AI86,Reported!AI86-Reported!AH86)</f>
        <v/>
      </c>
      <c r="AJ18" s="509">
        <f>IF(AJ$2=1,Reported!AJ86,Reported!AJ86-Reported!AI86)</f>
        <v/>
      </c>
      <c r="AK18" s="509">
        <f>IF(AK$2=1,Reported!AK86,Reported!AK86-Reported!AJ86)</f>
        <v/>
      </c>
      <c r="AL18" s="509">
        <f>IF(AL$2=1,Reported!AL86,Reported!AL86-Reported!AK86)</f>
        <v/>
      </c>
      <c r="AM18" s="509">
        <f>IF(AM$2=1,Reported!AM86,Reported!AM86-Reported!AL86)</f>
        <v/>
      </c>
      <c r="AN18" s="509">
        <f>IF(AN$2=1,Reported!AN86,Reported!AN86-Reported!AM86)</f>
        <v/>
      </c>
      <c r="AO18" s="509">
        <f>IF(AO$2=1,Reported!AO86,Reported!AO86-Reported!AN86)</f>
        <v/>
      </c>
      <c r="AP18" s="509">
        <f>IF(AP$2=1,Reported!AP86,Reported!AP86-Reported!AO86)</f>
        <v/>
      </c>
      <c r="AQ18" s="509">
        <f>IF(AQ$2=1,Reported!AQ86,Reported!AQ86-Reported!AP86)</f>
        <v/>
      </c>
      <c r="AR18" s="509">
        <f>IF(AR$2=1,Reported!AR86,Reported!AR86-Reported!AQ86)</f>
        <v/>
      </c>
      <c r="AS18" s="509">
        <f>IF(AS$2=1,Reported!AS86,Reported!AS86-Reported!AR86)</f>
        <v/>
      </c>
      <c r="AT18" s="509">
        <f>IF(AT$2=1,Reported!AT86,Reported!AT86-Reported!AS86)</f>
        <v/>
      </c>
      <c r="AU18" s="509">
        <f>IF(AU$2=1,Reported!AU86,Reported!AU86-Reported!AT86)</f>
        <v/>
      </c>
      <c r="AV18" s="509">
        <f>IF(AV$2=1,Reported!AV86,Reported!AV86-Reported!AU86)</f>
        <v/>
      </c>
      <c r="AW18" s="509">
        <f>IF(AW$2=1,Reported!AW86,Reported!AW86-Reported!AV86)</f>
        <v/>
      </c>
      <c r="AX18" s="509">
        <f>IF(AX$2=1,Reported!AX86,Reported!AX86-Reported!AW86)</f>
        <v/>
      </c>
      <c r="AY18" s="509">
        <f>IF(AY$2=1,Reported!AY86,Reported!AY86-Reported!AX86)</f>
        <v/>
      </c>
      <c r="AZ18" s="509">
        <f>IF(AZ$2=1,Reported!AZ86,Reported!AZ86-Reported!AY86)</f>
        <v/>
      </c>
      <c r="BA18" s="509">
        <f>IF(BA$2=1,Reported!BA86,Reported!BA86-Reported!AZ86)</f>
        <v/>
      </c>
      <c r="BB18" s="509">
        <f>IF(BB$2=1,Reported!BB86,Reported!BB86-Reported!BA86)</f>
        <v/>
      </c>
      <c r="BC18" s="509">
        <f>IF(BC$2=1,Reported!BC86,Reported!BC86-Reported!BB86)</f>
        <v/>
      </c>
      <c r="BD18" s="509">
        <f>IF(BD$2=1,Reported!BD86,Reported!BD86-Reported!BC86)</f>
        <v/>
      </c>
      <c r="BE18" s="509">
        <f>IF(BE$2=1,Reported!BE86,Reported!BE86-Reported!BD86)</f>
        <v/>
      </c>
      <c r="BF18" s="509">
        <f>IF(BF$2=1,Reported!BF86,Reported!BF86-Reported!BE86)</f>
        <v/>
      </c>
      <c r="BG18" s="509">
        <f>IF(BG$2=1,Reported!BG86,Reported!BG86-Reported!BF86)</f>
        <v/>
      </c>
      <c r="BH18" s="509">
        <f>IF(BH$2=1,Reported!BH86,Reported!BH86-Reported!BG86)</f>
        <v/>
      </c>
      <c r="BI18" s="509">
        <f>IF(BI$2=1,Reported!BI86,Reported!BI86-Reported!BH86)</f>
        <v/>
      </c>
      <c r="BJ18" s="509">
        <f>IF(BJ$2=1,Reported!BJ86,Reported!BJ86-Reported!BI86)</f>
        <v/>
      </c>
      <c r="BK18" s="509">
        <f>IF(BK$2=1,Reported!BK86,Reported!BK86-Reported!BJ86)</f>
        <v/>
      </c>
      <c r="BL18" s="509">
        <f>IF(BL$2=1,Reported!BL86,Reported!BL86-Reported!BK86)</f>
        <v/>
      </c>
      <c r="BM18" s="509">
        <f>IF(BM$2=1,Reported!BM86,Reported!BM86-Reported!BL86)</f>
        <v/>
      </c>
      <c r="BN18" s="509">
        <f>IF(BN$2=1,Reported!BN86,Reported!BN86-Reported!BM86)</f>
        <v/>
      </c>
      <c r="BO18" s="509">
        <f>IF(BO$2=1,Reported!BO86,Reported!BO86-Reported!BN86)</f>
        <v/>
      </c>
      <c r="BP18" s="509">
        <f>IF(BP$2=1,Reported!BP86,Reported!BP86-Reported!BO86)</f>
        <v/>
      </c>
      <c r="BQ18" s="509">
        <f>IF(BQ$2=1,Reported!BQ86,Reported!BQ86-Reported!BP86)</f>
        <v/>
      </c>
      <c r="BR18" s="509">
        <f>IF(BR$2=1,Reported!BR86,Reported!BR86-Reported!BQ86)</f>
        <v/>
      </c>
      <c r="BS18" s="517">
        <f>SUM(BS14:BS17)</f>
        <v/>
      </c>
      <c r="BT18" s="517">
        <f>SUM(BT14:BT17)</f>
        <v/>
      </c>
      <c r="BU18" s="517">
        <f>SUM(BU14:BU17)</f>
        <v/>
      </c>
      <c r="BV18" s="517">
        <f>SUM(BV14:BV17)</f>
        <v/>
      </c>
      <c r="BW18" s="517">
        <f>SUM(BW14:BW17)</f>
        <v/>
      </c>
      <c r="BX18" s="517">
        <f>SUM(BX14:BX17)</f>
        <v/>
      </c>
      <c r="BY18" s="517">
        <f>SUM(BY14:BY17)</f>
        <v/>
      </c>
      <c r="BZ18" s="517">
        <f>SUM(BZ14:BZ17)</f>
        <v/>
      </c>
      <c r="CA18" s="517">
        <f>SUM(CA14:CA17)</f>
        <v/>
      </c>
      <c r="CB18" s="517">
        <f>SUM(CB14:CB17)</f>
        <v/>
      </c>
      <c r="CC18" s="517">
        <f>SUM(CC14:CC17)</f>
        <v/>
      </c>
      <c r="CD18" s="517">
        <f>SUM(CD14:CD17)</f>
        <v/>
      </c>
      <c r="CE18" s="517">
        <f>SUM(CE14:CE17)</f>
        <v/>
      </c>
      <c r="CF18" s="517">
        <f>SUM(CF14:CF17)</f>
        <v/>
      </c>
      <c r="CG18" s="517">
        <f>SUM(CG14:CG17)</f>
        <v/>
      </c>
      <c r="CH18" s="517">
        <f>SUM(CH14:CH17)</f>
        <v/>
      </c>
      <c r="CI18" s="517">
        <f>SUM(CI14:CI17)</f>
        <v/>
      </c>
      <c r="CJ18" s="517">
        <f>SUM(CJ14:CJ17)</f>
        <v/>
      </c>
      <c r="CK18" s="517">
        <f>SUM(CK14:CK17)</f>
        <v/>
      </c>
    </row>
    <row r="19">
      <c r="A19" s="22" t="inlineStr">
        <is>
          <t>Operating Income</t>
        </is>
      </c>
      <c r="B19" s="133" t="n"/>
      <c r="C19" s="133" t="n"/>
      <c r="D19" s="133" t="n"/>
      <c r="E19" s="133" t="n"/>
      <c r="F19" s="133" t="n"/>
      <c r="G19" s="133" t="n"/>
      <c r="H19" s="133" t="n"/>
      <c r="I19" s="133" t="n"/>
      <c r="J19" s="133" t="n"/>
      <c r="K19" s="133" t="n"/>
      <c r="L19" s="133" t="n"/>
      <c r="M19" s="133" t="n"/>
      <c r="N19" s="671">
        <f>IF(N$2=1,Reported!N87,Reported!N87-Reported!M87)</f>
        <v/>
      </c>
      <c r="O19" s="671">
        <f>IF(O$2=1,Reported!O87,Reported!O87-Reported!N87)</f>
        <v/>
      </c>
      <c r="P19" s="671">
        <f>IF(P$2=1,Reported!P87,Reported!P87-Reported!O87)</f>
        <v/>
      </c>
      <c r="Q19" s="671">
        <f>IF(Q$2=1,Reported!Q87,Reported!Q87-Reported!P87)</f>
        <v/>
      </c>
      <c r="R19" s="671">
        <f>IF(R$2=1,Reported!R87,Reported!R87-Reported!Q87)</f>
        <v/>
      </c>
      <c r="S19" s="671">
        <f>IF(S$2=1,Reported!S87,Reported!S87-Reported!R87)</f>
        <v/>
      </c>
      <c r="T19" s="671">
        <f>IF(T$2=1,Reported!T87,Reported!T87-Reported!S87)</f>
        <v/>
      </c>
      <c r="U19" s="671">
        <f>IF(U$2=1,Reported!U87,Reported!U87-Reported!T87)</f>
        <v/>
      </c>
      <c r="V19" s="671">
        <f>IF(V$2=1,Reported!V87,Reported!V87-Reported!U87)</f>
        <v/>
      </c>
      <c r="W19" s="671">
        <f>IF(W$2=1,Reported!W87,Reported!W87-Reported!V87)</f>
        <v/>
      </c>
      <c r="X19" s="671">
        <f>IF(X$2=1,Reported!X87,Reported!X87-Reported!W87)</f>
        <v/>
      </c>
      <c r="Y19" s="671">
        <f>IF(Y$2=1,Reported!Y87,Reported!Y87-Reported!X87)</f>
        <v/>
      </c>
      <c r="Z19" s="671">
        <f>IF(Z$2=1,Reported!Z87,Reported!Z87-Reported!Y87)</f>
        <v/>
      </c>
      <c r="AA19" s="671">
        <f>IF(AA$2=1,Reported!AA87,Reported!AA87-Reported!Z87)</f>
        <v/>
      </c>
      <c r="AB19" s="671">
        <f>IF(AB$2=1,Reported!AB87,Reported!AB87-Reported!AA87)</f>
        <v/>
      </c>
      <c r="AC19" s="671">
        <f>IF(AC$2=1,Reported!AC87,Reported!AC87-Reported!AB87)</f>
        <v/>
      </c>
      <c r="AD19" s="671">
        <f>IF(AD$2=1,Reported!AD87,Reported!AD87-Reported!AC87)</f>
        <v/>
      </c>
      <c r="AE19" s="671">
        <f>IF(AE$2=1,Reported!AE87,Reported!AE87-Reported!AD87)</f>
        <v/>
      </c>
      <c r="AF19" s="671">
        <f>IF(AF$2=1,Reported!AF87,Reported!AF87-Reported!AE87)</f>
        <v/>
      </c>
      <c r="AG19" s="671">
        <f>IF(AG$2=1,Reported!AG87,Reported!AG87-Reported!AF87)</f>
        <v/>
      </c>
      <c r="AH19" s="671">
        <f>IF(AH$2=1,Reported!AH87,Reported!AH87-Reported!AG87)</f>
        <v/>
      </c>
      <c r="AI19" s="671">
        <f>IF(AI$2=1,Reported!AI87,Reported!AI87-Reported!AH87)</f>
        <v/>
      </c>
      <c r="AJ19" s="671">
        <f>IF(AJ$2=1,Reported!AJ87,Reported!AJ87-Reported!AI87)</f>
        <v/>
      </c>
      <c r="AK19" s="671">
        <f>IF(AK$2=1,Reported!AK87,Reported!AK87-Reported!AJ87)</f>
        <v/>
      </c>
      <c r="AL19" s="671">
        <f>IF(AL$2=1,Reported!AL87,Reported!AL87-Reported!AK87)</f>
        <v/>
      </c>
      <c r="AM19" s="671">
        <f>IF(AM$2=1,Reported!AM87,Reported!AM87-Reported!AL87)</f>
        <v/>
      </c>
      <c r="AN19" s="671">
        <f>IF(AN$2=1,Reported!AN87,Reported!AN87-Reported!AM87)</f>
        <v/>
      </c>
      <c r="AO19" s="671">
        <f>IF(AO$2=1,Reported!AO87,Reported!AO87-Reported!AN87)</f>
        <v/>
      </c>
      <c r="AP19" s="671">
        <f>IF(AP$2=1,Reported!AP87,Reported!AP87-Reported!AO87)</f>
        <v/>
      </c>
      <c r="AQ19" s="671">
        <f>IF(AQ$2=1,Reported!AQ87,Reported!AQ87-Reported!AP87)</f>
        <v/>
      </c>
      <c r="AR19" s="671">
        <f>IF(AR$2=1,Reported!AR87,Reported!AR87-Reported!AQ87)</f>
        <v/>
      </c>
      <c r="AS19" s="671">
        <f>IF(AS$2=1,Reported!AS87,Reported!AS87-Reported!AR87)</f>
        <v/>
      </c>
      <c r="AT19" s="671">
        <f>IF(AT$2=1,Reported!AT87,Reported!AT87-Reported!AS87)</f>
        <v/>
      </c>
      <c r="AU19" s="671">
        <f>IF(AU$2=1,Reported!AU87,Reported!AU87-Reported!AT87)</f>
        <v/>
      </c>
      <c r="AV19" s="671">
        <f>IF(AV$2=1,Reported!AV87,Reported!AV87-Reported!AU87)</f>
        <v/>
      </c>
      <c r="AW19" s="671">
        <f>IF(AW$2=1,Reported!AW87,Reported!AW87-Reported!AV87)</f>
        <v/>
      </c>
      <c r="AX19" s="671">
        <f>IF(AX$2=1,Reported!AX87,Reported!AX87-Reported!AW87)</f>
        <v/>
      </c>
      <c r="AY19" s="671">
        <f>IF(AY$2=1,Reported!AY87,Reported!AY87-Reported!AX87)</f>
        <v/>
      </c>
      <c r="AZ19" s="671">
        <f>IF(AZ$2=1,Reported!AZ87,Reported!AZ87-Reported!AY87)</f>
        <v/>
      </c>
      <c r="BA19" s="671">
        <f>IF(BA$2=1,Reported!BA87,Reported!BA87-Reported!AZ87)</f>
        <v/>
      </c>
      <c r="BB19" s="671">
        <f>IF(BB$2=1,Reported!BB87,Reported!BB87-Reported!BA87)</f>
        <v/>
      </c>
      <c r="BC19" s="671">
        <f>IF(BC$2=1,Reported!BC87,Reported!BC87-Reported!BB87)</f>
        <v/>
      </c>
      <c r="BD19" s="671">
        <f>IF(BD$2=1,Reported!BD87,Reported!BD87-Reported!BC87)</f>
        <v/>
      </c>
      <c r="BE19" s="671">
        <f>IF(BE$2=1,Reported!BE87,Reported!BE87-Reported!BD87)</f>
        <v/>
      </c>
      <c r="BF19" s="671">
        <f>IF(BF$2=1,Reported!BF87,Reported!BF87-Reported!BE87)</f>
        <v/>
      </c>
      <c r="BG19" s="671">
        <f>IF(BG$2=1,Reported!BG87,Reported!BG87-Reported!BF87)</f>
        <v/>
      </c>
      <c r="BH19" s="671">
        <f>IF(BH$2=1,Reported!BH87,Reported!BH87-Reported!BG87)</f>
        <v/>
      </c>
      <c r="BI19" s="671">
        <f>IF(BI$2=1,Reported!BI87,Reported!BI87-Reported!BH87)</f>
        <v/>
      </c>
      <c r="BJ19" s="671">
        <f>IF(BJ$2=1,Reported!BJ87,Reported!BJ87-Reported!BI87)</f>
        <v/>
      </c>
      <c r="BK19" s="671">
        <f>IF(BK$2=1,Reported!BK87,Reported!BK87-Reported!BJ87)</f>
        <v/>
      </c>
      <c r="BL19" s="671">
        <f>IF(BL$2=1,Reported!BL87,Reported!BL87-Reported!BK87)</f>
        <v/>
      </c>
      <c r="BM19" s="671">
        <f>IF(BM$2=1,Reported!BM87,Reported!BM87-Reported!BL87)</f>
        <v/>
      </c>
      <c r="BN19" s="671">
        <f>IF(BN$2=1,Reported!BN87,Reported!BN87-Reported!BM87)</f>
        <v/>
      </c>
      <c r="BO19" s="671">
        <f>IF(BO$2=1,Reported!BO87,Reported!BO87-Reported!BN87)</f>
        <v/>
      </c>
      <c r="BP19" s="671">
        <f>IF(BP$2=1,Reported!BP87,Reported!BP87-Reported!BO87)</f>
        <v/>
      </c>
      <c r="BQ19" s="671">
        <f>IF(BQ$2=1,Reported!BQ87,Reported!BQ87-Reported!BP87)</f>
        <v/>
      </c>
      <c r="BR19" s="671">
        <f>IF(BR$2=1,Reported!BR87,Reported!BR87-Reported!BQ87)</f>
        <v/>
      </c>
      <c r="BS19" s="519">
        <f>Assumption!BS88</f>
        <v/>
      </c>
      <c r="BT19" s="519">
        <f>Assumption!BT88</f>
        <v/>
      </c>
      <c r="BU19" s="519">
        <f>Assumption!BU88</f>
        <v/>
      </c>
      <c r="BV19" s="519">
        <f>Assumption!BV88</f>
        <v/>
      </c>
      <c r="BW19" s="519">
        <f>Assumption!BW88</f>
        <v/>
      </c>
      <c r="BX19" s="519">
        <f>Assumption!BX88</f>
        <v/>
      </c>
      <c r="BY19" s="519">
        <f>Assumption!BY88</f>
        <v/>
      </c>
      <c r="BZ19" s="519">
        <f>Assumption!BZ88</f>
        <v/>
      </c>
      <c r="CA19" s="519">
        <f>Assumption!CA88</f>
        <v/>
      </c>
      <c r="CB19" s="519">
        <f>Assumption!CB88</f>
        <v/>
      </c>
      <c r="CC19" s="519">
        <f>Assumption!CC88</f>
        <v/>
      </c>
      <c r="CD19" s="519">
        <f>Assumption!CD88</f>
        <v/>
      </c>
      <c r="CE19" s="519">
        <f>Assumption!CE88</f>
        <v/>
      </c>
      <c r="CF19" s="519">
        <f>Assumption!CF88</f>
        <v/>
      </c>
      <c r="CG19" s="519">
        <f>Assumption!CG88</f>
        <v/>
      </c>
      <c r="CH19" s="519">
        <f>Assumption!CH88</f>
        <v/>
      </c>
      <c r="CI19" s="519">
        <f>Assumption!CI88</f>
        <v/>
      </c>
      <c r="CJ19" s="519">
        <f>Assumption!CJ88</f>
        <v/>
      </c>
      <c r="CK19" s="519">
        <f>Assumption!CK88</f>
        <v/>
      </c>
    </row>
    <row r="20">
      <c r="A20" s="33" t="inlineStr">
        <is>
          <t>Interest income (expense), net</t>
        </is>
      </c>
      <c r="B20" s="145" t="n"/>
      <c r="C20" s="145" t="n"/>
      <c r="D20" s="145" t="n"/>
      <c r="E20" s="145" t="n"/>
      <c r="F20" s="145" t="n"/>
      <c r="G20" s="145" t="n"/>
      <c r="H20" s="145" t="n"/>
      <c r="I20" s="145" t="n"/>
      <c r="J20" s="145" t="n"/>
      <c r="K20" s="145" t="n"/>
      <c r="L20" s="145" t="n"/>
      <c r="M20" s="145" t="n"/>
      <c r="N20" s="509">
        <f>IF(N$2=1,Reported!N88,Reported!N88-Reported!M88)</f>
        <v/>
      </c>
      <c r="O20" s="509">
        <f>IF(O$2=1,Reported!O88,Reported!O88-Reported!N88)</f>
        <v/>
      </c>
      <c r="P20" s="509">
        <f>IF(P$2=1,Reported!P88,Reported!P88-Reported!O88)</f>
        <v/>
      </c>
      <c r="Q20" s="509">
        <f>IF(Q$2=1,Reported!Q88,Reported!Q88-Reported!P88)</f>
        <v/>
      </c>
      <c r="R20" s="509">
        <f>IF(R$2=1,Reported!R88,Reported!R88-Reported!Q88)</f>
        <v/>
      </c>
      <c r="S20" s="509">
        <f>IF(S$2=1,Reported!S88,Reported!S88-Reported!R88)</f>
        <v/>
      </c>
      <c r="T20" s="509">
        <f>IF(T$2=1,Reported!T88,Reported!T88-Reported!S88)</f>
        <v/>
      </c>
      <c r="U20" s="509">
        <f>IF(U$2=1,Reported!U88,Reported!U88-Reported!T88)</f>
        <v/>
      </c>
      <c r="V20" s="509">
        <f>IF(V$2=1,Reported!V88,Reported!V88-Reported!U88)</f>
        <v/>
      </c>
      <c r="W20" s="509">
        <f>IF(W$2=1,Reported!W88,Reported!W88-Reported!V88)</f>
        <v/>
      </c>
      <c r="X20" s="509">
        <f>IF(X$2=1,Reported!X88,Reported!X88-Reported!W88)</f>
        <v/>
      </c>
      <c r="Y20" s="509">
        <f>IF(Y$2=1,Reported!Y88,Reported!Y88-Reported!X88)</f>
        <v/>
      </c>
      <c r="Z20" s="509">
        <f>IF(Z$2=1,Reported!Z88,Reported!Z88-Reported!Y88)</f>
        <v/>
      </c>
      <c r="AA20" s="509">
        <f>IF(AA$2=1,Reported!AA88,Reported!AA88-Reported!Z88)</f>
        <v/>
      </c>
      <c r="AB20" s="509">
        <f>IF(AB$2=1,Reported!AB88,Reported!AB88-Reported!AA88)</f>
        <v/>
      </c>
      <c r="AC20" s="509">
        <f>IF(AC$2=1,Reported!AC88,Reported!AC88-Reported!AB88)</f>
        <v/>
      </c>
      <c r="AD20" s="509">
        <f>IF(AD$2=1,Reported!AD88,Reported!AD88-Reported!AC88)</f>
        <v/>
      </c>
      <c r="AE20" s="509">
        <f>IF(AE$2=1,Reported!AE88,Reported!AE88-Reported!AD88)</f>
        <v/>
      </c>
      <c r="AF20" s="509">
        <f>IF(AF$2=1,Reported!AF88,Reported!AF88-Reported!AE88)</f>
        <v/>
      </c>
      <c r="AG20" s="509">
        <f>IF(AG$2=1,Reported!AG88,Reported!AG88-Reported!AF88)</f>
        <v/>
      </c>
      <c r="AH20" s="509">
        <f>IF(AH$2=1,Reported!AH88,Reported!AH88-Reported!AG88)</f>
        <v/>
      </c>
      <c r="AI20" s="509">
        <f>IF(AI$2=1,Reported!AI88,Reported!AI88-Reported!AH88)</f>
        <v/>
      </c>
      <c r="AJ20" s="509">
        <f>IF(AJ$2=1,Reported!AJ88,Reported!AJ88-Reported!AI88)</f>
        <v/>
      </c>
      <c r="AK20" s="509">
        <f>IF(AK$2=1,Reported!AK88,Reported!AK88-Reported!AJ88)</f>
        <v/>
      </c>
      <c r="AL20" s="509">
        <f>IF(AL$2=1,Reported!AL88,Reported!AL88-Reported!AK88)</f>
        <v/>
      </c>
      <c r="AM20" s="509">
        <f>IF(AM$2=1,Reported!AM88,Reported!AM88-Reported!AL88)</f>
        <v/>
      </c>
      <c r="AN20" s="509">
        <f>IF(AN$2=1,Reported!AN88,Reported!AN88-Reported!AM88)</f>
        <v/>
      </c>
      <c r="AO20" s="509">
        <f>IF(AO$2=1,Reported!AO88,Reported!AO88-Reported!AN88)</f>
        <v/>
      </c>
      <c r="AP20" s="509">
        <f>IF(AP$2=1,Reported!AP88,Reported!AP88-Reported!AO88)</f>
        <v/>
      </c>
      <c r="AQ20" s="509">
        <f>IF(AQ$2=1,Reported!AQ88,Reported!AQ88-Reported!AP88)</f>
        <v/>
      </c>
      <c r="AR20" s="509">
        <f>IF(AR$2=1,Reported!AR88,Reported!AR88-Reported!AQ88)</f>
        <v/>
      </c>
      <c r="AS20" s="509">
        <f>IF(AS$2=1,Reported!AS88,Reported!AS88-Reported!AR88)</f>
        <v/>
      </c>
      <c r="AT20" s="509">
        <f>IF(AT$2=1,Reported!AT88,Reported!AT88-Reported!AS88)</f>
        <v/>
      </c>
      <c r="AU20" s="509">
        <f>IF(AU$2=1,Reported!AU88,Reported!AU88-Reported!AT88)</f>
        <v/>
      </c>
      <c r="AV20" s="509">
        <f>IF(AV$2=1,Reported!AV88,Reported!AV88-Reported!AU88)</f>
        <v/>
      </c>
      <c r="AW20" s="509">
        <f>IF(AW$2=1,Reported!AW88,Reported!AW88-Reported!AV88)</f>
        <v/>
      </c>
      <c r="AX20" s="509">
        <f>IF(AX$2=1,Reported!AX88,Reported!AX88-Reported!AW88)</f>
        <v/>
      </c>
      <c r="AY20" s="509">
        <f>IF(AY$2=1,Reported!AY88,Reported!AY88-Reported!AX88)</f>
        <v/>
      </c>
      <c r="AZ20" s="509">
        <f>IF(AZ$2=1,Reported!AZ88,Reported!AZ88-Reported!AY88)</f>
        <v/>
      </c>
      <c r="BA20" s="509">
        <f>IF(BA$2=1,Reported!BA88,Reported!BA88-Reported!AZ88)</f>
        <v/>
      </c>
      <c r="BB20" s="509">
        <f>IF(BB$2=1,Reported!BB88,Reported!BB88-Reported!BA88)</f>
        <v/>
      </c>
      <c r="BC20" s="509">
        <f>IF(BC$2=1,Reported!BC88,Reported!BC88-Reported!BB88)</f>
        <v/>
      </c>
      <c r="BD20" s="509">
        <f>IF(BD$2=1,Reported!BD88,Reported!BD88-Reported!BC88)</f>
        <v/>
      </c>
      <c r="BE20" s="509">
        <f>IF(BE$2=1,Reported!BE88,Reported!BE88-Reported!BD88)</f>
        <v/>
      </c>
      <c r="BF20" s="509">
        <f>IF(BF$2=1,Reported!BF88,Reported!BF88-Reported!BE88)</f>
        <v/>
      </c>
      <c r="BG20" s="509">
        <f>IF(BG$2=1,Reported!BG88,Reported!BG88-Reported!BF88)</f>
        <v/>
      </c>
      <c r="BH20" s="509">
        <f>IF(BH$2=1,Reported!BH88,Reported!BH88-Reported!BG88)</f>
        <v/>
      </c>
      <c r="BI20" s="509">
        <f>IF(BI$2=1,Reported!BI88,Reported!BI88-Reported!BH88)</f>
        <v/>
      </c>
      <c r="BJ20" s="509">
        <f>IF(BJ$2=1,Reported!BJ88,Reported!BJ88-Reported!BI88)</f>
        <v/>
      </c>
      <c r="BK20" s="509">
        <f>IF(BK$2=1,Reported!BK88,Reported!BK88-Reported!BJ88)</f>
        <v/>
      </c>
      <c r="BL20" s="509">
        <f>IF(BL$2=1,Reported!BL88,Reported!BL88-Reported!BK88)</f>
        <v/>
      </c>
      <c r="BM20" s="509">
        <f>IF(BM$2=1,Reported!BM88,Reported!BM88-Reported!BL88)</f>
        <v/>
      </c>
      <c r="BN20" s="509">
        <f>IF(BN$2=1,Reported!BN88,Reported!BN88-Reported!BM88)</f>
        <v/>
      </c>
      <c r="BO20" s="509">
        <f>IF(BO$2=1,Reported!BO88,Reported!BO88-Reported!BN88)</f>
        <v/>
      </c>
      <c r="BP20" s="509">
        <f>IF(BP$2=1,Reported!BP88,Reported!BP88-Reported!BO88)</f>
        <v/>
      </c>
      <c r="BQ20" s="509">
        <f>IF(BQ$2=1,Reported!BQ88,Reported!BQ88-Reported!BP88)</f>
        <v/>
      </c>
      <c r="BR20" s="509">
        <f>IF(BR$2=1,Reported!BR88,Reported!BR88-Reported!BQ88)</f>
        <v/>
      </c>
      <c r="BS20" s="517">
        <f>Assumption!BS93</f>
        <v/>
      </c>
      <c r="BT20" s="517">
        <f>Assumption!BT93</f>
        <v/>
      </c>
      <c r="BU20" s="517">
        <f>Assumption!BU93</f>
        <v/>
      </c>
      <c r="BV20" s="517">
        <f>Assumption!BV93</f>
        <v/>
      </c>
      <c r="BW20" s="517">
        <f>Assumption!BW93</f>
        <v/>
      </c>
      <c r="BX20" s="517">
        <f>Assumption!BX93</f>
        <v/>
      </c>
      <c r="BY20" s="517">
        <f>Assumption!BY93</f>
        <v/>
      </c>
      <c r="BZ20" s="517">
        <f>Assumption!BZ93</f>
        <v/>
      </c>
      <c r="CA20" s="517">
        <f>Assumption!CA93</f>
        <v/>
      </c>
      <c r="CB20" s="517">
        <f>Assumption!CB93</f>
        <v/>
      </c>
      <c r="CC20" s="517">
        <f>Assumption!CC93</f>
        <v/>
      </c>
      <c r="CD20" s="517">
        <f>Assumption!CD93</f>
        <v/>
      </c>
      <c r="CE20" s="517">
        <f>Assumption!CE93</f>
        <v/>
      </c>
      <c r="CF20" s="517">
        <f>Assumption!CF93</f>
        <v/>
      </c>
      <c r="CG20" s="517">
        <f>Assumption!CG93</f>
        <v/>
      </c>
      <c r="CH20" s="517">
        <f>Assumption!CH93</f>
        <v/>
      </c>
      <c r="CI20" s="517">
        <f>Assumption!CI93</f>
        <v/>
      </c>
      <c r="CJ20" s="517">
        <f>Assumption!CJ93</f>
        <v/>
      </c>
      <c r="CK20" s="517">
        <f>Assumption!CK93</f>
        <v/>
      </c>
    </row>
    <row r="21">
      <c r="A21" s="33" t="inlineStr">
        <is>
          <t>Other income (expense), net</t>
        </is>
      </c>
      <c r="B21" s="145" t="n"/>
      <c r="C21" s="145" t="n"/>
      <c r="D21" s="145" t="n"/>
      <c r="E21" s="145" t="n"/>
      <c r="F21" s="145" t="n"/>
      <c r="G21" s="145" t="n"/>
      <c r="H21" s="145" t="n"/>
      <c r="I21" s="145" t="n"/>
      <c r="J21" s="145" t="n"/>
      <c r="K21" s="145" t="n"/>
      <c r="L21" s="145" t="n"/>
      <c r="M21" s="145" t="n"/>
      <c r="N21" s="509">
        <f>IF(N$2=1,Reported!N89,Reported!N89-Reported!M89)</f>
        <v/>
      </c>
      <c r="O21" s="509">
        <f>IF(O$2=1,Reported!O89,Reported!O89-Reported!N89)</f>
        <v/>
      </c>
      <c r="P21" s="509">
        <f>IF(P$2=1,Reported!P89,Reported!P89-Reported!O89)</f>
        <v/>
      </c>
      <c r="Q21" s="509">
        <f>IF(Q$2=1,Reported!Q89,Reported!Q89-Reported!P89)</f>
        <v/>
      </c>
      <c r="R21" s="509">
        <f>IF(R$2=1,Reported!R89,Reported!R89-Reported!Q89)</f>
        <v/>
      </c>
      <c r="S21" s="509">
        <f>IF(S$2=1,Reported!S89,Reported!S89-Reported!R89)</f>
        <v/>
      </c>
      <c r="T21" s="509">
        <f>IF(T$2=1,Reported!T89,Reported!T89-Reported!S89)</f>
        <v/>
      </c>
      <c r="U21" s="509">
        <f>IF(U$2=1,Reported!U89,Reported!U89-Reported!T89)</f>
        <v/>
      </c>
      <c r="V21" s="509">
        <f>IF(V$2=1,Reported!V89,Reported!V89-Reported!U89)</f>
        <v/>
      </c>
      <c r="W21" s="509">
        <f>IF(W$2=1,Reported!W89,Reported!W89-Reported!V89)</f>
        <v/>
      </c>
      <c r="X21" s="509">
        <f>IF(X$2=1,Reported!X89,Reported!X89-Reported!W89)</f>
        <v/>
      </c>
      <c r="Y21" s="509">
        <f>IF(Y$2=1,Reported!Y89,Reported!Y89-Reported!X89)</f>
        <v/>
      </c>
      <c r="Z21" s="509">
        <f>IF(Z$2=1,Reported!Z89,Reported!Z89-Reported!Y89)</f>
        <v/>
      </c>
      <c r="AA21" s="509">
        <f>IF(AA$2=1,Reported!AA89,Reported!AA89-Reported!Z89)</f>
        <v/>
      </c>
      <c r="AB21" s="509">
        <f>IF(AB$2=1,Reported!AB89,Reported!AB89-Reported!AA89)</f>
        <v/>
      </c>
      <c r="AC21" s="509">
        <f>IF(AC$2=1,Reported!AC89,Reported!AC89-Reported!AB89)</f>
        <v/>
      </c>
      <c r="AD21" s="509">
        <f>IF(AD$2=1,Reported!AD89,Reported!AD89-Reported!AC89)</f>
        <v/>
      </c>
      <c r="AE21" s="509">
        <f>IF(AE$2=1,Reported!AE89,Reported!AE89-Reported!AD89)</f>
        <v/>
      </c>
      <c r="AF21" s="509">
        <f>IF(AF$2=1,Reported!AF89,Reported!AF89-Reported!AE89)</f>
        <v/>
      </c>
      <c r="AG21" s="509">
        <f>IF(AG$2=1,Reported!AG89,Reported!AG89-Reported!AF89)</f>
        <v/>
      </c>
      <c r="AH21" s="509">
        <f>IF(AH$2=1,Reported!AH89,Reported!AH89-Reported!AG89)</f>
        <v/>
      </c>
      <c r="AI21" s="509">
        <f>IF(AI$2=1,Reported!AI89,Reported!AI89-Reported!AH89)</f>
        <v/>
      </c>
      <c r="AJ21" s="509">
        <f>IF(AJ$2=1,Reported!AJ89,Reported!AJ89-Reported!AI89)</f>
        <v/>
      </c>
      <c r="AK21" s="509">
        <f>IF(AK$2=1,Reported!AK89,Reported!AK89-Reported!AJ89)</f>
        <v/>
      </c>
      <c r="AL21" s="509">
        <f>IF(AL$2=1,Reported!AL89,Reported!AL89-Reported!AK89)</f>
        <v/>
      </c>
      <c r="AM21" s="509">
        <f>IF(AM$2=1,Reported!AM89,Reported!AM89-Reported!AL89)</f>
        <v/>
      </c>
      <c r="AN21" s="509">
        <f>IF(AN$2=1,Reported!AN89,Reported!AN89-Reported!AM89)</f>
        <v/>
      </c>
      <c r="AO21" s="509">
        <f>IF(AO$2=1,Reported!AO89,Reported!AO89-Reported!AN89)</f>
        <v/>
      </c>
      <c r="AP21" s="509">
        <f>IF(AP$2=1,Reported!AP89,Reported!AP89-Reported!AO89)</f>
        <v/>
      </c>
      <c r="AQ21" s="509">
        <f>IF(AQ$2=1,Reported!AQ89,Reported!AQ89-Reported!AP89)</f>
        <v/>
      </c>
      <c r="AR21" s="509">
        <f>IF(AR$2=1,Reported!AR89,Reported!AR89-Reported!AQ89)</f>
        <v/>
      </c>
      <c r="AS21" s="509">
        <f>IF(AS$2=1,Reported!AS89,Reported!AS89-Reported!AR89)</f>
        <v/>
      </c>
      <c r="AT21" s="509">
        <f>IF(AT$2=1,Reported!AT89,Reported!AT89-Reported!AS89)</f>
        <v/>
      </c>
      <c r="AU21" s="509">
        <f>IF(AU$2=1,Reported!AU89,Reported!AU89-Reported!AT89)</f>
        <v/>
      </c>
      <c r="AV21" s="509">
        <f>IF(AV$2=1,Reported!AV89,Reported!AV89-Reported!AU89)</f>
        <v/>
      </c>
      <c r="AW21" s="509">
        <f>IF(AW$2=1,Reported!AW89,Reported!AW89-Reported!AV89)</f>
        <v/>
      </c>
      <c r="AX21" s="509">
        <f>IF(AX$2=1,Reported!AX89,Reported!AX89-Reported!AW89)</f>
        <v/>
      </c>
      <c r="AY21" s="509">
        <f>IF(AY$2=1,Reported!AY89,Reported!AY89-Reported!AX89)</f>
        <v/>
      </c>
      <c r="AZ21" s="509">
        <f>IF(AZ$2=1,Reported!AZ89,Reported!AZ89-Reported!AY89)</f>
        <v/>
      </c>
      <c r="BA21" s="509">
        <f>IF(BA$2=1,Reported!BA89,Reported!BA89-Reported!AZ89)</f>
        <v/>
      </c>
      <c r="BB21" s="509">
        <f>IF(BB$2=1,Reported!BB89,Reported!BB89-Reported!BA89)</f>
        <v/>
      </c>
      <c r="BC21" s="509">
        <f>IF(BC$2=1,Reported!BC89,Reported!BC89-Reported!BB89)</f>
        <v/>
      </c>
      <c r="BD21" s="509">
        <f>IF(BD$2=1,Reported!BD89,Reported!BD89-Reported!BC89)</f>
        <v/>
      </c>
      <c r="BE21" s="509">
        <f>IF(BE$2=1,Reported!BE89,Reported!BE89-Reported!BD89)</f>
        <v/>
      </c>
      <c r="BF21" s="509">
        <f>IF(BF$2=1,Reported!BF89,Reported!BF89-Reported!BE89)</f>
        <v/>
      </c>
      <c r="BG21" s="509">
        <f>IF(BG$2=1,Reported!BG89,Reported!BG89-Reported!BF89)</f>
        <v/>
      </c>
      <c r="BH21" s="509">
        <f>IF(BH$2=1,Reported!BH89,Reported!BH89-Reported!BG89)</f>
        <v/>
      </c>
      <c r="BI21" s="509">
        <f>IF(BI$2=1,Reported!BI89,Reported!BI89-Reported!BH89)</f>
        <v/>
      </c>
      <c r="BJ21" s="509">
        <f>IF(BJ$2=1,Reported!BJ89,Reported!BJ89-Reported!BI89)</f>
        <v/>
      </c>
      <c r="BK21" s="509">
        <f>IF(BK$2=1,Reported!BK89,Reported!BK89-Reported!BJ89)</f>
        <v/>
      </c>
      <c r="BL21" s="509">
        <f>IF(BL$2=1,Reported!BL89,Reported!BL89-Reported!BK89)</f>
        <v/>
      </c>
      <c r="BM21" s="509">
        <f>IF(BM$2=1,Reported!BM89,Reported!BM89-Reported!BL89)</f>
        <v/>
      </c>
      <c r="BN21" s="509">
        <f>IF(BN$2=1,Reported!BN89,Reported!BN89-Reported!BM89)</f>
        <v/>
      </c>
      <c r="BO21" s="509">
        <f>IF(BO$2=1,Reported!BO89,Reported!BO89-Reported!BN89)</f>
        <v/>
      </c>
      <c r="BP21" s="509">
        <f>IF(BP$2=1,Reported!BP89,Reported!BP89-Reported!BO89)</f>
        <v/>
      </c>
      <c r="BQ21" s="509">
        <f>IF(BQ$2=1,Reported!BQ89,Reported!BQ89-Reported!BP89)</f>
        <v/>
      </c>
      <c r="BR21" s="509">
        <f>IF(BR$2=1,Reported!BR89,Reported!BR89-Reported!BQ89)</f>
        <v/>
      </c>
      <c r="BS21" s="517">
        <f>Assumption!BS96</f>
        <v/>
      </c>
      <c r="BT21" s="517">
        <f>Assumption!BT96</f>
        <v/>
      </c>
      <c r="BU21" s="517">
        <f>Assumption!BU96</f>
        <v/>
      </c>
      <c r="BV21" s="517">
        <f>Assumption!BV96</f>
        <v/>
      </c>
      <c r="BW21" s="517">
        <f>Assumption!BW96</f>
        <v/>
      </c>
      <c r="BX21" s="517">
        <f>Assumption!BX96</f>
        <v/>
      </c>
      <c r="BY21" s="517">
        <f>Assumption!BY96</f>
        <v/>
      </c>
      <c r="BZ21" s="517">
        <f>Assumption!BZ96</f>
        <v/>
      </c>
      <c r="CA21" s="517">
        <f>Assumption!CA96</f>
        <v/>
      </c>
      <c r="CB21" s="517">
        <f>Assumption!CB96</f>
        <v/>
      </c>
      <c r="CC21" s="517">
        <f>Assumption!CC96</f>
        <v/>
      </c>
      <c r="CD21" s="517">
        <f>Assumption!CD96</f>
        <v/>
      </c>
      <c r="CE21" s="517">
        <f>Assumption!CE96</f>
        <v/>
      </c>
      <c r="CF21" s="517">
        <f>Assumption!CF96</f>
        <v/>
      </c>
      <c r="CG21" s="517">
        <f>Assumption!CG96</f>
        <v/>
      </c>
      <c r="CH21" s="517">
        <f>Assumption!CH96</f>
        <v/>
      </c>
      <c r="CI21" s="517">
        <f>Assumption!CI96</f>
        <v/>
      </c>
      <c r="CJ21" s="517">
        <f>Assumption!CJ96</f>
        <v/>
      </c>
      <c r="CK21" s="517">
        <f>Assumption!CK96</f>
        <v/>
      </c>
    </row>
    <row r="22">
      <c r="A22" s="74" t="inlineStr">
        <is>
          <t>Total other income (expense), net</t>
        </is>
      </c>
      <c r="B22" s="145" t="n"/>
      <c r="C22" s="145" t="n"/>
      <c r="D22" s="145" t="n"/>
      <c r="E22" s="145" t="n"/>
      <c r="F22" s="145" t="n"/>
      <c r="G22" s="145" t="n"/>
      <c r="H22" s="145" t="n"/>
      <c r="I22" s="145" t="n"/>
      <c r="J22" s="145" t="n"/>
      <c r="K22" s="145" t="n"/>
      <c r="L22" s="145" t="n"/>
      <c r="M22" s="145" t="n"/>
      <c r="N22" s="509">
        <f>IF(N$2=1,Reported!N90,Reported!N90-Reported!M90)</f>
        <v/>
      </c>
      <c r="O22" s="509">
        <f>IF(O$2=1,Reported!O90,Reported!O90-Reported!N90)</f>
        <v/>
      </c>
      <c r="P22" s="509">
        <f>IF(P$2=1,Reported!P90,Reported!P90-Reported!O90)</f>
        <v/>
      </c>
      <c r="Q22" s="509">
        <f>IF(Q$2=1,Reported!Q90,Reported!Q90-Reported!P90)</f>
        <v/>
      </c>
      <c r="R22" s="509">
        <f>IF(R$2=1,Reported!R90,Reported!R90-Reported!Q90)</f>
        <v/>
      </c>
      <c r="S22" s="509">
        <f>IF(S$2=1,Reported!S90,Reported!S90-Reported!R90)</f>
        <v/>
      </c>
      <c r="T22" s="509">
        <f>IF(T$2=1,Reported!T90,Reported!T90-Reported!S90)</f>
        <v/>
      </c>
      <c r="U22" s="509">
        <f>IF(U$2=1,Reported!U90,Reported!U90-Reported!T90)</f>
        <v/>
      </c>
      <c r="V22" s="509">
        <f>IF(V$2=1,Reported!V90,Reported!V90-Reported!U90)</f>
        <v/>
      </c>
      <c r="W22" s="509">
        <f>IF(W$2=1,Reported!W90,Reported!W90-Reported!V90)</f>
        <v/>
      </c>
      <c r="X22" s="509">
        <f>IF(X$2=1,Reported!X90,Reported!X90-Reported!W90)</f>
        <v/>
      </c>
      <c r="Y22" s="509">
        <f>IF(Y$2=1,Reported!Y90,Reported!Y90-Reported!X90)</f>
        <v/>
      </c>
      <c r="Z22" s="509">
        <f>IF(Z$2=1,Reported!Z90,Reported!Z90-Reported!Y90)</f>
        <v/>
      </c>
      <c r="AA22" s="509">
        <f>IF(AA$2=1,Reported!AA90,Reported!AA90-Reported!Z90)</f>
        <v/>
      </c>
      <c r="AB22" s="509">
        <f>IF(AB$2=1,Reported!AB90,Reported!AB90-Reported!AA90)</f>
        <v/>
      </c>
      <c r="AC22" s="509">
        <f>IF(AC$2=1,Reported!AC90,Reported!AC90-Reported!AB90)</f>
        <v/>
      </c>
      <c r="AD22" s="509">
        <f>IF(AD$2=1,Reported!AD90,Reported!AD90-Reported!AC90)</f>
        <v/>
      </c>
      <c r="AE22" s="509">
        <f>IF(AE$2=1,Reported!AE90,Reported!AE90-Reported!AD90)</f>
        <v/>
      </c>
      <c r="AF22" s="509">
        <f>IF(AF$2=1,Reported!AF90,Reported!AF90-Reported!AE90)</f>
        <v/>
      </c>
      <c r="AG22" s="509">
        <f>IF(AG$2=1,Reported!AG90,Reported!AG90-Reported!AF90)</f>
        <v/>
      </c>
      <c r="AH22" s="509">
        <f>IF(AH$2=1,Reported!AH90,Reported!AH90-Reported!AG90)</f>
        <v/>
      </c>
      <c r="AI22" s="509">
        <f>IF(AI$2=1,Reported!AI90,Reported!AI90-Reported!AH90)</f>
        <v/>
      </c>
      <c r="AJ22" s="509">
        <f>IF(AJ$2=1,Reported!AJ90,Reported!AJ90-Reported!AI90)</f>
        <v/>
      </c>
      <c r="AK22" s="509">
        <f>IF(AK$2=1,Reported!AK90,Reported!AK90-Reported!AJ90)</f>
        <v/>
      </c>
      <c r="AL22" s="509">
        <f>IF(AL$2=1,Reported!AL90,Reported!AL90-Reported!AK90)</f>
        <v/>
      </c>
      <c r="AM22" s="509">
        <f>IF(AM$2=1,Reported!AM90,Reported!AM90-Reported!AL90)</f>
        <v/>
      </c>
      <c r="AN22" s="509">
        <f>IF(AN$2=1,Reported!AN90,Reported!AN90-Reported!AM90)</f>
        <v/>
      </c>
      <c r="AO22" s="509">
        <f>IF(AO$2=1,Reported!AO90,Reported!AO90-Reported!AN90)</f>
        <v/>
      </c>
      <c r="AP22" s="509">
        <f>IF(AP$2=1,Reported!AP90,Reported!AP90-Reported!AO90)</f>
        <v/>
      </c>
      <c r="AQ22" s="509">
        <f>IF(AQ$2=1,Reported!AQ90,Reported!AQ90-Reported!AP90)</f>
        <v/>
      </c>
      <c r="AR22" s="509">
        <f>IF(AR$2=1,Reported!AR90,Reported!AR90-Reported!AQ90)</f>
        <v/>
      </c>
      <c r="AS22" s="509">
        <f>IF(AS$2=1,Reported!AS90,Reported!AS90-Reported!AR90)</f>
        <v/>
      </c>
      <c r="AT22" s="509">
        <f>IF(AT$2=1,Reported!AT90,Reported!AT90-Reported!AS90)</f>
        <v/>
      </c>
      <c r="AU22" s="509">
        <f>IF(AU$2=1,Reported!AU90,Reported!AU90-Reported!AT90)</f>
        <v/>
      </c>
      <c r="AV22" s="509">
        <f>IF(AV$2=1,Reported!AV90,Reported!AV90-Reported!AU90)</f>
        <v/>
      </c>
      <c r="AW22" s="509">
        <f>IF(AW$2=1,Reported!AW90,Reported!AW90-Reported!AV90)</f>
        <v/>
      </c>
      <c r="AX22" s="509">
        <f>IF(AX$2=1,Reported!AX90,Reported!AX90-Reported!AW90)</f>
        <v/>
      </c>
      <c r="AY22" s="509">
        <f>IF(AY$2=1,Reported!AY90,Reported!AY90-Reported!AX90)</f>
        <v/>
      </c>
      <c r="AZ22" s="509">
        <f>IF(AZ$2=1,Reported!AZ90,Reported!AZ90-Reported!AY90)</f>
        <v/>
      </c>
      <c r="BA22" s="509">
        <f>IF(BA$2=1,Reported!BA90,Reported!BA90-Reported!AZ90)</f>
        <v/>
      </c>
      <c r="BB22" s="509">
        <f>IF(BB$2=1,Reported!BB90,Reported!BB90-Reported!BA90)</f>
        <v/>
      </c>
      <c r="BC22" s="509">
        <f>IF(BC$2=1,Reported!BC90,Reported!BC90-Reported!BB90)</f>
        <v/>
      </c>
      <c r="BD22" s="509">
        <f>IF(BD$2=1,Reported!BD90,Reported!BD90-Reported!BC90)</f>
        <v/>
      </c>
      <c r="BE22" s="509">
        <f>IF(BE$2=1,Reported!BE90,Reported!BE90-Reported!BD90)</f>
        <v/>
      </c>
      <c r="BF22" s="509">
        <f>IF(BF$2=1,Reported!BF90,Reported!BF90-Reported!BE90)</f>
        <v/>
      </c>
      <c r="BG22" s="509">
        <f>IF(BG$2=1,Reported!BG90,Reported!BG90-Reported!BF90)</f>
        <v/>
      </c>
      <c r="BH22" s="509">
        <f>IF(BH$2=1,Reported!BH90,Reported!BH90-Reported!BG90)</f>
        <v/>
      </c>
      <c r="BI22" s="509">
        <f>IF(BI$2=1,Reported!BI90,Reported!BI90-Reported!BH90)</f>
        <v/>
      </c>
      <c r="BJ22" s="509">
        <f>IF(BJ$2=1,Reported!BJ90,Reported!BJ90-Reported!BI90)</f>
        <v/>
      </c>
      <c r="BK22" s="509">
        <f>IF(BK$2=1,Reported!BK90,Reported!BK90-Reported!BJ90)</f>
        <v/>
      </c>
      <c r="BL22" s="509">
        <f>IF(BL$2=1,Reported!BL90,Reported!BL90-Reported!BK90)</f>
        <v/>
      </c>
      <c r="BM22" s="509">
        <f>IF(BM$2=1,Reported!BM90,Reported!BM90-Reported!BL90)</f>
        <v/>
      </c>
      <c r="BN22" s="509">
        <f>IF(BN$2=1,Reported!BN90,Reported!BN90-Reported!BM90)</f>
        <v/>
      </c>
      <c r="BO22" s="509">
        <f>IF(BO$2=1,Reported!BO90,Reported!BO90-Reported!BN90)</f>
        <v/>
      </c>
      <c r="BP22" s="509">
        <f>IF(BP$2=1,Reported!BP90,Reported!BP90-Reported!BO90)</f>
        <v/>
      </c>
      <c r="BQ22" s="509">
        <f>IF(BQ$2=1,Reported!BQ90,Reported!BQ90-Reported!BP90)</f>
        <v/>
      </c>
      <c r="BR22" s="509">
        <f>IF(BR$2=1,Reported!BR90,Reported!BR90-Reported!BQ90)</f>
        <v/>
      </c>
      <c r="BS22" s="517">
        <f>SUM(BS20:BS21)</f>
        <v/>
      </c>
      <c r="BT22" s="517">
        <f>SUM(BT20:BT21)</f>
        <v/>
      </c>
      <c r="BU22" s="517">
        <f>SUM(BU20:BU21)</f>
        <v/>
      </c>
      <c r="BV22" s="517">
        <f>SUM(BV20:BV21)</f>
        <v/>
      </c>
      <c r="BW22" s="517">
        <f>SUM(BW20:BW21)</f>
        <v/>
      </c>
      <c r="BX22" s="517">
        <f>SUM(BX20:BX21)</f>
        <v/>
      </c>
      <c r="BY22" s="517">
        <f>SUM(BY20:BY21)</f>
        <v/>
      </c>
      <c r="BZ22" s="517">
        <f>SUM(BZ20:BZ21)</f>
        <v/>
      </c>
      <c r="CA22" s="517">
        <f>SUM(CA20:CA21)</f>
        <v/>
      </c>
      <c r="CB22" s="517">
        <f>SUM(CB20:CB21)</f>
        <v/>
      </c>
      <c r="CC22" s="517">
        <f>SUM(CC20:CC21)</f>
        <v/>
      </c>
      <c r="CD22" s="517">
        <f>SUM(CD20:CD21)</f>
        <v/>
      </c>
      <c r="CE22" s="517">
        <f>SUM(CE20:CE21)</f>
        <v/>
      </c>
      <c r="CF22" s="517">
        <f>SUM(CF20:CF21)</f>
        <v/>
      </c>
      <c r="CG22" s="517">
        <f>SUM(CG20:CG21)</f>
        <v/>
      </c>
      <c r="CH22" s="517">
        <f>SUM(CH20:CH21)</f>
        <v/>
      </c>
      <c r="CI22" s="517">
        <f>SUM(CI20:CI21)</f>
        <v/>
      </c>
      <c r="CJ22" s="517">
        <f>SUM(CJ20:CJ21)</f>
        <v/>
      </c>
      <c r="CK22" s="517">
        <f>SUM(CK20:CK21)</f>
        <v/>
      </c>
    </row>
    <row r="23">
      <c r="A23" s="40" t="inlineStr">
        <is>
          <t>Income before provision for income taxes</t>
        </is>
      </c>
      <c r="B23" s="133" t="n"/>
      <c r="C23" s="133" t="n"/>
      <c r="D23" s="133" t="n"/>
      <c r="E23" s="133" t="n"/>
      <c r="F23" s="133" t="n"/>
      <c r="G23" s="133" t="n"/>
      <c r="H23" s="133" t="n"/>
      <c r="I23" s="133" t="n"/>
      <c r="J23" s="133" t="n"/>
      <c r="K23" s="133" t="n"/>
      <c r="L23" s="133" t="n"/>
      <c r="M23" s="133" t="n"/>
      <c r="N23" s="671">
        <f>IF(N$2=1,Reported!N91,Reported!N91-Reported!M91)</f>
        <v/>
      </c>
      <c r="O23" s="671">
        <f>IF(O$2=1,Reported!O91,Reported!O91-Reported!N91)</f>
        <v/>
      </c>
      <c r="P23" s="671">
        <f>IF(P$2=1,Reported!P91,Reported!P91-Reported!O91)</f>
        <v/>
      </c>
      <c r="Q23" s="671">
        <f>IF(Q$2=1,Reported!Q91,Reported!Q91-Reported!P91)</f>
        <v/>
      </c>
      <c r="R23" s="671">
        <f>IF(R$2=1,Reported!R91,Reported!R91-Reported!Q91)</f>
        <v/>
      </c>
      <c r="S23" s="671">
        <f>IF(S$2=1,Reported!S91,Reported!S91-Reported!R91)</f>
        <v/>
      </c>
      <c r="T23" s="671">
        <f>IF(T$2=1,Reported!T91,Reported!T91-Reported!S91)</f>
        <v/>
      </c>
      <c r="U23" s="671">
        <f>IF(U$2=1,Reported!U91,Reported!U91-Reported!T91)</f>
        <v/>
      </c>
      <c r="V23" s="671">
        <f>IF(V$2=1,Reported!V91,Reported!V91-Reported!U91)</f>
        <v/>
      </c>
      <c r="W23" s="671">
        <f>IF(W$2=1,Reported!W91,Reported!W91-Reported!V91)</f>
        <v/>
      </c>
      <c r="X23" s="671">
        <f>IF(X$2=1,Reported!X91,Reported!X91-Reported!W91)</f>
        <v/>
      </c>
      <c r="Y23" s="671">
        <f>IF(Y$2=1,Reported!Y91,Reported!Y91-Reported!X91)</f>
        <v/>
      </c>
      <c r="Z23" s="671">
        <f>IF(Z$2=1,Reported!Z91,Reported!Z91-Reported!Y91)</f>
        <v/>
      </c>
      <c r="AA23" s="671">
        <f>IF(AA$2=1,Reported!AA91,Reported!AA91-Reported!Z91)</f>
        <v/>
      </c>
      <c r="AB23" s="671">
        <f>IF(AB$2=1,Reported!AB91,Reported!AB91-Reported!AA91)</f>
        <v/>
      </c>
      <c r="AC23" s="671">
        <f>IF(AC$2=1,Reported!AC91,Reported!AC91-Reported!AB91)</f>
        <v/>
      </c>
      <c r="AD23" s="671">
        <f>IF(AD$2=1,Reported!AD91,Reported!AD91-Reported!AC91)</f>
        <v/>
      </c>
      <c r="AE23" s="671">
        <f>IF(AE$2=1,Reported!AE91,Reported!AE91-Reported!AD91)</f>
        <v/>
      </c>
      <c r="AF23" s="671">
        <f>IF(AF$2=1,Reported!AF91,Reported!AF91-Reported!AE91)</f>
        <v/>
      </c>
      <c r="AG23" s="671">
        <f>IF(AG$2=1,Reported!AG91,Reported!AG91-Reported!AF91)</f>
        <v/>
      </c>
      <c r="AH23" s="671">
        <f>IF(AH$2=1,Reported!AH91,Reported!AH91-Reported!AG91)</f>
        <v/>
      </c>
      <c r="AI23" s="671">
        <f>IF(AI$2=1,Reported!AI91,Reported!AI91-Reported!AH91)</f>
        <v/>
      </c>
      <c r="AJ23" s="671">
        <f>IF(AJ$2=1,Reported!AJ91,Reported!AJ91-Reported!AI91)</f>
        <v/>
      </c>
      <c r="AK23" s="671">
        <f>IF(AK$2=1,Reported!AK91,Reported!AK91-Reported!AJ91)</f>
        <v/>
      </c>
      <c r="AL23" s="671">
        <f>IF(AL$2=1,Reported!AL91,Reported!AL91-Reported!AK91)</f>
        <v/>
      </c>
      <c r="AM23" s="671">
        <f>IF(AM$2=1,Reported!AM91,Reported!AM91-Reported!AL91)</f>
        <v/>
      </c>
      <c r="AN23" s="671">
        <f>IF(AN$2=1,Reported!AN91,Reported!AN91-Reported!AM91)</f>
        <v/>
      </c>
      <c r="AO23" s="671">
        <f>IF(AO$2=1,Reported!AO91,Reported!AO91-Reported!AN91)</f>
        <v/>
      </c>
      <c r="AP23" s="671">
        <f>IF(AP$2=1,Reported!AP91,Reported!AP91-Reported!AO91)</f>
        <v/>
      </c>
      <c r="AQ23" s="671">
        <f>IF(AQ$2=1,Reported!AQ91,Reported!AQ91-Reported!AP91)</f>
        <v/>
      </c>
      <c r="AR23" s="671">
        <f>IF(AR$2=1,Reported!AR91,Reported!AR91-Reported!AQ91)</f>
        <v/>
      </c>
      <c r="AS23" s="671">
        <f>IF(AS$2=1,Reported!AS91,Reported!AS91-Reported!AR91)</f>
        <v/>
      </c>
      <c r="AT23" s="671">
        <f>IF(AT$2=1,Reported!AT91,Reported!AT91-Reported!AS91)</f>
        <v/>
      </c>
      <c r="AU23" s="671">
        <f>IF(AU$2=1,Reported!AU91,Reported!AU91-Reported!AT91)</f>
        <v/>
      </c>
      <c r="AV23" s="671">
        <f>IF(AV$2=1,Reported!AV91,Reported!AV91-Reported!AU91)</f>
        <v/>
      </c>
      <c r="AW23" s="671">
        <f>IF(AW$2=1,Reported!AW91,Reported!AW91-Reported!AV91)</f>
        <v/>
      </c>
      <c r="AX23" s="671">
        <f>IF(AX$2=1,Reported!AX91,Reported!AX91-Reported!AW91)</f>
        <v/>
      </c>
      <c r="AY23" s="671">
        <f>IF(AY$2=1,Reported!AY91,Reported!AY91-Reported!AX91)</f>
        <v/>
      </c>
      <c r="AZ23" s="671">
        <f>IF(AZ$2=1,Reported!AZ91,Reported!AZ91-Reported!AY91)</f>
        <v/>
      </c>
      <c r="BA23" s="671">
        <f>IF(BA$2=1,Reported!BA91,Reported!BA91-Reported!AZ91)</f>
        <v/>
      </c>
      <c r="BB23" s="671">
        <f>IF(BB$2=1,Reported!BB91,Reported!BB91-Reported!BA91)</f>
        <v/>
      </c>
      <c r="BC23" s="671">
        <f>IF(BC$2=1,Reported!BC91,Reported!BC91-Reported!BB91)</f>
        <v/>
      </c>
      <c r="BD23" s="671">
        <f>IF(BD$2=1,Reported!BD91,Reported!BD91-Reported!BC91)</f>
        <v/>
      </c>
      <c r="BE23" s="671">
        <f>IF(BE$2=1,Reported!BE91,Reported!BE91-Reported!BD91)</f>
        <v/>
      </c>
      <c r="BF23" s="671">
        <f>IF(BF$2=1,Reported!BF91,Reported!BF91-Reported!BE91)</f>
        <v/>
      </c>
      <c r="BG23" s="671">
        <f>IF(BG$2=1,Reported!BG91,Reported!BG91-Reported!BF91)</f>
        <v/>
      </c>
      <c r="BH23" s="671">
        <f>IF(BH$2=1,Reported!BH91,Reported!BH91-Reported!BG91)</f>
        <v/>
      </c>
      <c r="BI23" s="671">
        <f>IF(BI$2=1,Reported!BI91,Reported!BI91-Reported!BH91)</f>
        <v/>
      </c>
      <c r="BJ23" s="671">
        <f>IF(BJ$2=1,Reported!BJ91,Reported!BJ91-Reported!BI91)</f>
        <v/>
      </c>
      <c r="BK23" s="671">
        <f>IF(BK$2=1,Reported!BK91,Reported!BK91-Reported!BJ91)</f>
        <v/>
      </c>
      <c r="BL23" s="671">
        <f>IF(BL$2=1,Reported!BL91,Reported!BL91-Reported!BK91)</f>
        <v/>
      </c>
      <c r="BM23" s="671">
        <f>IF(BM$2=1,Reported!BM91,Reported!BM91-Reported!BL91)</f>
        <v/>
      </c>
      <c r="BN23" s="671">
        <f>IF(BN$2=1,Reported!BN91,Reported!BN91-Reported!BM91)</f>
        <v/>
      </c>
      <c r="BO23" s="671">
        <f>IF(BO$2=1,Reported!BO91,Reported!BO91-Reported!BN91)</f>
        <v/>
      </c>
      <c r="BP23" s="671">
        <f>IF(BP$2=1,Reported!BP91,Reported!BP91-Reported!BO91)</f>
        <v/>
      </c>
      <c r="BQ23" s="671">
        <f>IF(BQ$2=1,Reported!BQ91,Reported!BQ91-Reported!BP91)</f>
        <v/>
      </c>
      <c r="BR23" s="671">
        <f>IF(BR$2=1,Reported!BR91,Reported!BR91-Reported!BQ91)</f>
        <v/>
      </c>
      <c r="BS23" s="519">
        <f>Assumption!BS99</f>
        <v/>
      </c>
      <c r="BT23" s="519">
        <f>Assumption!BT99</f>
        <v/>
      </c>
      <c r="BU23" s="519">
        <f>Assumption!BU99</f>
        <v/>
      </c>
      <c r="BV23" s="519">
        <f>Assumption!BV99</f>
        <v/>
      </c>
      <c r="BW23" s="519">
        <f>Assumption!BW99</f>
        <v/>
      </c>
      <c r="BX23" s="519">
        <f>Assumption!BX99</f>
        <v/>
      </c>
      <c r="BY23" s="519">
        <f>Assumption!BY99</f>
        <v/>
      </c>
      <c r="BZ23" s="519">
        <f>Assumption!BZ99</f>
        <v/>
      </c>
      <c r="CA23" s="519">
        <f>Assumption!CA99</f>
        <v/>
      </c>
      <c r="CB23" s="519">
        <f>Assumption!CB99</f>
        <v/>
      </c>
      <c r="CC23" s="519">
        <f>Assumption!CC99</f>
        <v/>
      </c>
      <c r="CD23" s="519">
        <f>Assumption!CD99</f>
        <v/>
      </c>
      <c r="CE23" s="519">
        <f>Assumption!CE99</f>
        <v/>
      </c>
      <c r="CF23" s="519">
        <f>Assumption!CF99</f>
        <v/>
      </c>
      <c r="CG23" s="519">
        <f>Assumption!CG99</f>
        <v/>
      </c>
      <c r="CH23" s="519">
        <f>Assumption!CH99</f>
        <v/>
      </c>
      <c r="CI23" s="519">
        <f>Assumption!CI99</f>
        <v/>
      </c>
      <c r="CJ23" s="519">
        <f>Assumption!CJ99</f>
        <v/>
      </c>
      <c r="CK23" s="519">
        <f>Assumption!CK99</f>
        <v/>
      </c>
    </row>
    <row r="24">
      <c r="A24" s="74" t="inlineStr">
        <is>
          <t>Provision for income taxes</t>
        </is>
      </c>
      <c r="B24" s="145" t="n"/>
      <c r="C24" s="145" t="n"/>
      <c r="D24" s="145" t="n"/>
      <c r="E24" s="145" t="n"/>
      <c r="F24" s="145" t="n"/>
      <c r="G24" s="145" t="n"/>
      <c r="H24" s="145" t="n"/>
      <c r="I24" s="145" t="n"/>
      <c r="J24" s="145" t="n"/>
      <c r="K24" s="145" t="n"/>
      <c r="L24" s="145" t="n"/>
      <c r="M24" s="145" t="n"/>
      <c r="N24" s="509">
        <f>IF(N$2=1,Reported!N92,Reported!N92-Reported!M92)</f>
        <v/>
      </c>
      <c r="O24" s="509">
        <f>IF(O$2=1,Reported!O92,Reported!O92-Reported!N92)</f>
        <v/>
      </c>
      <c r="P24" s="509">
        <f>IF(P$2=1,Reported!P92,Reported!P92-Reported!O92)</f>
        <v/>
      </c>
      <c r="Q24" s="509">
        <f>IF(Q$2=1,Reported!Q92,Reported!Q92-Reported!P92)</f>
        <v/>
      </c>
      <c r="R24" s="509">
        <f>IF(R$2=1,Reported!R92,Reported!R92-Reported!Q92)</f>
        <v/>
      </c>
      <c r="S24" s="509">
        <f>IF(S$2=1,Reported!S92,Reported!S92-Reported!R92)</f>
        <v/>
      </c>
      <c r="T24" s="509">
        <f>IF(T$2=1,Reported!T92,Reported!T92-Reported!S92)</f>
        <v/>
      </c>
      <c r="U24" s="509">
        <f>IF(U$2=1,Reported!U92,Reported!U92-Reported!T92)</f>
        <v/>
      </c>
      <c r="V24" s="509">
        <f>IF(V$2=1,Reported!V92,Reported!V92-Reported!U92)</f>
        <v/>
      </c>
      <c r="W24" s="509">
        <f>IF(W$2=1,Reported!W92,Reported!W92-Reported!V92)</f>
        <v/>
      </c>
      <c r="X24" s="509">
        <f>IF(X$2=1,Reported!X92,Reported!X92-Reported!W92)</f>
        <v/>
      </c>
      <c r="Y24" s="509">
        <f>IF(Y$2=1,Reported!Y92,Reported!Y92-Reported!X92)</f>
        <v/>
      </c>
      <c r="Z24" s="509">
        <f>IF(Z$2=1,Reported!Z92,Reported!Z92-Reported!Y92)</f>
        <v/>
      </c>
      <c r="AA24" s="509">
        <f>IF(AA$2=1,Reported!AA92,Reported!AA92-Reported!Z92)</f>
        <v/>
      </c>
      <c r="AB24" s="509">
        <f>IF(AB$2=1,Reported!AB92,Reported!AB92-Reported!AA92)</f>
        <v/>
      </c>
      <c r="AC24" s="509">
        <f>IF(AC$2=1,Reported!AC92,Reported!AC92-Reported!AB92)</f>
        <v/>
      </c>
      <c r="AD24" s="509">
        <f>IF(AD$2=1,Reported!AD92,Reported!AD92-Reported!AC92)</f>
        <v/>
      </c>
      <c r="AE24" s="509">
        <f>IF(AE$2=1,Reported!AE92,Reported!AE92-Reported!AD92)</f>
        <v/>
      </c>
      <c r="AF24" s="509">
        <f>IF(AF$2=1,Reported!AF92,Reported!AF92-Reported!AE92)</f>
        <v/>
      </c>
      <c r="AG24" s="509">
        <f>IF(AG$2=1,Reported!AG92,Reported!AG92-Reported!AF92)</f>
        <v/>
      </c>
      <c r="AH24" s="509">
        <f>IF(AH$2=1,Reported!AH92,Reported!AH92-Reported!AG92)</f>
        <v/>
      </c>
      <c r="AI24" s="509">
        <f>IF(AI$2=1,Reported!AI92,Reported!AI92-Reported!AH92)</f>
        <v/>
      </c>
      <c r="AJ24" s="509">
        <f>IF(AJ$2=1,Reported!AJ92,Reported!AJ92-Reported!AI92)</f>
        <v/>
      </c>
      <c r="AK24" s="509">
        <f>IF(AK$2=1,Reported!AK92,Reported!AK92-Reported!AJ92)</f>
        <v/>
      </c>
      <c r="AL24" s="509">
        <f>IF(AL$2=1,Reported!AL92,Reported!AL92-Reported!AK92)</f>
        <v/>
      </c>
      <c r="AM24" s="509">
        <f>IF(AM$2=1,Reported!AM92,Reported!AM92-Reported!AL92)</f>
        <v/>
      </c>
      <c r="AN24" s="509">
        <f>IF(AN$2=1,Reported!AN92,Reported!AN92-Reported!AM92)</f>
        <v/>
      </c>
      <c r="AO24" s="509">
        <f>IF(AO$2=1,Reported!AO92,Reported!AO92-Reported!AN92)</f>
        <v/>
      </c>
      <c r="AP24" s="509">
        <f>IF(AP$2=1,Reported!AP92,Reported!AP92-Reported!AO92)</f>
        <v/>
      </c>
      <c r="AQ24" s="509">
        <f>IF(AQ$2=1,Reported!AQ92,Reported!AQ92-Reported!AP92)</f>
        <v/>
      </c>
      <c r="AR24" s="509">
        <f>IF(AR$2=1,Reported!AR92,Reported!AR92-Reported!AQ92)</f>
        <v/>
      </c>
      <c r="AS24" s="509">
        <f>IF(AS$2=1,Reported!AS92,Reported!AS92-Reported!AR92)</f>
        <v/>
      </c>
      <c r="AT24" s="509">
        <f>IF(AT$2=1,Reported!AT92,Reported!AT92-Reported!AS92)</f>
        <v/>
      </c>
      <c r="AU24" s="509">
        <f>IF(AU$2=1,Reported!AU92,Reported!AU92-Reported!AT92)</f>
        <v/>
      </c>
      <c r="AV24" s="509">
        <f>IF(AV$2=1,Reported!AV92,Reported!AV92-Reported!AU92)</f>
        <v/>
      </c>
      <c r="AW24" s="509">
        <f>IF(AW$2=1,Reported!AW92,Reported!AW92-Reported!AV92)</f>
        <v/>
      </c>
      <c r="AX24" s="509">
        <f>IF(AX$2=1,Reported!AX92,Reported!AX92-Reported!AW92)</f>
        <v/>
      </c>
      <c r="AY24" s="509">
        <f>IF(AY$2=1,Reported!AY92,Reported!AY92-Reported!AX92)</f>
        <v/>
      </c>
      <c r="AZ24" s="509">
        <f>IF(AZ$2=1,Reported!AZ92,Reported!AZ92-Reported!AY92)</f>
        <v/>
      </c>
      <c r="BA24" s="509">
        <f>IF(BA$2=1,Reported!BA92,Reported!BA92-Reported!AZ92)</f>
        <v/>
      </c>
      <c r="BB24" s="509">
        <f>IF(BB$2=1,Reported!BB92,Reported!BB92-Reported!BA92)</f>
        <v/>
      </c>
      <c r="BC24" s="509">
        <f>IF(BC$2=1,Reported!BC92,Reported!BC92-Reported!BB92)</f>
        <v/>
      </c>
      <c r="BD24" s="509">
        <f>IF(BD$2=1,Reported!BD92,Reported!BD92-Reported!BC92)</f>
        <v/>
      </c>
      <c r="BE24" s="509">
        <f>IF(BE$2=1,Reported!BE92,Reported!BE92-Reported!BD92)</f>
        <v/>
      </c>
      <c r="BF24" s="509">
        <f>IF(BF$2=1,Reported!BF92,Reported!BF92-Reported!BE92)</f>
        <v/>
      </c>
      <c r="BG24" s="509">
        <f>IF(BG$2=1,Reported!BG92,Reported!BG92-Reported!BF92)</f>
        <v/>
      </c>
      <c r="BH24" s="509">
        <f>IF(BH$2=1,Reported!BH92,Reported!BH92-Reported!BG92)</f>
        <v/>
      </c>
      <c r="BI24" s="509">
        <f>IF(BI$2=1,Reported!BI92,Reported!BI92-Reported!BH92)</f>
        <v/>
      </c>
      <c r="BJ24" s="509">
        <f>IF(BJ$2=1,Reported!BJ92,Reported!BJ92-Reported!BI92)</f>
        <v/>
      </c>
      <c r="BK24" s="509">
        <f>IF(BK$2=1,Reported!BK92,Reported!BK92-Reported!BJ92)</f>
        <v/>
      </c>
      <c r="BL24" s="509">
        <f>IF(BL$2=1,Reported!BL92,Reported!BL92-Reported!BK92)</f>
        <v/>
      </c>
      <c r="BM24" s="509">
        <f>IF(BM$2=1,Reported!BM92,Reported!BM92-Reported!BL92)</f>
        <v/>
      </c>
      <c r="BN24" s="509">
        <f>IF(BN$2=1,Reported!BN92,Reported!BN92-Reported!BM92)</f>
        <v/>
      </c>
      <c r="BO24" s="509">
        <f>IF(BO$2=1,Reported!BO92,Reported!BO92-Reported!BN92)</f>
        <v/>
      </c>
      <c r="BP24" s="509">
        <f>IF(BP$2=1,Reported!BP92,Reported!BP92-Reported!BO92)</f>
        <v/>
      </c>
      <c r="BQ24" s="509">
        <f>IF(BQ$2=1,Reported!BQ92,Reported!BQ92-Reported!BP92)</f>
        <v/>
      </c>
      <c r="BR24" s="509">
        <f>IF(BR$2=1,Reported!BR92,Reported!BR92-Reported!BQ92)</f>
        <v/>
      </c>
      <c r="BS24" s="517">
        <f>Assumption!BS101</f>
        <v/>
      </c>
      <c r="BT24" s="517">
        <f>Assumption!BT101</f>
        <v/>
      </c>
      <c r="BU24" s="517">
        <f>Assumption!BU101</f>
        <v/>
      </c>
      <c r="BV24" s="517">
        <f>Assumption!BV101</f>
        <v/>
      </c>
      <c r="BW24" s="517">
        <f>Assumption!BW101</f>
        <v/>
      </c>
      <c r="BX24" s="517">
        <f>Assumption!BX101</f>
        <v/>
      </c>
      <c r="BY24" s="517">
        <f>Assumption!BY101</f>
        <v/>
      </c>
      <c r="BZ24" s="517">
        <f>Assumption!BZ101</f>
        <v/>
      </c>
      <c r="CA24" s="517">
        <f>Assumption!CA101</f>
        <v/>
      </c>
      <c r="CB24" s="517">
        <f>Assumption!CB101</f>
        <v/>
      </c>
      <c r="CC24" s="517">
        <f>Assumption!CC101</f>
        <v/>
      </c>
      <c r="CD24" s="517">
        <f>Assumption!CD101</f>
        <v/>
      </c>
      <c r="CE24" s="517">
        <f>Assumption!CE101</f>
        <v/>
      </c>
      <c r="CF24" s="517">
        <f>Assumption!CF101</f>
        <v/>
      </c>
      <c r="CG24" s="517">
        <f>Assumption!CG101</f>
        <v/>
      </c>
      <c r="CH24" s="517">
        <f>Assumption!CH101</f>
        <v/>
      </c>
      <c r="CI24" s="517">
        <f>Assumption!CI101</f>
        <v/>
      </c>
      <c r="CJ24" s="517">
        <f>Assumption!CJ101</f>
        <v/>
      </c>
      <c r="CK24" s="517">
        <f>Assumption!CK101</f>
        <v/>
      </c>
    </row>
    <row r="25">
      <c r="A25" s="40" t="inlineStr">
        <is>
          <t>Net income</t>
        </is>
      </c>
      <c r="B25" s="133" t="n"/>
      <c r="C25" s="133" t="n"/>
      <c r="D25" s="133" t="n"/>
      <c r="E25" s="133" t="n"/>
      <c r="F25" s="133" t="n"/>
      <c r="G25" s="133" t="n"/>
      <c r="H25" s="133" t="n"/>
      <c r="I25" s="133" t="n"/>
      <c r="J25" s="133" t="n"/>
      <c r="K25" s="133" t="n"/>
      <c r="L25" s="133" t="n"/>
      <c r="M25" s="133" t="n"/>
      <c r="N25" s="671">
        <f>IF(N$2=1,Reported!N93,Reported!N93-Reported!M93)</f>
        <v/>
      </c>
      <c r="O25" s="671">
        <f>IF(O$2=1,Reported!O93,Reported!O93-Reported!N93)</f>
        <v/>
      </c>
      <c r="P25" s="671">
        <f>IF(P$2=1,Reported!P93,Reported!P93-Reported!O93)</f>
        <v/>
      </c>
      <c r="Q25" s="671">
        <f>IF(Q$2=1,Reported!Q93,Reported!Q93-Reported!P93)</f>
        <v/>
      </c>
      <c r="R25" s="671">
        <f>IF(R$2=1,Reported!R93,Reported!R93-Reported!Q93)</f>
        <v/>
      </c>
      <c r="S25" s="671">
        <f>IF(S$2=1,Reported!S93,Reported!S93-Reported!R93)</f>
        <v/>
      </c>
      <c r="T25" s="671">
        <f>IF(T$2=1,Reported!T93,Reported!T93-Reported!S93)</f>
        <v/>
      </c>
      <c r="U25" s="671">
        <f>IF(U$2=1,Reported!U93,Reported!U93-Reported!T93)</f>
        <v/>
      </c>
      <c r="V25" s="671">
        <f>IF(V$2=1,Reported!V93,Reported!V93-Reported!U93)</f>
        <v/>
      </c>
      <c r="W25" s="671">
        <f>IF(W$2=1,Reported!W93,Reported!W93-Reported!V93)</f>
        <v/>
      </c>
      <c r="X25" s="671">
        <f>IF(X$2=1,Reported!X93,Reported!X93-Reported!W93)</f>
        <v/>
      </c>
      <c r="Y25" s="671">
        <f>IF(Y$2=1,Reported!Y93,Reported!Y93-Reported!X93)</f>
        <v/>
      </c>
      <c r="Z25" s="671">
        <f>IF(Z$2=1,Reported!Z93,Reported!Z93-Reported!Y93)</f>
        <v/>
      </c>
      <c r="AA25" s="671">
        <f>IF(AA$2=1,Reported!AA93,Reported!AA93-Reported!Z93)</f>
        <v/>
      </c>
      <c r="AB25" s="671">
        <f>IF(AB$2=1,Reported!AB93,Reported!AB93-Reported!AA93)</f>
        <v/>
      </c>
      <c r="AC25" s="671">
        <f>IF(AC$2=1,Reported!AC93,Reported!AC93-Reported!AB93)</f>
        <v/>
      </c>
      <c r="AD25" s="671">
        <f>IF(AD$2=1,Reported!AD93,Reported!AD93-Reported!AC93)</f>
        <v/>
      </c>
      <c r="AE25" s="671">
        <f>IF(AE$2=1,Reported!AE93,Reported!AE93-Reported!AD93)</f>
        <v/>
      </c>
      <c r="AF25" s="671">
        <f>IF(AF$2=1,Reported!AF93,Reported!AF93-Reported!AE93)</f>
        <v/>
      </c>
      <c r="AG25" s="671">
        <f>IF(AG$2=1,Reported!AG93,Reported!AG93-Reported!AF93)</f>
        <v/>
      </c>
      <c r="AH25" s="671">
        <f>IF(AH$2=1,Reported!AH93,Reported!AH93-Reported!AG93)</f>
        <v/>
      </c>
      <c r="AI25" s="671">
        <f>IF(AI$2=1,Reported!AI93,Reported!AI93-Reported!AH93)</f>
        <v/>
      </c>
      <c r="AJ25" s="671">
        <f>IF(AJ$2=1,Reported!AJ93,Reported!AJ93-Reported!AI93)</f>
        <v/>
      </c>
      <c r="AK25" s="671">
        <f>IF(AK$2=1,Reported!AK93,Reported!AK93-Reported!AJ93)</f>
        <v/>
      </c>
      <c r="AL25" s="671">
        <f>IF(AL$2=1,Reported!AL93,Reported!AL93-Reported!AK93)</f>
        <v/>
      </c>
      <c r="AM25" s="671">
        <f>IF(AM$2=1,Reported!AM93,Reported!AM93-Reported!AL93)</f>
        <v/>
      </c>
      <c r="AN25" s="671">
        <f>IF(AN$2=1,Reported!AN93,Reported!AN93-Reported!AM93)</f>
        <v/>
      </c>
      <c r="AO25" s="671">
        <f>IF(AO$2=1,Reported!AO93,Reported!AO93-Reported!AN93)</f>
        <v/>
      </c>
      <c r="AP25" s="671">
        <f>IF(AP$2=1,Reported!AP93,Reported!AP93-Reported!AO93)</f>
        <v/>
      </c>
      <c r="AQ25" s="671">
        <f>IF(AQ$2=1,Reported!AQ93,Reported!AQ93-Reported!AP93)</f>
        <v/>
      </c>
      <c r="AR25" s="671">
        <f>IF(AR$2=1,Reported!AR93,Reported!AR93-Reported!AQ93)</f>
        <v/>
      </c>
      <c r="AS25" s="671">
        <f>IF(AS$2=1,Reported!AS93,Reported!AS93-Reported!AR93)</f>
        <v/>
      </c>
      <c r="AT25" s="671">
        <f>IF(AT$2=1,Reported!AT93,Reported!AT93-Reported!AS93)</f>
        <v/>
      </c>
      <c r="AU25" s="671">
        <f>IF(AU$2=1,Reported!AU93,Reported!AU93-Reported!AT93)</f>
        <v/>
      </c>
      <c r="AV25" s="671">
        <f>IF(AV$2=1,Reported!AV93,Reported!AV93-Reported!AU93)</f>
        <v/>
      </c>
      <c r="AW25" s="671">
        <f>IF(AW$2=1,Reported!AW93,Reported!AW93-Reported!AV93)</f>
        <v/>
      </c>
      <c r="AX25" s="671">
        <f>IF(AX$2=1,Reported!AX93,Reported!AX93-Reported!AW93)</f>
        <v/>
      </c>
      <c r="AY25" s="671">
        <f>IF(AY$2=1,Reported!AY93,Reported!AY93-Reported!AX93)</f>
        <v/>
      </c>
      <c r="AZ25" s="671">
        <f>IF(AZ$2=1,Reported!AZ93,Reported!AZ93-Reported!AY93)</f>
        <v/>
      </c>
      <c r="BA25" s="671">
        <f>IF(BA$2=1,Reported!BA93,Reported!BA93-Reported!AZ93)</f>
        <v/>
      </c>
      <c r="BB25" s="671">
        <f>IF(BB$2=1,Reported!BB93,Reported!BB93-Reported!BA93)</f>
        <v/>
      </c>
      <c r="BC25" s="671">
        <f>IF(BC$2=1,Reported!BC93,Reported!BC93-Reported!BB93)</f>
        <v/>
      </c>
      <c r="BD25" s="671">
        <f>IF(BD$2=1,Reported!BD93,Reported!BD93-Reported!BC93)</f>
        <v/>
      </c>
      <c r="BE25" s="671">
        <f>IF(BE$2=1,Reported!BE93,Reported!BE93-Reported!BD93)</f>
        <v/>
      </c>
      <c r="BF25" s="671">
        <f>IF(BF$2=1,Reported!BF93,Reported!BF93-Reported!BE93)</f>
        <v/>
      </c>
      <c r="BG25" s="671">
        <f>IF(BG$2=1,Reported!BG93,Reported!BG93-Reported!BF93)</f>
        <v/>
      </c>
      <c r="BH25" s="671">
        <f>IF(BH$2=1,Reported!BH93,Reported!BH93-Reported!BG93)</f>
        <v/>
      </c>
      <c r="BI25" s="671">
        <f>IF(BI$2=1,Reported!BI93,Reported!BI93-Reported!BH93)</f>
        <v/>
      </c>
      <c r="BJ25" s="671">
        <f>IF(BJ$2=1,Reported!BJ93,Reported!BJ93-Reported!BI93)</f>
        <v/>
      </c>
      <c r="BK25" s="671">
        <f>IF(BK$2=1,Reported!BK93,Reported!BK93-Reported!BJ93)</f>
        <v/>
      </c>
      <c r="BL25" s="671">
        <f>IF(BL$2=1,Reported!BL93,Reported!BL93-Reported!BK93)</f>
        <v/>
      </c>
      <c r="BM25" s="671">
        <f>IF(BM$2=1,Reported!BM93,Reported!BM93-Reported!BL93)</f>
        <v/>
      </c>
      <c r="BN25" s="671">
        <f>IF(BN$2=1,Reported!BN93,Reported!BN93-Reported!BM93)</f>
        <v/>
      </c>
      <c r="BO25" s="671">
        <f>IF(BO$2=1,Reported!BO93,Reported!BO93-Reported!BN93)</f>
        <v/>
      </c>
      <c r="BP25" s="671">
        <f>IF(BP$2=1,Reported!BP93,Reported!BP93-Reported!BO93)</f>
        <v/>
      </c>
      <c r="BQ25" s="671">
        <f>IF(BQ$2=1,Reported!BQ93,Reported!BQ93-Reported!BP93)</f>
        <v/>
      </c>
      <c r="BR25" s="671">
        <f>IF(BR$2=1,Reported!BR93,Reported!BR93-Reported!BQ93)</f>
        <v/>
      </c>
      <c r="BS25" s="519">
        <f>Assumption!BS108</f>
        <v/>
      </c>
      <c r="BT25" s="519">
        <f>Assumption!BT108</f>
        <v/>
      </c>
      <c r="BU25" s="519">
        <f>Assumption!BU108</f>
        <v/>
      </c>
      <c r="BV25" s="519">
        <f>Assumption!BV108</f>
        <v/>
      </c>
      <c r="BW25" s="519">
        <f>Assumption!BW108</f>
        <v/>
      </c>
      <c r="BX25" s="519">
        <f>Assumption!BX108</f>
        <v/>
      </c>
      <c r="BY25" s="519">
        <f>Assumption!BY108</f>
        <v/>
      </c>
      <c r="BZ25" s="519">
        <f>Assumption!BZ108</f>
        <v/>
      </c>
      <c r="CA25" s="519">
        <f>Assumption!CA108</f>
        <v/>
      </c>
      <c r="CB25" s="519">
        <f>Assumption!CB108</f>
        <v/>
      </c>
      <c r="CC25" s="519">
        <f>Assumption!CC108</f>
        <v/>
      </c>
      <c r="CD25" s="519">
        <f>Assumption!CD108</f>
        <v/>
      </c>
      <c r="CE25" s="519">
        <f>Assumption!CE108</f>
        <v/>
      </c>
      <c r="CF25" s="519">
        <f>Assumption!CF108</f>
        <v/>
      </c>
      <c r="CG25" s="519">
        <f>Assumption!CG108</f>
        <v/>
      </c>
      <c r="CH25" s="519">
        <f>Assumption!CH108</f>
        <v/>
      </c>
      <c r="CI25" s="519">
        <f>Assumption!CI108</f>
        <v/>
      </c>
      <c r="CJ25" s="519">
        <f>Assumption!CJ108</f>
        <v/>
      </c>
      <c r="CK25" s="519">
        <f>Assumption!CK108</f>
        <v/>
      </c>
    </row>
    <row r="26">
      <c r="A26" s="74" t="inlineStr">
        <is>
          <t>Less: Net loss attributable to noncontrolling interests</t>
        </is>
      </c>
      <c r="B26" s="145" t="n"/>
      <c r="C26" s="145" t="n"/>
      <c r="D26" s="145" t="n"/>
      <c r="E26" s="145" t="n"/>
      <c r="F26" s="145" t="n"/>
      <c r="G26" s="145" t="n"/>
      <c r="H26" s="145" t="n"/>
      <c r="I26" s="145" t="n"/>
      <c r="J26" s="145" t="n"/>
      <c r="K26" s="145" t="n"/>
      <c r="L26" s="145" t="n"/>
      <c r="M26" s="145" t="n"/>
      <c r="N26" s="509">
        <f>IF(N$2=1,Reported!N94,Reported!N94-Reported!M94)</f>
        <v/>
      </c>
      <c r="O26" s="509">
        <f>IF(O$2=1,Reported!O94,Reported!O94-Reported!N94)</f>
        <v/>
      </c>
      <c r="P26" s="509">
        <f>IF(P$2=1,Reported!P94,Reported!P94-Reported!O94)</f>
        <v/>
      </c>
      <c r="Q26" s="509">
        <f>IF(Q$2=1,Reported!Q94,Reported!Q94-Reported!P94)</f>
        <v/>
      </c>
      <c r="R26" s="509">
        <f>IF(R$2=1,Reported!R94,Reported!R94-Reported!Q94)</f>
        <v/>
      </c>
      <c r="S26" s="509">
        <f>IF(S$2=1,Reported!S94,Reported!S94-Reported!R94)</f>
        <v/>
      </c>
      <c r="T26" s="509">
        <f>IF(T$2=1,Reported!T94,Reported!T94-Reported!S94)</f>
        <v/>
      </c>
      <c r="U26" s="509">
        <f>IF(U$2=1,Reported!U94,Reported!U94-Reported!T94)</f>
        <v/>
      </c>
      <c r="V26" s="509">
        <f>IF(V$2=1,Reported!V94,Reported!V94-Reported!U94)</f>
        <v/>
      </c>
      <c r="W26" s="509">
        <f>IF(W$2=1,Reported!W94,Reported!W94-Reported!V94)</f>
        <v/>
      </c>
      <c r="X26" s="509">
        <f>IF(X$2=1,Reported!X94,Reported!X94-Reported!W94)</f>
        <v/>
      </c>
      <c r="Y26" s="509">
        <f>IF(Y$2=1,Reported!Y94,Reported!Y94-Reported!X94)</f>
        <v/>
      </c>
      <c r="Z26" s="509">
        <f>IF(Z$2=1,Reported!Z94,Reported!Z94-Reported!Y94)</f>
        <v/>
      </c>
      <c r="AA26" s="509">
        <f>IF(AA$2=1,Reported!AA94,Reported!AA94-Reported!Z94)</f>
        <v/>
      </c>
      <c r="AB26" s="509">
        <f>IF(AB$2=1,Reported!AB94,Reported!AB94-Reported!AA94)</f>
        <v/>
      </c>
      <c r="AC26" s="509">
        <f>IF(AC$2=1,Reported!AC94,Reported!AC94-Reported!AB94)</f>
        <v/>
      </c>
      <c r="AD26" s="509">
        <f>IF(AD$2=1,Reported!AD94,Reported!AD94-Reported!AC94)</f>
        <v/>
      </c>
      <c r="AE26" s="509">
        <f>IF(AE$2=1,Reported!AE94,Reported!AE94-Reported!AD94)</f>
        <v/>
      </c>
      <c r="AF26" s="509">
        <f>IF(AF$2=1,Reported!AF94,Reported!AF94-Reported!AE94)</f>
        <v/>
      </c>
      <c r="AG26" s="509">
        <f>IF(AG$2=1,Reported!AG94,Reported!AG94-Reported!AF94)</f>
        <v/>
      </c>
      <c r="AH26" s="509">
        <f>IF(AH$2=1,Reported!AH94,Reported!AH94-Reported!AG94)</f>
        <v/>
      </c>
      <c r="AI26" s="509">
        <f>IF(AI$2=1,Reported!AI94,Reported!AI94-Reported!AH94)</f>
        <v/>
      </c>
      <c r="AJ26" s="509">
        <f>IF(AJ$2=1,Reported!AJ94,Reported!AJ94-Reported!AI94)</f>
        <v/>
      </c>
      <c r="AK26" s="509">
        <f>IF(AK$2=1,Reported!AK94,Reported!AK94-Reported!AJ94)</f>
        <v/>
      </c>
      <c r="AL26" s="509">
        <f>IF(AL$2=1,Reported!AL94,Reported!AL94-Reported!AK94)</f>
        <v/>
      </c>
      <c r="AM26" s="509">
        <f>IF(AM$2=1,Reported!AM94,Reported!AM94-Reported!AL94)</f>
        <v/>
      </c>
      <c r="AN26" s="509">
        <f>IF(AN$2=1,Reported!AN94,Reported!AN94-Reported!AM94)</f>
        <v/>
      </c>
      <c r="AO26" s="509">
        <f>IF(AO$2=1,Reported!AO94,Reported!AO94-Reported!AN94)</f>
        <v/>
      </c>
      <c r="AP26" s="509">
        <f>IF(AP$2=1,Reported!AP94,Reported!AP94-Reported!AO94)</f>
        <v/>
      </c>
      <c r="AQ26" s="509">
        <f>IF(AQ$2=1,Reported!AQ94,Reported!AQ94-Reported!AP94)</f>
        <v/>
      </c>
      <c r="AR26" s="509">
        <f>IF(AR$2=1,Reported!AR94,Reported!AR94-Reported!AQ94)</f>
        <v/>
      </c>
      <c r="AS26" s="509">
        <f>IF(AS$2=1,Reported!AS94,Reported!AS94-Reported!AR94)</f>
        <v/>
      </c>
      <c r="AT26" s="509">
        <f>IF(AT$2=1,Reported!AT94,Reported!AT94-Reported!AS94)</f>
        <v/>
      </c>
      <c r="AU26" s="509">
        <f>IF(AU$2=1,Reported!AU94,Reported!AU94-Reported!AT94)</f>
        <v/>
      </c>
      <c r="AV26" s="509">
        <f>IF(AV$2=1,Reported!AV94,Reported!AV94-Reported!AU94)</f>
        <v/>
      </c>
      <c r="AW26" s="509">
        <f>IF(AW$2=1,Reported!AW94,Reported!AW94-Reported!AV94)</f>
        <v/>
      </c>
      <c r="AX26" s="509">
        <f>IF(AX$2=1,Reported!AX94,Reported!AX94-Reported!AW94)</f>
        <v/>
      </c>
      <c r="AY26" s="509">
        <f>IF(AY$2=1,Reported!AY94,Reported!AY94-Reported!AX94)</f>
        <v/>
      </c>
      <c r="AZ26" s="509">
        <f>IF(AZ$2=1,Reported!AZ94,Reported!AZ94-Reported!AY94)</f>
        <v/>
      </c>
      <c r="BA26" s="509">
        <f>IF(BA$2=1,Reported!BA94,Reported!BA94-Reported!AZ94)</f>
        <v/>
      </c>
      <c r="BB26" s="509">
        <f>IF(BB$2=1,Reported!BB94,Reported!BB94-Reported!BA94)</f>
        <v/>
      </c>
      <c r="BC26" s="509">
        <f>IF(BC$2=1,Reported!BC94,Reported!BC94-Reported!BB94)</f>
        <v/>
      </c>
      <c r="BD26" s="509">
        <f>IF(BD$2=1,Reported!BD94,Reported!BD94-Reported!BC94)</f>
        <v/>
      </c>
      <c r="BE26" s="509">
        <f>IF(BE$2=1,Reported!BE94,Reported!BE94-Reported!BD94)</f>
        <v/>
      </c>
      <c r="BF26" s="509">
        <f>IF(BF$2=1,Reported!BF94,Reported!BF94-Reported!BE94)</f>
        <v/>
      </c>
      <c r="BG26" s="509">
        <f>IF(BG$2=1,Reported!BG94,Reported!BG94-Reported!BF94)</f>
        <v/>
      </c>
      <c r="BH26" s="509">
        <f>IF(BH$2=1,Reported!BH94,Reported!BH94-Reported!BG94)</f>
        <v/>
      </c>
      <c r="BI26" s="509">
        <f>IF(BI$2=1,Reported!BI94,Reported!BI94-Reported!BH94)</f>
        <v/>
      </c>
      <c r="BJ26" s="509">
        <f>IF(BJ$2=1,Reported!BJ94,Reported!BJ94-Reported!BI94)</f>
        <v/>
      </c>
      <c r="BK26" s="509">
        <f>IF(BK$2=1,Reported!BK94,Reported!BK94-Reported!BJ94)</f>
        <v/>
      </c>
      <c r="BL26" s="509">
        <f>IF(BL$2=1,Reported!BL94,Reported!BL94-Reported!BK94)</f>
        <v/>
      </c>
      <c r="BM26" s="509">
        <f>IF(BM$2=1,Reported!BM94,Reported!BM94-Reported!BL94)</f>
        <v/>
      </c>
      <c r="BN26" s="509">
        <f>IF(BN$2=1,Reported!BN94,Reported!BN94-Reported!BM94)</f>
        <v/>
      </c>
      <c r="BO26" s="509">
        <f>IF(BO$2=1,Reported!BO94,Reported!BO94-Reported!BN94)</f>
        <v/>
      </c>
      <c r="BP26" s="509">
        <f>IF(BP$2=1,Reported!BP94,Reported!BP94-Reported!BO94)</f>
        <v/>
      </c>
      <c r="BQ26" s="509">
        <f>IF(BQ$2=1,Reported!BQ94,Reported!BQ94-Reported!BP94)</f>
        <v/>
      </c>
      <c r="BR26" s="509">
        <f>IF(BR$2=1,Reported!BR94,Reported!BR94-Reported!BQ94)</f>
        <v/>
      </c>
      <c r="BS26" s="517">
        <f>Assumption!BS114</f>
        <v/>
      </c>
      <c r="BT26" s="517">
        <f>Assumption!BT114</f>
        <v/>
      </c>
      <c r="BU26" s="517">
        <f>Assumption!BU114</f>
        <v/>
      </c>
      <c r="BV26" s="517">
        <f>Assumption!BV114</f>
        <v/>
      </c>
      <c r="BW26" s="517">
        <f>Assumption!BW114</f>
        <v/>
      </c>
      <c r="BX26" s="517">
        <f>Assumption!BX114</f>
        <v/>
      </c>
      <c r="BY26" s="517">
        <f>Assumption!BY114</f>
        <v/>
      </c>
      <c r="BZ26" s="517">
        <f>Assumption!BZ114</f>
        <v/>
      </c>
      <c r="CA26" s="517">
        <f>Assumption!CA114</f>
        <v/>
      </c>
      <c r="CB26" s="517">
        <f>Assumption!CB114</f>
        <v/>
      </c>
      <c r="CC26" s="517">
        <f>Assumption!CC114</f>
        <v/>
      </c>
      <c r="CD26" s="517">
        <f>Assumption!CD114</f>
        <v/>
      </c>
      <c r="CE26" s="517">
        <f>Assumption!CE114</f>
        <v/>
      </c>
      <c r="CF26" s="517">
        <f>Assumption!CF114</f>
        <v/>
      </c>
      <c r="CG26" s="517">
        <f>Assumption!CG114</f>
        <v/>
      </c>
      <c r="CH26" s="517">
        <f>Assumption!CH114</f>
        <v/>
      </c>
      <c r="CI26" s="517">
        <f>Assumption!CI114</f>
        <v/>
      </c>
      <c r="CJ26" s="517">
        <f>Assumption!CJ114</f>
        <v/>
      </c>
      <c r="CK26" s="517">
        <f>Assumption!CK114</f>
        <v/>
      </c>
    </row>
    <row r="27">
      <c r="A27" s="22" t="inlineStr">
        <is>
          <t>Net income attributable to IPG Photonics Corporation</t>
        </is>
      </c>
      <c r="B27" s="133" t="n"/>
      <c r="C27" s="133" t="n"/>
      <c r="D27" s="133" t="n"/>
      <c r="E27" s="133" t="n"/>
      <c r="F27" s="133" t="n"/>
      <c r="G27" s="133" t="n"/>
      <c r="H27" s="133" t="n"/>
      <c r="I27" s="133" t="n"/>
      <c r="J27" s="133" t="n"/>
      <c r="K27" s="133" t="n"/>
      <c r="L27" s="133" t="n"/>
      <c r="M27" s="133" t="n"/>
      <c r="N27" s="671">
        <f>IF(N$2=1,Reported!N95,Reported!N95-Reported!M95)</f>
        <v/>
      </c>
      <c r="O27" s="671">
        <f>IF(O$2=1,Reported!O95,Reported!O95-Reported!N95)</f>
        <v/>
      </c>
      <c r="P27" s="671">
        <f>IF(P$2=1,Reported!P95,Reported!P95-Reported!O95)</f>
        <v/>
      </c>
      <c r="Q27" s="671">
        <f>IF(Q$2=1,Reported!Q95,Reported!Q95-Reported!P95)</f>
        <v/>
      </c>
      <c r="R27" s="671">
        <f>IF(R$2=1,Reported!R95,Reported!R95-Reported!Q95)</f>
        <v/>
      </c>
      <c r="S27" s="671">
        <f>IF(S$2=1,Reported!S95,Reported!S95-Reported!R95)</f>
        <v/>
      </c>
      <c r="T27" s="671">
        <f>IF(T$2=1,Reported!T95,Reported!T95-Reported!S95)</f>
        <v/>
      </c>
      <c r="U27" s="671">
        <f>IF(U$2=1,Reported!U95,Reported!U95-Reported!T95)</f>
        <v/>
      </c>
      <c r="V27" s="671">
        <f>IF(V$2=1,Reported!V95,Reported!V95-Reported!U95)</f>
        <v/>
      </c>
      <c r="W27" s="671">
        <f>IF(W$2=1,Reported!W95,Reported!W95-Reported!V95)</f>
        <v/>
      </c>
      <c r="X27" s="671">
        <f>IF(X$2=1,Reported!X95,Reported!X95-Reported!W95)</f>
        <v/>
      </c>
      <c r="Y27" s="671">
        <f>IF(Y$2=1,Reported!Y95,Reported!Y95-Reported!X95)</f>
        <v/>
      </c>
      <c r="Z27" s="671">
        <f>IF(Z$2=1,Reported!Z95,Reported!Z95-Reported!Y95)</f>
        <v/>
      </c>
      <c r="AA27" s="671">
        <f>IF(AA$2=1,Reported!AA95,Reported!AA95-Reported!Z95)</f>
        <v/>
      </c>
      <c r="AB27" s="671">
        <f>IF(AB$2=1,Reported!AB95,Reported!AB95-Reported!AA95)</f>
        <v/>
      </c>
      <c r="AC27" s="671">
        <f>IF(AC$2=1,Reported!AC95,Reported!AC95-Reported!AB95)</f>
        <v/>
      </c>
      <c r="AD27" s="671">
        <f>IF(AD$2=1,Reported!AD95,Reported!AD95-Reported!AC95)</f>
        <v/>
      </c>
      <c r="AE27" s="671">
        <f>IF(AE$2=1,Reported!AE95,Reported!AE95-Reported!AD95)</f>
        <v/>
      </c>
      <c r="AF27" s="671">
        <f>IF(AF$2=1,Reported!AF95,Reported!AF95-Reported!AE95)</f>
        <v/>
      </c>
      <c r="AG27" s="671">
        <f>IF(AG$2=1,Reported!AG95,Reported!AG95-Reported!AF95)</f>
        <v/>
      </c>
      <c r="AH27" s="671">
        <f>IF(AH$2=1,Reported!AH95,Reported!AH95-Reported!AG95)</f>
        <v/>
      </c>
      <c r="AI27" s="671">
        <f>IF(AI$2=1,Reported!AI95,Reported!AI95-Reported!AH95)</f>
        <v/>
      </c>
      <c r="AJ27" s="671">
        <f>IF(AJ$2=1,Reported!AJ95,Reported!AJ95-Reported!AI95)</f>
        <v/>
      </c>
      <c r="AK27" s="671">
        <f>IF(AK$2=1,Reported!AK95,Reported!AK95-Reported!AJ95)</f>
        <v/>
      </c>
      <c r="AL27" s="671">
        <f>IF(AL$2=1,Reported!AL95,Reported!AL95-Reported!AK95)</f>
        <v/>
      </c>
      <c r="AM27" s="671">
        <f>IF(AM$2=1,Reported!AM95,Reported!AM95-Reported!AL95)</f>
        <v/>
      </c>
      <c r="AN27" s="671">
        <f>IF(AN$2=1,Reported!AN95,Reported!AN95-Reported!AM95)</f>
        <v/>
      </c>
      <c r="AO27" s="671">
        <f>IF(AO$2=1,Reported!AO95,Reported!AO95-Reported!AN95)</f>
        <v/>
      </c>
      <c r="AP27" s="671">
        <f>IF(AP$2=1,Reported!AP95,Reported!AP95-Reported!AO95)</f>
        <v/>
      </c>
      <c r="AQ27" s="671">
        <f>IF(AQ$2=1,Reported!AQ95,Reported!AQ95-Reported!AP95)</f>
        <v/>
      </c>
      <c r="AR27" s="671">
        <f>IF(AR$2=1,Reported!AR95,Reported!AR95-Reported!AQ95)</f>
        <v/>
      </c>
      <c r="AS27" s="671">
        <f>IF(AS$2=1,Reported!AS95,Reported!AS95-Reported!AR95)</f>
        <v/>
      </c>
      <c r="AT27" s="671">
        <f>IF(AT$2=1,Reported!AT95,Reported!AT95-Reported!AS95)</f>
        <v/>
      </c>
      <c r="AU27" s="671">
        <f>IF(AU$2=1,Reported!AU95,Reported!AU95-Reported!AT95)</f>
        <v/>
      </c>
      <c r="AV27" s="671">
        <f>IF(AV$2=1,Reported!AV95,Reported!AV95-Reported!AU95)</f>
        <v/>
      </c>
      <c r="AW27" s="671">
        <f>IF(AW$2=1,Reported!AW95,Reported!AW95-Reported!AV95)</f>
        <v/>
      </c>
      <c r="AX27" s="671">
        <f>IF(AX$2=1,Reported!AX95,Reported!AX95-Reported!AW95)</f>
        <v/>
      </c>
      <c r="AY27" s="671">
        <f>IF(AY$2=1,Reported!AY95,Reported!AY95-Reported!AX95)</f>
        <v/>
      </c>
      <c r="AZ27" s="671">
        <f>IF(AZ$2=1,Reported!AZ95,Reported!AZ95-Reported!AY95)</f>
        <v/>
      </c>
      <c r="BA27" s="671">
        <f>IF(BA$2=1,Reported!BA95,Reported!BA95-Reported!AZ95)</f>
        <v/>
      </c>
      <c r="BB27" s="671">
        <f>IF(BB$2=1,Reported!BB95,Reported!BB95-Reported!BA95)</f>
        <v/>
      </c>
      <c r="BC27" s="671">
        <f>IF(BC$2=1,Reported!BC95,Reported!BC95-Reported!BB95)</f>
        <v/>
      </c>
      <c r="BD27" s="671">
        <f>IF(BD$2=1,Reported!BD95,Reported!BD95-Reported!BC95)</f>
        <v/>
      </c>
      <c r="BE27" s="671">
        <f>IF(BE$2=1,Reported!BE95,Reported!BE95-Reported!BD95)</f>
        <v/>
      </c>
      <c r="BF27" s="671">
        <f>IF(BF$2=1,Reported!BF95,Reported!BF95-Reported!BE95)</f>
        <v/>
      </c>
      <c r="BG27" s="671">
        <f>IF(BG$2=1,Reported!BG95,Reported!BG95-Reported!BF95)</f>
        <v/>
      </c>
      <c r="BH27" s="671">
        <f>IF(BH$2=1,Reported!BH95,Reported!BH95-Reported!BG95)</f>
        <v/>
      </c>
      <c r="BI27" s="671">
        <f>IF(BI$2=1,Reported!BI95,Reported!BI95-Reported!BH95)</f>
        <v/>
      </c>
      <c r="BJ27" s="671">
        <f>IF(BJ$2=1,Reported!BJ95,Reported!BJ95-Reported!BI95)</f>
        <v/>
      </c>
      <c r="BK27" s="671">
        <f>IF(BK$2=1,Reported!BK95,Reported!BK95-Reported!BJ95)</f>
        <v/>
      </c>
      <c r="BL27" s="671">
        <f>IF(BL$2=1,Reported!BL95,Reported!BL95-Reported!BK95)</f>
        <v/>
      </c>
      <c r="BM27" s="671">
        <f>IF(BM$2=1,Reported!BM95,Reported!BM95-Reported!BL95)</f>
        <v/>
      </c>
      <c r="BN27" s="671">
        <f>IF(BN$2=1,Reported!BN95,Reported!BN95-Reported!BM95)</f>
        <v/>
      </c>
      <c r="BO27" s="671">
        <f>IF(BO$2=1,Reported!BO95,Reported!BO95-Reported!BN95)</f>
        <v/>
      </c>
      <c r="BP27" s="671">
        <f>IF(BP$2=1,Reported!BP95,Reported!BP95-Reported!BO95)</f>
        <v/>
      </c>
      <c r="BQ27" s="671">
        <f>IF(BQ$2=1,Reported!BQ95,Reported!BQ95-Reported!BP95)</f>
        <v/>
      </c>
      <c r="BR27" s="671">
        <f>IF(BR$2=1,Reported!BR95,Reported!BR95-Reported!BQ95)</f>
        <v/>
      </c>
      <c r="BS27" s="519">
        <f>BS25-BS26</f>
        <v/>
      </c>
      <c r="BT27" s="519">
        <f>BT25-BT26</f>
        <v/>
      </c>
      <c r="BU27" s="519">
        <f>BU25-BU26</f>
        <v/>
      </c>
      <c r="BV27" s="519">
        <f>BV25-BV26</f>
        <v/>
      </c>
      <c r="BW27" s="519">
        <f>BW25-BW26</f>
        <v/>
      </c>
      <c r="BX27" s="519">
        <f>BX25-BX26</f>
        <v/>
      </c>
      <c r="BY27" s="519">
        <f>BY25-BY26</f>
        <v/>
      </c>
      <c r="BZ27" s="519">
        <f>BZ25-BZ26</f>
        <v/>
      </c>
      <c r="CA27" s="519">
        <f>CA25-CA26</f>
        <v/>
      </c>
      <c r="CB27" s="519">
        <f>CB25-CB26</f>
        <v/>
      </c>
      <c r="CC27" s="519">
        <f>CC25-CC26</f>
        <v/>
      </c>
      <c r="CD27" s="519">
        <f>CD25-CD26</f>
        <v/>
      </c>
      <c r="CE27" s="519">
        <f>CE25-CE26</f>
        <v/>
      </c>
      <c r="CF27" s="519">
        <f>CF25-CF26</f>
        <v/>
      </c>
      <c r="CG27" s="519">
        <f>CG25-CG26</f>
        <v/>
      </c>
      <c r="CH27" s="519">
        <f>CH25-CH26</f>
        <v/>
      </c>
      <c r="CI27" s="519">
        <f>CI25-CI26</f>
        <v/>
      </c>
      <c r="CJ27" s="519">
        <f>CJ25-CJ26</f>
        <v/>
      </c>
      <c r="CK27" s="519">
        <f>CK25-CK26</f>
        <v/>
      </c>
    </row>
    <row r="28">
      <c r="A28" s="22" t="inlineStr">
        <is>
          <t>Net income attributable to IPG Photonics Corporation per share</t>
        </is>
      </c>
      <c r="B28" s="145" t="n"/>
      <c r="C28" s="145" t="n"/>
      <c r="D28" s="145" t="n"/>
      <c r="E28" s="145" t="n"/>
      <c r="F28" s="145" t="n"/>
      <c r="G28" s="145" t="n"/>
      <c r="H28" s="145" t="n"/>
      <c r="I28" s="145" t="n"/>
      <c r="J28" s="145" t="n"/>
      <c r="K28" s="145" t="n"/>
      <c r="L28" s="145" t="n"/>
      <c r="M28" s="145" t="n"/>
      <c r="N28" s="509" t="n"/>
      <c r="O28" s="509" t="n"/>
      <c r="P28" s="509" t="n"/>
      <c r="Q28" s="509" t="n"/>
      <c r="R28" s="509" t="n"/>
      <c r="S28" s="509" t="n"/>
      <c r="T28" s="509" t="n"/>
      <c r="U28" s="509" t="n"/>
      <c r="V28" s="509" t="n"/>
      <c r="W28" s="509" t="n"/>
      <c r="X28" s="509" t="n"/>
      <c r="Y28" s="509" t="n"/>
      <c r="Z28" s="509" t="n"/>
      <c r="AA28" s="509" t="n"/>
      <c r="AB28" s="509" t="n"/>
      <c r="AC28" s="509" t="n"/>
      <c r="AD28" s="509" t="n"/>
      <c r="AE28" s="509" t="n"/>
      <c r="AF28" s="509" t="n"/>
      <c r="AG28" s="509" t="n"/>
      <c r="AH28" s="509" t="n"/>
      <c r="AI28" s="509" t="n"/>
      <c r="AJ28" s="509" t="n"/>
      <c r="AK28" s="509" t="n"/>
      <c r="AL28" s="509" t="n"/>
      <c r="AM28" s="509" t="n"/>
      <c r="AN28" s="509" t="n"/>
      <c r="AO28" s="509" t="n"/>
      <c r="AP28" s="509" t="n"/>
      <c r="AQ28" s="509" t="n"/>
      <c r="AR28" s="509" t="n"/>
      <c r="AS28" s="509" t="n"/>
      <c r="AT28" s="509" t="n"/>
      <c r="AU28" s="509" t="n"/>
      <c r="AV28" s="509" t="n"/>
      <c r="AW28" s="509" t="n"/>
      <c r="AX28" s="509" t="n"/>
      <c r="AY28" s="509" t="n"/>
      <c r="AZ28" s="509" t="n"/>
      <c r="BA28" s="509" t="n"/>
      <c r="BB28" s="509" t="n"/>
      <c r="BC28" s="509" t="n"/>
      <c r="BD28" s="509" t="n"/>
      <c r="BE28" s="509" t="n"/>
      <c r="BF28" s="509" t="n"/>
      <c r="BG28" s="509" t="n"/>
      <c r="BH28" s="509" t="n"/>
      <c r="BI28" s="509" t="n"/>
      <c r="BJ28" s="509" t="n"/>
      <c r="BK28" s="509" t="n"/>
      <c r="BL28" s="509" t="n"/>
      <c r="BM28" s="509" t="n"/>
      <c r="BN28" s="509" t="n"/>
      <c r="BO28" s="509" t="n"/>
      <c r="BP28" s="509" t="n"/>
      <c r="BQ28" s="509" t="n"/>
      <c r="BR28" s="509" t="n"/>
    </row>
    <row r="29">
      <c r="A29" s="74" t="inlineStr">
        <is>
          <t>Basic</t>
        </is>
      </c>
      <c r="B29" s="670" t="n"/>
      <c r="C29" s="670" t="n"/>
      <c r="D29" s="670" t="n"/>
      <c r="E29" s="670" t="n"/>
      <c r="F29" s="670" t="n"/>
      <c r="G29" s="670" t="n"/>
      <c r="H29" s="670" t="n"/>
      <c r="I29" s="670" t="n"/>
      <c r="J29" s="670" t="n"/>
      <c r="K29" s="670" t="n"/>
      <c r="L29" s="670" t="n"/>
      <c r="M29" s="670" t="n"/>
      <c r="N29" s="510">
        <f>IF(N$2=1,Reported!N97,Reported!N97-Reported!M97)</f>
        <v/>
      </c>
      <c r="O29" s="510">
        <f>IF(O$2=1,Reported!O97,Reported!O97-Reported!N97)</f>
        <v/>
      </c>
      <c r="P29" s="510">
        <f>IF(P$2=1,Reported!P97,Reported!P97-Reported!O97)</f>
        <v/>
      </c>
      <c r="Q29" s="510">
        <f>IF(Q$2=1,Reported!Q97,Reported!Q97-Reported!P97)</f>
        <v/>
      </c>
      <c r="R29" s="510">
        <f>IF(R$2=1,Reported!R97,Reported!R97-Reported!Q97)</f>
        <v/>
      </c>
      <c r="S29" s="510">
        <f>IF(S$2=1,Reported!S97,Reported!S97-Reported!R97)</f>
        <v/>
      </c>
      <c r="T29" s="510">
        <f>IF(T$2=1,Reported!T97,Reported!T97-Reported!S97)</f>
        <v/>
      </c>
      <c r="U29" s="510">
        <f>IF(U$2=1,Reported!U97,Reported!U97-Reported!T97)</f>
        <v/>
      </c>
      <c r="V29" s="510">
        <f>IF(V$2=1,Reported!V97,Reported!V97-Reported!U97)</f>
        <v/>
      </c>
      <c r="W29" s="510">
        <f>IF(W$2=1,Reported!W97,Reported!W97-Reported!V97)</f>
        <v/>
      </c>
      <c r="X29" s="510">
        <f>IF(X$2=1,Reported!X97,Reported!X97-Reported!W97)</f>
        <v/>
      </c>
      <c r="Y29" s="510">
        <f>IF(Y$2=1,Reported!Y97,Reported!Y97-Reported!X97)</f>
        <v/>
      </c>
      <c r="Z29" s="510">
        <f>IF(Z$2=1,Reported!Z97,Reported!Z97-Reported!Y97)</f>
        <v/>
      </c>
      <c r="AA29" s="510">
        <f>IF(AA$2=1,Reported!AA97,Reported!AA97-Reported!Z97)</f>
        <v/>
      </c>
      <c r="AB29" s="510">
        <f>IF(AB$2=1,Reported!AB97,Reported!AB97-Reported!AA97)</f>
        <v/>
      </c>
      <c r="AC29" s="510">
        <f>IF(AC$2=1,Reported!AC97,Reported!AC97-Reported!AB97)</f>
        <v/>
      </c>
      <c r="AD29" s="510">
        <f>IF(AD$2=1,Reported!AD97,Reported!AD97-Reported!AC97)</f>
        <v/>
      </c>
      <c r="AE29" s="510">
        <f>IF(AE$2=1,Reported!AE97,Reported!AE97-Reported!AD97)</f>
        <v/>
      </c>
      <c r="AF29" s="510">
        <f>IF(AF$2=1,Reported!AF97,Reported!AF97-Reported!AE97)</f>
        <v/>
      </c>
      <c r="AG29" s="510">
        <f>IF(AG$2=1,Reported!AG97,Reported!AG97-Reported!AF97)</f>
        <v/>
      </c>
      <c r="AH29" s="510">
        <f>IF(AH$2=1,Reported!AH97,Reported!AH97-Reported!AG97)</f>
        <v/>
      </c>
      <c r="AI29" s="510">
        <f>IF(AI$2=1,Reported!AI97,Reported!AI97-Reported!AH97)</f>
        <v/>
      </c>
      <c r="AJ29" s="510">
        <f>IF(AJ$2=1,Reported!AJ97,Reported!AJ97-Reported!AI97)</f>
        <v/>
      </c>
      <c r="AK29" s="510">
        <f>IF(AK$2=1,Reported!AK97,Reported!AK97-Reported!AJ97)</f>
        <v/>
      </c>
      <c r="AL29" s="510">
        <f>IF(AL$2=1,Reported!AL97,Reported!AL97-Reported!AK97)</f>
        <v/>
      </c>
      <c r="AM29" s="510">
        <f>IF(AM$2=1,Reported!AM97,Reported!AM97-Reported!AL97)</f>
        <v/>
      </c>
      <c r="AN29" s="510">
        <f>IF(AN$2=1,Reported!AN97,Reported!AN97-Reported!AM97)</f>
        <v/>
      </c>
      <c r="AO29" s="510">
        <f>IF(AO$2=1,Reported!AO97,Reported!AO97-Reported!AN97)</f>
        <v/>
      </c>
      <c r="AP29" s="510">
        <f>IF(AP$2=1,Reported!AP97,Reported!AP97-Reported!AO97)</f>
        <v/>
      </c>
      <c r="AQ29" s="510">
        <f>IF(AQ$2=1,Reported!AQ97,Reported!AQ97-Reported!AP97)</f>
        <v/>
      </c>
      <c r="AR29" s="510">
        <f>IF(AR$2=1,Reported!AR97,Reported!AR97-Reported!AQ97)</f>
        <v/>
      </c>
      <c r="AS29" s="510">
        <f>IF(AS$2=1,Reported!AS97,Reported!AS97-Reported!AR97)</f>
        <v/>
      </c>
      <c r="AT29" s="510">
        <f>IF(AT$2=1,Reported!AT97,Reported!AT97-Reported!AS97)</f>
        <v/>
      </c>
      <c r="AU29" s="510">
        <f>IF(AU$2=1,Reported!AU97,Reported!AU97-Reported!AT97)</f>
        <v/>
      </c>
      <c r="AV29" s="510">
        <f>IF(AV$2=1,Reported!AV97,Reported!AV97-Reported!AU97)</f>
        <v/>
      </c>
      <c r="AW29" s="510">
        <f>IF(AW$2=1,Reported!AW97,Reported!AW97-Reported!AV97)</f>
        <v/>
      </c>
      <c r="AX29" s="510">
        <f>IF(AX$2=1,Reported!AX97,Reported!AX97-Reported!AW97)</f>
        <v/>
      </c>
      <c r="AY29" s="510">
        <f>IF(AY$2=1,Reported!AY97,Reported!AY97-Reported!AX97)</f>
        <v/>
      </c>
      <c r="AZ29" s="510">
        <f>IF(AZ$2=1,Reported!AZ97,Reported!AZ97-Reported!AY97)</f>
        <v/>
      </c>
      <c r="BA29" s="510">
        <f>IF(BA$2=1,Reported!BA97,Reported!BA97-Reported!AZ97)</f>
        <v/>
      </c>
      <c r="BB29" s="510">
        <f>IF(BB$2=1,Reported!BB97,Reported!BB97-Reported!BA97)</f>
        <v/>
      </c>
      <c r="BC29" s="510">
        <f>IF(BC$2=1,Reported!BC97,Reported!BC97-Reported!BB97)</f>
        <v/>
      </c>
      <c r="BD29" s="510">
        <f>IF(BD$2=1,Reported!BD97,Reported!BD97-Reported!BC97)</f>
        <v/>
      </c>
      <c r="BE29" s="510">
        <f>IF(BE$2=1,Reported!BE97,Reported!BE97-Reported!BD97)</f>
        <v/>
      </c>
      <c r="BF29" s="510">
        <f>IF(BF$2=1,Reported!BF97,Reported!BF97-Reported!BE97)</f>
        <v/>
      </c>
      <c r="BG29" s="510">
        <f>IF(BG$2=1,Reported!BG97,Reported!BG97-Reported!BF97)</f>
        <v/>
      </c>
      <c r="BH29" s="510">
        <f>IF(BH$2=1,Reported!BH97,Reported!BH97-Reported!BG97)</f>
        <v/>
      </c>
      <c r="BI29" s="510">
        <f>IF(BI$2=1,Reported!BI97,Reported!BI97-Reported!BH97)</f>
        <v/>
      </c>
      <c r="BJ29" s="510">
        <f>IF(BJ$2=1,Reported!BJ97,Reported!BJ97-Reported!BI97)</f>
        <v/>
      </c>
      <c r="BK29" s="510">
        <f>IF(BK$2=1,Reported!BK97,Reported!BK97-Reported!BJ97)</f>
        <v/>
      </c>
      <c r="BL29" s="510">
        <f>IF(BL$2=1,Reported!BL97,Reported!BL97-Reported!BK97)</f>
        <v/>
      </c>
      <c r="BM29" s="510">
        <f>IF(BM$2=1,Reported!BM97,Reported!BM97-Reported!BL97)</f>
        <v/>
      </c>
      <c r="BN29" s="510">
        <f>IF(BN$2=1,Reported!BN97,Reported!BN97-Reported!BM97)</f>
        <v/>
      </c>
      <c r="BO29" s="510">
        <f>IF(BO$2=1,Reported!BO97,Reported!BO97-Reported!BN97)</f>
        <v/>
      </c>
      <c r="BP29" s="510">
        <f>IF(BP$2=1,Reported!BP97,Reported!BP97-Reported!BO97)</f>
        <v/>
      </c>
      <c r="BQ29" s="510">
        <f>IF(BQ$2=1,Reported!BQ97,Reported!BQ97-Reported!BP97)</f>
        <v/>
      </c>
      <c r="BR29" s="510">
        <f>IF(BR$2=1,Reported!BR97,Reported!BR97-Reported!BQ97)</f>
        <v/>
      </c>
      <c r="BS29" s="760">
        <f>BS$27/BS32</f>
        <v/>
      </c>
      <c r="BT29" s="542">
        <f>BT$27/BT32</f>
        <v/>
      </c>
      <c r="BU29" s="542">
        <f>BU$27/BU32</f>
        <v/>
      </c>
      <c r="BV29" s="542">
        <f>BV$27/BV32</f>
        <v/>
      </c>
      <c r="BW29" s="542">
        <f>BW$27/BW32</f>
        <v/>
      </c>
      <c r="BX29" s="542">
        <f>BX$27/BX32</f>
        <v/>
      </c>
      <c r="BY29" s="542">
        <f>BY$27/BY32</f>
        <v/>
      </c>
      <c r="BZ29" s="542">
        <f>BZ$27/BZ32</f>
        <v/>
      </c>
      <c r="CA29" s="542">
        <f>CA$27/CA32</f>
        <v/>
      </c>
      <c r="CB29" s="542">
        <f>CB$27/CB32</f>
        <v/>
      </c>
      <c r="CC29" s="542">
        <f>CC$27/CC32</f>
        <v/>
      </c>
      <c r="CD29" s="542">
        <f>CD$27/CD32</f>
        <v/>
      </c>
      <c r="CE29" s="542">
        <f>CE$27/CE32</f>
        <v/>
      </c>
      <c r="CF29" s="542">
        <f>CF$27/CF32</f>
        <v/>
      </c>
      <c r="CG29" s="542">
        <f>CG$27/CG32</f>
        <v/>
      </c>
      <c r="CH29" s="542">
        <f>CH$27/CH32</f>
        <v/>
      </c>
      <c r="CI29" s="542">
        <f>CI$27/CI32</f>
        <v/>
      </c>
      <c r="CJ29" s="542">
        <f>CJ$27/CJ32</f>
        <v/>
      </c>
      <c r="CK29" s="542">
        <f>CK$27/CK32</f>
        <v/>
      </c>
    </row>
    <row r="30">
      <c r="A30" s="74" t="inlineStr">
        <is>
          <t>Diluted</t>
        </is>
      </c>
      <c r="B30" s="670" t="n"/>
      <c r="C30" s="670" t="n"/>
      <c r="D30" s="670" t="n"/>
      <c r="E30" s="670" t="n"/>
      <c r="F30" s="670" t="n"/>
      <c r="G30" s="670" t="n"/>
      <c r="H30" s="670" t="n"/>
      <c r="I30" s="670" t="n"/>
      <c r="J30" s="670" t="n"/>
      <c r="K30" s="670" t="n"/>
      <c r="L30" s="670" t="n"/>
      <c r="M30" s="670" t="n"/>
      <c r="N30" s="510">
        <f>IF(N$2=1,Reported!N98,Reported!N98-Reported!M98)</f>
        <v/>
      </c>
      <c r="O30" s="510">
        <f>IF(O$2=1,Reported!O98,Reported!O98-Reported!N98)</f>
        <v/>
      </c>
      <c r="P30" s="510">
        <f>IF(P$2=1,Reported!P98,Reported!P98-Reported!O98)</f>
        <v/>
      </c>
      <c r="Q30" s="510">
        <f>IF(Q$2=1,Reported!Q98,Reported!Q98-Reported!P98)</f>
        <v/>
      </c>
      <c r="R30" s="510">
        <f>IF(R$2=1,Reported!R98,Reported!R98-Reported!Q98)</f>
        <v/>
      </c>
      <c r="S30" s="510">
        <f>IF(S$2=1,Reported!S98,Reported!S98-Reported!R98)</f>
        <v/>
      </c>
      <c r="T30" s="510">
        <f>IF(T$2=1,Reported!T98,Reported!T98-Reported!S98)</f>
        <v/>
      </c>
      <c r="U30" s="510">
        <f>IF(U$2=1,Reported!U98,Reported!U98-Reported!T98)</f>
        <v/>
      </c>
      <c r="V30" s="510">
        <f>IF(V$2=1,Reported!V98,Reported!V98-Reported!U98)</f>
        <v/>
      </c>
      <c r="W30" s="510">
        <f>IF(W$2=1,Reported!W98,Reported!W98-Reported!V98)</f>
        <v/>
      </c>
      <c r="X30" s="510">
        <f>IF(X$2=1,Reported!X98,Reported!X98-Reported!W98)</f>
        <v/>
      </c>
      <c r="Y30" s="510">
        <f>IF(Y$2=1,Reported!Y98,Reported!Y98-Reported!X98)</f>
        <v/>
      </c>
      <c r="Z30" s="510">
        <f>IF(Z$2=1,Reported!Z98,Reported!Z98-Reported!Y98)</f>
        <v/>
      </c>
      <c r="AA30" s="510">
        <f>IF(AA$2=1,Reported!AA98,Reported!AA98-Reported!Z98)</f>
        <v/>
      </c>
      <c r="AB30" s="510">
        <f>IF(AB$2=1,Reported!AB98,Reported!AB98-Reported!AA98)</f>
        <v/>
      </c>
      <c r="AC30" s="510">
        <f>IF(AC$2=1,Reported!AC98,Reported!AC98-Reported!AB98)</f>
        <v/>
      </c>
      <c r="AD30" s="510">
        <f>IF(AD$2=1,Reported!AD98,Reported!AD98-Reported!AC98)</f>
        <v/>
      </c>
      <c r="AE30" s="510">
        <f>IF(AE$2=1,Reported!AE98,Reported!AE98-Reported!AD98)</f>
        <v/>
      </c>
      <c r="AF30" s="510">
        <f>IF(AF$2=1,Reported!AF98,Reported!AF98-Reported!AE98)</f>
        <v/>
      </c>
      <c r="AG30" s="510">
        <f>IF(AG$2=1,Reported!AG98,Reported!AG98-Reported!AF98)</f>
        <v/>
      </c>
      <c r="AH30" s="510">
        <f>IF(AH$2=1,Reported!AH98,Reported!AH98-Reported!AG98)</f>
        <v/>
      </c>
      <c r="AI30" s="510">
        <f>IF(AI$2=1,Reported!AI98,Reported!AI98-Reported!AH98)</f>
        <v/>
      </c>
      <c r="AJ30" s="510">
        <f>IF(AJ$2=1,Reported!AJ98,Reported!AJ98-Reported!AI98)</f>
        <v/>
      </c>
      <c r="AK30" s="510">
        <f>IF(AK$2=1,Reported!AK98,Reported!AK98-Reported!AJ98)</f>
        <v/>
      </c>
      <c r="AL30" s="510">
        <f>IF(AL$2=1,Reported!AL98,Reported!AL98-Reported!AK98)</f>
        <v/>
      </c>
      <c r="AM30" s="510">
        <f>IF(AM$2=1,Reported!AM98,Reported!AM98-Reported!AL98)</f>
        <v/>
      </c>
      <c r="AN30" s="510">
        <f>IF(AN$2=1,Reported!AN98,Reported!AN98-Reported!AM98)</f>
        <v/>
      </c>
      <c r="AO30" s="510">
        <f>IF(AO$2=1,Reported!AO98,Reported!AO98-Reported!AN98)</f>
        <v/>
      </c>
      <c r="AP30" s="510">
        <f>IF(AP$2=1,Reported!AP98,Reported!AP98-Reported!AO98)</f>
        <v/>
      </c>
      <c r="AQ30" s="510">
        <f>IF(AQ$2=1,Reported!AQ98,Reported!AQ98-Reported!AP98)</f>
        <v/>
      </c>
      <c r="AR30" s="510">
        <f>IF(AR$2=1,Reported!AR98,Reported!AR98-Reported!AQ98)</f>
        <v/>
      </c>
      <c r="AS30" s="510">
        <f>IF(AS$2=1,Reported!AS98,Reported!AS98-Reported!AR98)</f>
        <v/>
      </c>
      <c r="AT30" s="510">
        <f>IF(AT$2=1,Reported!AT98,Reported!AT98-Reported!AS98)</f>
        <v/>
      </c>
      <c r="AU30" s="510">
        <f>IF(AU$2=1,Reported!AU98,Reported!AU98-Reported!AT98)</f>
        <v/>
      </c>
      <c r="AV30" s="510">
        <f>IF(AV$2=1,Reported!AV98,Reported!AV98-Reported!AU98)</f>
        <v/>
      </c>
      <c r="AW30" s="510">
        <f>IF(AW$2=1,Reported!AW98,Reported!AW98-Reported!AV98)</f>
        <v/>
      </c>
      <c r="AX30" s="510">
        <f>IF(AX$2=1,Reported!AX98,Reported!AX98-Reported!AW98)</f>
        <v/>
      </c>
      <c r="AY30" s="510">
        <f>IF(AY$2=1,Reported!AY98,Reported!AY98-Reported!AX98)</f>
        <v/>
      </c>
      <c r="AZ30" s="510">
        <f>IF(AZ$2=1,Reported!AZ98,Reported!AZ98-Reported!AY98)</f>
        <v/>
      </c>
      <c r="BA30" s="510">
        <f>IF(BA$2=1,Reported!BA98,Reported!BA98-Reported!AZ98)</f>
        <v/>
      </c>
      <c r="BB30" s="510">
        <f>IF(BB$2=1,Reported!BB98,Reported!BB98-Reported!BA98)</f>
        <v/>
      </c>
      <c r="BC30" s="510">
        <f>IF(BC$2=1,Reported!BC98,Reported!BC98-Reported!BB98)</f>
        <v/>
      </c>
      <c r="BD30" s="510">
        <f>IF(BD$2=1,Reported!BD98,Reported!BD98-Reported!BC98)</f>
        <v/>
      </c>
      <c r="BE30" s="510">
        <f>IF(BE$2=1,Reported!BE98,Reported!BE98-Reported!BD98)</f>
        <v/>
      </c>
      <c r="BF30" s="510">
        <f>IF(BF$2=1,Reported!BF98,Reported!BF98-Reported!BE98)</f>
        <v/>
      </c>
      <c r="BG30" s="510">
        <f>IF(BG$2=1,Reported!BG98,Reported!BG98-Reported!BF98)</f>
        <v/>
      </c>
      <c r="BH30" s="510">
        <f>IF(BH$2=1,Reported!BH98,Reported!BH98-Reported!BG98)</f>
        <v/>
      </c>
      <c r="BI30" s="510">
        <f>IF(BI$2=1,Reported!BI98,Reported!BI98-Reported!BH98)</f>
        <v/>
      </c>
      <c r="BJ30" s="510">
        <f>IF(BJ$2=1,Reported!BJ98,Reported!BJ98-Reported!BI98)</f>
        <v/>
      </c>
      <c r="BK30" s="510">
        <f>IF(BK$2=1,Reported!BK98,Reported!BK98-Reported!BJ98)</f>
        <v/>
      </c>
      <c r="BL30" s="510">
        <f>IF(BL$2=1,Reported!BL98,Reported!BL98-Reported!BK98)</f>
        <v/>
      </c>
      <c r="BM30" s="510">
        <f>IF(BM$2=1,Reported!BM98,Reported!BM98-Reported!BL98)</f>
        <v/>
      </c>
      <c r="BN30" s="510">
        <f>IF(BN$2=1,Reported!BN98,Reported!BN98-Reported!BM98)</f>
        <v/>
      </c>
      <c r="BO30" s="510">
        <f>IF(BO$2=1,Reported!BO98,Reported!BO98-Reported!BN98)</f>
        <v/>
      </c>
      <c r="BP30" s="510">
        <f>IF(BP$2=1,Reported!BP98,Reported!BP98-Reported!BO98)</f>
        <v/>
      </c>
      <c r="BQ30" s="510">
        <f>IF(BQ$2=1,Reported!BQ98,Reported!BQ98-Reported!BP98)</f>
        <v/>
      </c>
      <c r="BR30" s="510">
        <f>IF(BR$2=1,Reported!BR98,Reported!BR98-Reported!BQ98)</f>
        <v/>
      </c>
      <c r="BS30" s="760">
        <f>BS$27/BS33</f>
        <v/>
      </c>
      <c r="BT30" s="542">
        <f>BT$27/BT33</f>
        <v/>
      </c>
      <c r="BU30" s="542">
        <f>BU$27/BU33</f>
        <v/>
      </c>
      <c r="BV30" s="542">
        <f>BV$27/BV33</f>
        <v/>
      </c>
      <c r="BW30" s="542">
        <f>BW$27/BW33</f>
        <v/>
      </c>
      <c r="BX30" s="542">
        <f>BX$27/BX33</f>
        <v/>
      </c>
      <c r="BY30" s="542">
        <f>BY$27/BY33</f>
        <v/>
      </c>
      <c r="BZ30" s="542">
        <f>BZ$27/BZ33</f>
        <v/>
      </c>
      <c r="CA30" s="542">
        <f>CA$27/CA33</f>
        <v/>
      </c>
      <c r="CB30" s="542">
        <f>CB$27/CB33</f>
        <v/>
      </c>
      <c r="CC30" s="542">
        <f>CC$27/CC33</f>
        <v/>
      </c>
      <c r="CD30" s="542">
        <f>CD$27/CD33</f>
        <v/>
      </c>
      <c r="CE30" s="542">
        <f>CE$27/CE33</f>
        <v/>
      </c>
      <c r="CF30" s="542">
        <f>CF$27/CF33</f>
        <v/>
      </c>
      <c r="CG30" s="542">
        <f>CG$27/CG33</f>
        <v/>
      </c>
      <c r="CH30" s="542">
        <f>CH$27/CH33</f>
        <v/>
      </c>
      <c r="CI30" s="542">
        <f>CI$27/CI33</f>
        <v/>
      </c>
      <c r="CJ30" s="542">
        <f>CJ$27/CJ33</f>
        <v/>
      </c>
      <c r="CK30" s="542">
        <f>CK$27/CK33</f>
        <v/>
      </c>
    </row>
    <row r="31">
      <c r="A31" s="22" t="inlineStr">
        <is>
          <t>Weighted average share outstanding</t>
        </is>
      </c>
      <c r="B31" s="145" t="n"/>
      <c r="C31" s="145" t="n"/>
      <c r="D31" s="145" t="n"/>
      <c r="E31" s="145" t="n"/>
      <c r="F31" s="145" t="n"/>
      <c r="G31" s="145" t="n"/>
      <c r="H31" s="145" t="n"/>
      <c r="I31" s="145" t="n"/>
      <c r="J31" s="145" t="n"/>
      <c r="K31" s="145" t="n"/>
      <c r="L31" s="145" t="n"/>
      <c r="M31" s="145" t="n"/>
      <c r="N31" s="509">
        <f>IF(N$2=1,Reported!N99,Reported!N99-Reported!M99)</f>
        <v/>
      </c>
      <c r="O31" s="509">
        <f>IF(O$2=1,Reported!O99,Reported!O99-Reported!N99)</f>
        <v/>
      </c>
      <c r="P31" s="509">
        <f>IF(P$2=1,Reported!P99,Reported!P99-Reported!O99)</f>
        <v/>
      </c>
      <c r="Q31" s="509">
        <f>IF(Q$2=1,Reported!Q99,Reported!Q99-Reported!P99)</f>
        <v/>
      </c>
      <c r="R31" s="509">
        <f>IF(R$2=1,Reported!R99,Reported!R99-Reported!Q99)</f>
        <v/>
      </c>
      <c r="S31" s="509">
        <f>IF(S$2=1,Reported!S99,Reported!S99-Reported!R99)</f>
        <v/>
      </c>
      <c r="T31" s="509">
        <f>IF(T$2=1,Reported!T99,Reported!T99-Reported!S99)</f>
        <v/>
      </c>
      <c r="U31" s="509">
        <f>IF(U$2=1,Reported!U99,Reported!U99-Reported!T99)</f>
        <v/>
      </c>
      <c r="V31" s="509">
        <f>IF(V$2=1,Reported!V99,Reported!V99-Reported!U99)</f>
        <v/>
      </c>
      <c r="W31" s="509">
        <f>IF(W$2=1,Reported!W99,Reported!W99-Reported!V99)</f>
        <v/>
      </c>
      <c r="X31" s="509">
        <f>IF(X$2=1,Reported!X99,Reported!X99-Reported!W99)</f>
        <v/>
      </c>
      <c r="Y31" s="509">
        <f>IF(Y$2=1,Reported!Y99,Reported!Y99-Reported!X99)</f>
        <v/>
      </c>
      <c r="Z31" s="509">
        <f>IF(Z$2=1,Reported!Z99,Reported!Z99-Reported!Y99)</f>
        <v/>
      </c>
      <c r="AA31" s="509">
        <f>IF(AA$2=1,Reported!AA99,Reported!AA99-Reported!Z99)</f>
        <v/>
      </c>
      <c r="AB31" s="509">
        <f>IF(AB$2=1,Reported!AB99,Reported!AB99-Reported!AA99)</f>
        <v/>
      </c>
      <c r="AC31" s="509">
        <f>IF(AC$2=1,Reported!AC99,Reported!AC99-Reported!AB99)</f>
        <v/>
      </c>
      <c r="AD31" s="509">
        <f>IF(AD$2=1,Reported!AD99,Reported!AD99-Reported!AC99)</f>
        <v/>
      </c>
      <c r="AE31" s="509">
        <f>IF(AE$2=1,Reported!AE99,Reported!AE99-Reported!AD99)</f>
        <v/>
      </c>
      <c r="AF31" s="509">
        <f>IF(AF$2=1,Reported!AF99,Reported!AF99-Reported!AE99)</f>
        <v/>
      </c>
      <c r="AG31" s="509">
        <f>IF(AG$2=1,Reported!AG99,Reported!AG99-Reported!AF99)</f>
        <v/>
      </c>
      <c r="AH31" s="509">
        <f>IF(AH$2=1,Reported!AH99,Reported!AH99-Reported!AG99)</f>
        <v/>
      </c>
      <c r="AI31" s="509">
        <f>IF(AI$2=1,Reported!AI99,Reported!AI99-Reported!AH99)</f>
        <v/>
      </c>
      <c r="AJ31" s="509">
        <f>IF(AJ$2=1,Reported!AJ99,Reported!AJ99-Reported!AI99)</f>
        <v/>
      </c>
      <c r="AK31" s="509">
        <f>IF(AK$2=1,Reported!AK99,Reported!AK99-Reported!AJ99)</f>
        <v/>
      </c>
      <c r="AL31" s="509">
        <f>IF(AL$2=1,Reported!AL99,Reported!AL99-Reported!AK99)</f>
        <v/>
      </c>
      <c r="AM31" s="509">
        <f>IF(AM$2=1,Reported!AM99,Reported!AM99-Reported!AL99)</f>
        <v/>
      </c>
      <c r="AN31" s="509">
        <f>IF(AN$2=1,Reported!AN99,Reported!AN99-Reported!AM99)</f>
        <v/>
      </c>
      <c r="AO31" s="509">
        <f>IF(AO$2=1,Reported!AO99,Reported!AO99-Reported!AN99)</f>
        <v/>
      </c>
      <c r="AP31" s="509">
        <f>IF(AP$2=1,Reported!AP99,Reported!AP99-Reported!AO99)</f>
        <v/>
      </c>
      <c r="AQ31" s="509">
        <f>IF(AQ$2=1,Reported!AQ99,Reported!AQ99-Reported!AP99)</f>
        <v/>
      </c>
      <c r="AR31" s="509">
        <f>IF(AR$2=1,Reported!AR99,Reported!AR99-Reported!AQ99)</f>
        <v/>
      </c>
      <c r="AS31" s="509">
        <f>IF(AS$2=1,Reported!AS99,Reported!AS99-Reported!AR99)</f>
        <v/>
      </c>
      <c r="AT31" s="509">
        <f>IF(AT$2=1,Reported!AT99,Reported!AT99-Reported!AS99)</f>
        <v/>
      </c>
      <c r="AU31" s="509">
        <f>IF(AU$2=1,Reported!AU99,Reported!AU99-Reported!AT99)</f>
        <v/>
      </c>
      <c r="AV31" s="509">
        <f>IF(AV$2=1,Reported!AV99,Reported!AV99-Reported!AU99)</f>
        <v/>
      </c>
      <c r="AW31" s="509">
        <f>IF(AW$2=1,Reported!AW99,Reported!AW99-Reported!AV99)</f>
        <v/>
      </c>
      <c r="AX31" s="509">
        <f>IF(AX$2=1,Reported!AX99,Reported!AX99-Reported!AW99)</f>
        <v/>
      </c>
      <c r="AY31" s="509">
        <f>IF(AY$2=1,Reported!AY99,Reported!AY99-Reported!AX99)</f>
        <v/>
      </c>
      <c r="AZ31" s="509">
        <f>IF(AZ$2=1,Reported!AZ99,Reported!AZ99-Reported!AY99)</f>
        <v/>
      </c>
      <c r="BA31" s="509">
        <f>IF(BA$2=1,Reported!BA99,Reported!BA99-Reported!AZ99)</f>
        <v/>
      </c>
      <c r="BB31" s="509">
        <f>IF(BB$2=1,Reported!BB99,Reported!BB99-Reported!BA99)</f>
        <v/>
      </c>
      <c r="BC31" s="509">
        <f>IF(BC$2=1,Reported!BC99,Reported!BC99-Reported!BB99)</f>
        <v/>
      </c>
      <c r="BD31" s="509">
        <f>IF(BD$2=1,Reported!BD99,Reported!BD99-Reported!BC99)</f>
        <v/>
      </c>
      <c r="BE31" s="509">
        <f>IF(BE$2=1,Reported!BE99,Reported!BE99-Reported!BD99)</f>
        <v/>
      </c>
      <c r="BF31" s="509">
        <f>IF(BF$2=1,Reported!BF99,Reported!BF99-Reported!BE99)</f>
        <v/>
      </c>
      <c r="BG31" s="509">
        <f>IF(BG$2=1,Reported!BG99,Reported!BG99-Reported!BF99)</f>
        <v/>
      </c>
      <c r="BH31" s="509">
        <f>IF(BH$2=1,Reported!BH99,Reported!BH99-Reported!BG99)</f>
        <v/>
      </c>
      <c r="BI31" s="509">
        <f>IF(BI$2=1,Reported!BI99,Reported!BI99-Reported!BH99)</f>
        <v/>
      </c>
      <c r="BJ31" s="509">
        <f>IF(BJ$2=1,Reported!BJ99,Reported!BJ99-Reported!BI99)</f>
        <v/>
      </c>
      <c r="BK31" s="509">
        <f>IF(BK$2=1,Reported!BK99,Reported!BK99-Reported!BJ99)</f>
        <v/>
      </c>
      <c r="BL31" s="509">
        <f>IF(BL$2=1,Reported!BL99,Reported!BL99-Reported!BK99)</f>
        <v/>
      </c>
      <c r="BM31" s="509">
        <f>IF(BM$2=1,Reported!BM99,Reported!BM99-Reported!BL99)</f>
        <v/>
      </c>
      <c r="BN31" s="509">
        <f>IF(BN$2=1,Reported!BN99,Reported!BN99-Reported!BM99)</f>
        <v/>
      </c>
      <c r="BO31" s="509">
        <f>IF(BO$2=1,Reported!BO99,Reported!BO99-Reported!BN99)</f>
        <v/>
      </c>
      <c r="BP31" s="509">
        <f>IF(BP$2=1,Reported!BP99,Reported!BP99-Reported!BO99)</f>
        <v/>
      </c>
      <c r="BQ31" s="509">
        <f>IF(BQ$2=1,Reported!BQ99,Reported!BQ99-Reported!BP99)</f>
        <v/>
      </c>
      <c r="BR31" s="509">
        <f>IF(BR$2=1,Reported!BR99,Reported!BR99-Reported!BQ99)</f>
        <v/>
      </c>
    </row>
    <row r="32">
      <c r="A32" s="74" t="inlineStr">
        <is>
          <t>Basic</t>
        </is>
      </c>
      <c r="B32" s="145" t="n"/>
      <c r="C32" s="145" t="n"/>
      <c r="D32" s="145" t="n"/>
      <c r="E32" s="145" t="n"/>
      <c r="F32" s="145" t="n"/>
      <c r="G32" s="145" t="n"/>
      <c r="H32" s="145" t="n"/>
      <c r="I32" s="145" t="n"/>
      <c r="J32" s="145" t="n"/>
      <c r="K32" s="145" t="n"/>
      <c r="L32" s="145" t="n"/>
      <c r="M32" s="145" t="n"/>
      <c r="N32" s="509">
        <f>Reported!N100</f>
        <v/>
      </c>
      <c r="O32" s="509">
        <f>Reported!O100</f>
        <v/>
      </c>
      <c r="P32" s="509">
        <f>Reported!P100</f>
        <v/>
      </c>
      <c r="Q32" s="509">
        <f>Reported!Q100</f>
        <v/>
      </c>
      <c r="R32" s="509">
        <f>Reported!R100</f>
        <v/>
      </c>
      <c r="S32" s="509">
        <f>Reported!S100</f>
        <v/>
      </c>
      <c r="T32" s="509">
        <f>Reported!T100</f>
        <v/>
      </c>
      <c r="U32" s="509">
        <f>Reported!U100</f>
        <v/>
      </c>
      <c r="V32" s="509">
        <f>Reported!V100</f>
        <v/>
      </c>
      <c r="W32" s="509">
        <f>Reported!W100</f>
        <v/>
      </c>
      <c r="X32" s="509">
        <f>Reported!X100</f>
        <v/>
      </c>
      <c r="Y32" s="509">
        <f>Reported!Y100</f>
        <v/>
      </c>
      <c r="Z32" s="509">
        <f>Reported!Z100</f>
        <v/>
      </c>
      <c r="AA32" s="509">
        <f>Reported!AA100</f>
        <v/>
      </c>
      <c r="AB32" s="509">
        <f>Reported!AB100</f>
        <v/>
      </c>
      <c r="AC32" s="509">
        <f>Reported!AC100</f>
        <v/>
      </c>
      <c r="AD32" s="509">
        <f>Reported!AD100</f>
        <v/>
      </c>
      <c r="AE32" s="509">
        <f>Reported!AE100</f>
        <v/>
      </c>
      <c r="AF32" s="509">
        <f>Reported!AF100</f>
        <v/>
      </c>
      <c r="AG32" s="509">
        <f>Reported!AG100</f>
        <v/>
      </c>
      <c r="AH32" s="509">
        <f>Reported!AH100</f>
        <v/>
      </c>
      <c r="AI32" s="509">
        <f>Reported!AI100</f>
        <v/>
      </c>
      <c r="AJ32" s="509">
        <f>Reported!AJ100</f>
        <v/>
      </c>
      <c r="AK32" s="509">
        <f>Reported!AK100</f>
        <v/>
      </c>
      <c r="AL32" s="509">
        <f>Reported!AL100</f>
        <v/>
      </c>
      <c r="AM32" s="509">
        <f>Reported!AM100</f>
        <v/>
      </c>
      <c r="AN32" s="509">
        <f>Reported!AN100</f>
        <v/>
      </c>
      <c r="AO32" s="509">
        <f>Reported!AO100</f>
        <v/>
      </c>
      <c r="AP32" s="509">
        <f>Reported!AP100</f>
        <v/>
      </c>
      <c r="AQ32" s="509">
        <f>Reported!AQ100</f>
        <v/>
      </c>
      <c r="AR32" s="509">
        <f>Reported!AR100</f>
        <v/>
      </c>
      <c r="AS32" s="509">
        <f>Reported!AS100</f>
        <v/>
      </c>
      <c r="AT32" s="509">
        <f>Reported!AT100</f>
        <v/>
      </c>
      <c r="AU32" s="509">
        <f>Reported!AU100</f>
        <v/>
      </c>
      <c r="AV32" s="509">
        <f>Reported!AV100</f>
        <v/>
      </c>
      <c r="AW32" s="509">
        <f>Reported!AW100</f>
        <v/>
      </c>
      <c r="AX32" s="509">
        <f>Reported!AX100</f>
        <v/>
      </c>
      <c r="AY32" s="509">
        <f>Reported!AY100</f>
        <v/>
      </c>
      <c r="AZ32" s="509">
        <f>Reported!AZ100</f>
        <v/>
      </c>
      <c r="BA32" s="509">
        <f>Reported!BA100</f>
        <v/>
      </c>
      <c r="BB32" s="509">
        <f>Reported!BB100</f>
        <v/>
      </c>
      <c r="BC32" s="509">
        <f>Reported!BC100</f>
        <v/>
      </c>
      <c r="BD32" s="509">
        <f>Reported!BD100</f>
        <v/>
      </c>
      <c r="BE32" s="509">
        <f>Reported!BE100</f>
        <v/>
      </c>
      <c r="BF32" s="509">
        <f>Reported!BF100</f>
        <v/>
      </c>
      <c r="BG32" s="509">
        <f>Reported!BG100</f>
        <v/>
      </c>
      <c r="BH32" s="509">
        <f>Reported!BH100</f>
        <v/>
      </c>
      <c r="BI32" s="509">
        <f>Reported!BI100</f>
        <v/>
      </c>
      <c r="BJ32" s="509">
        <f>Reported!BJ100</f>
        <v/>
      </c>
      <c r="BK32" s="509">
        <f>Reported!BK100</f>
        <v/>
      </c>
      <c r="BL32" s="509">
        <f>Reported!BL100</f>
        <v/>
      </c>
      <c r="BM32" s="509">
        <f>Reported!BM100</f>
        <v/>
      </c>
      <c r="BN32" s="509">
        <f>Reported!BN100</f>
        <v/>
      </c>
      <c r="BO32" s="509">
        <f>Reported!BO100</f>
        <v/>
      </c>
      <c r="BP32" s="509">
        <f>Reported!BP100</f>
        <v/>
      </c>
      <c r="BQ32" s="509">
        <f>Reported!BQ100</f>
        <v/>
      </c>
      <c r="BR32" s="509">
        <f>Reported!BR100</f>
        <v/>
      </c>
      <c r="BS32" s="517">
        <f>Assumption!BS232</f>
        <v/>
      </c>
      <c r="BT32" s="517">
        <f>Assumption!BT232</f>
        <v/>
      </c>
      <c r="BU32" s="517">
        <f>Assumption!BU232</f>
        <v/>
      </c>
      <c r="BV32" s="517">
        <f>Assumption!BV232</f>
        <v/>
      </c>
      <c r="BW32" s="517">
        <f>Assumption!BW232</f>
        <v/>
      </c>
      <c r="BX32" s="517">
        <f>Assumption!BX232</f>
        <v/>
      </c>
      <c r="BY32" s="517">
        <f>Assumption!BY232</f>
        <v/>
      </c>
      <c r="BZ32" s="517">
        <f>Assumption!BZ232</f>
        <v/>
      </c>
      <c r="CA32" s="517">
        <f>Assumption!CA232</f>
        <v/>
      </c>
      <c r="CB32" s="517">
        <f>Assumption!CB232</f>
        <v/>
      </c>
      <c r="CC32" s="517">
        <f>Assumption!CC232</f>
        <v/>
      </c>
      <c r="CD32" s="517">
        <f>Assumption!CD232</f>
        <v/>
      </c>
      <c r="CE32" s="517">
        <f>Assumption!CE232</f>
        <v/>
      </c>
      <c r="CF32" s="517">
        <f>Assumption!CF232</f>
        <v/>
      </c>
      <c r="CG32" s="517">
        <f>Assumption!CG232</f>
        <v/>
      </c>
      <c r="CH32" s="517">
        <f>Assumption!CH232</f>
        <v/>
      </c>
      <c r="CI32" s="517">
        <f>Assumption!CI232</f>
        <v/>
      </c>
      <c r="CJ32" s="517">
        <f>Assumption!CJ232</f>
        <v/>
      </c>
      <c r="CK32" s="517">
        <f>Assumption!CK232</f>
        <v/>
      </c>
    </row>
    <row r="33">
      <c r="A33" s="74" t="inlineStr">
        <is>
          <t>Diluted</t>
        </is>
      </c>
      <c r="B33" s="145" t="n"/>
      <c r="C33" s="145" t="n"/>
      <c r="D33" s="145" t="n"/>
      <c r="E33" s="145" t="n"/>
      <c r="F33" s="145" t="n"/>
      <c r="G33" s="145" t="n"/>
      <c r="H33" s="145" t="n"/>
      <c r="I33" s="145" t="n"/>
      <c r="J33" s="145" t="n"/>
      <c r="K33" s="145" t="n"/>
      <c r="L33" s="145" t="n"/>
      <c r="M33" s="145" t="n"/>
      <c r="N33" s="509">
        <f>Reported!N101</f>
        <v/>
      </c>
      <c r="O33" s="509">
        <f>Reported!O101</f>
        <v/>
      </c>
      <c r="P33" s="509">
        <f>Reported!P101</f>
        <v/>
      </c>
      <c r="Q33" s="509">
        <f>Reported!Q101</f>
        <v/>
      </c>
      <c r="R33" s="509">
        <f>Reported!R101</f>
        <v/>
      </c>
      <c r="S33" s="509">
        <f>Reported!S101</f>
        <v/>
      </c>
      <c r="T33" s="509">
        <f>Reported!T101</f>
        <v/>
      </c>
      <c r="U33" s="509">
        <f>Reported!U101</f>
        <v/>
      </c>
      <c r="V33" s="509">
        <f>Reported!V101</f>
        <v/>
      </c>
      <c r="W33" s="509">
        <f>Reported!W101</f>
        <v/>
      </c>
      <c r="X33" s="509">
        <f>Reported!X101</f>
        <v/>
      </c>
      <c r="Y33" s="509">
        <f>Reported!Y101</f>
        <v/>
      </c>
      <c r="Z33" s="509">
        <f>Reported!Z101</f>
        <v/>
      </c>
      <c r="AA33" s="509">
        <f>Reported!AA101</f>
        <v/>
      </c>
      <c r="AB33" s="509">
        <f>Reported!AB101</f>
        <v/>
      </c>
      <c r="AC33" s="509">
        <f>Reported!AC101</f>
        <v/>
      </c>
      <c r="AD33" s="509">
        <f>Reported!AD101</f>
        <v/>
      </c>
      <c r="AE33" s="509">
        <f>Reported!AE101</f>
        <v/>
      </c>
      <c r="AF33" s="509">
        <f>Reported!AF101</f>
        <v/>
      </c>
      <c r="AG33" s="509">
        <f>Reported!AG101</f>
        <v/>
      </c>
      <c r="AH33" s="509">
        <f>Reported!AH101</f>
        <v/>
      </c>
      <c r="AI33" s="509">
        <f>Reported!AI101</f>
        <v/>
      </c>
      <c r="AJ33" s="509">
        <f>Reported!AJ101</f>
        <v/>
      </c>
      <c r="AK33" s="509">
        <f>Reported!AK101</f>
        <v/>
      </c>
      <c r="AL33" s="509">
        <f>Reported!AL101</f>
        <v/>
      </c>
      <c r="AM33" s="509">
        <f>Reported!AM101</f>
        <v/>
      </c>
      <c r="AN33" s="509">
        <f>Reported!AN101</f>
        <v/>
      </c>
      <c r="AO33" s="509">
        <f>Reported!AO101</f>
        <v/>
      </c>
      <c r="AP33" s="509">
        <f>Reported!AP101</f>
        <v/>
      </c>
      <c r="AQ33" s="509">
        <f>Reported!AQ101</f>
        <v/>
      </c>
      <c r="AR33" s="509">
        <f>Reported!AR101</f>
        <v/>
      </c>
      <c r="AS33" s="509">
        <f>Reported!AS101</f>
        <v/>
      </c>
      <c r="AT33" s="509">
        <f>Reported!AT101</f>
        <v/>
      </c>
      <c r="AU33" s="509">
        <f>Reported!AU101</f>
        <v/>
      </c>
      <c r="AV33" s="509">
        <f>Reported!AV101</f>
        <v/>
      </c>
      <c r="AW33" s="509">
        <f>Reported!AW101</f>
        <v/>
      </c>
      <c r="AX33" s="509">
        <f>Reported!AX101</f>
        <v/>
      </c>
      <c r="AY33" s="509">
        <f>Reported!AY101</f>
        <v/>
      </c>
      <c r="AZ33" s="509">
        <f>Reported!AZ101</f>
        <v/>
      </c>
      <c r="BA33" s="509">
        <f>Reported!BA101</f>
        <v/>
      </c>
      <c r="BB33" s="509">
        <f>Reported!BB101</f>
        <v/>
      </c>
      <c r="BC33" s="509">
        <f>Reported!BC101</f>
        <v/>
      </c>
      <c r="BD33" s="509">
        <f>Reported!BD101</f>
        <v/>
      </c>
      <c r="BE33" s="509">
        <f>Reported!BE101</f>
        <v/>
      </c>
      <c r="BF33" s="509">
        <f>Reported!BF101</f>
        <v/>
      </c>
      <c r="BG33" s="509">
        <f>Reported!BG101</f>
        <v/>
      </c>
      <c r="BH33" s="509">
        <f>Reported!BH101</f>
        <v/>
      </c>
      <c r="BI33" s="509">
        <f>Reported!BI101</f>
        <v/>
      </c>
      <c r="BJ33" s="509">
        <f>Reported!BJ101</f>
        <v/>
      </c>
      <c r="BK33" s="509">
        <f>Reported!BK101</f>
        <v/>
      </c>
      <c r="BL33" s="509">
        <f>Reported!BL101</f>
        <v/>
      </c>
      <c r="BM33" s="509">
        <f>Reported!BM101</f>
        <v/>
      </c>
      <c r="BN33" s="509">
        <f>Reported!BN101</f>
        <v/>
      </c>
      <c r="BO33" s="509">
        <f>Reported!BO101</f>
        <v/>
      </c>
      <c r="BP33" s="509">
        <f>Reported!BP101</f>
        <v/>
      </c>
      <c r="BQ33" s="509">
        <f>Reported!BQ101</f>
        <v/>
      </c>
      <c r="BR33" s="509">
        <f>Reported!BR101</f>
        <v/>
      </c>
      <c r="BS33" s="517">
        <f>Assumption!BS237</f>
        <v/>
      </c>
      <c r="BT33" s="517">
        <f>Assumption!BT237</f>
        <v/>
      </c>
      <c r="BU33" s="517">
        <f>Assumption!BU237</f>
        <v/>
      </c>
      <c r="BV33" s="517">
        <f>Assumption!BV237</f>
        <v/>
      </c>
      <c r="BW33" s="517">
        <f>Assumption!BW237</f>
        <v/>
      </c>
      <c r="BX33" s="517">
        <f>Assumption!BX237</f>
        <v/>
      </c>
      <c r="BY33" s="517">
        <f>Assumption!BY237</f>
        <v/>
      </c>
      <c r="BZ33" s="517">
        <f>Assumption!BZ237</f>
        <v/>
      </c>
      <c r="CA33" s="517">
        <f>Assumption!CA237</f>
        <v/>
      </c>
      <c r="CB33" s="517">
        <f>Assumption!CB237</f>
        <v/>
      </c>
      <c r="CC33" s="517">
        <f>Assumption!CC237</f>
        <v/>
      </c>
      <c r="CD33" s="517">
        <f>Assumption!CD237</f>
        <v/>
      </c>
      <c r="CE33" s="517">
        <f>Assumption!CE237</f>
        <v/>
      </c>
      <c r="CF33" s="517">
        <f>Assumption!CF237</f>
        <v/>
      </c>
      <c r="CG33" s="517">
        <f>Assumption!CG237</f>
        <v/>
      </c>
      <c r="CH33" s="517">
        <f>Assumption!CH237</f>
        <v/>
      </c>
      <c r="CI33" s="517">
        <f>Assumption!CI237</f>
        <v/>
      </c>
      <c r="CJ33" s="517">
        <f>Assumption!CJ237</f>
        <v/>
      </c>
      <c r="CK33" s="517">
        <f>Assumption!CK237</f>
        <v/>
      </c>
    </row>
    <row r="34">
      <c r="A34" s="40" t="n"/>
      <c r="B34" s="145" t="n"/>
      <c r="C34" s="145" t="n"/>
      <c r="D34" s="145" t="n"/>
      <c r="E34" s="145" t="n"/>
      <c r="F34" s="145" t="n"/>
      <c r="G34" s="145" t="n"/>
      <c r="H34" s="145" t="n"/>
      <c r="I34" s="145" t="n"/>
      <c r="J34" s="145" t="n"/>
      <c r="K34" s="145" t="n"/>
      <c r="L34" s="145" t="n"/>
      <c r="M34" s="145" t="n"/>
      <c r="N34" s="145" t="n"/>
      <c r="O34" s="145" t="n"/>
      <c r="P34" s="145" t="n"/>
      <c r="Q34" s="145" t="n"/>
      <c r="R34" s="145" t="n"/>
      <c r="S34" s="145" t="n"/>
      <c r="T34" s="145" t="n"/>
      <c r="U34" s="145" t="n"/>
      <c r="V34" s="145" t="n"/>
      <c r="W34" s="145" t="n"/>
      <c r="X34" s="145" t="n"/>
      <c r="Y34" s="145" t="n"/>
      <c r="Z34" s="145" t="n"/>
      <c r="AA34" s="145" t="n"/>
      <c r="AB34" s="145" t="n"/>
      <c r="AC34" s="145" t="n"/>
      <c r="AD34" s="145" t="n"/>
      <c r="AE34" s="145" t="n"/>
      <c r="AF34" s="145" t="n"/>
      <c r="AG34" s="145" t="n"/>
      <c r="AH34" s="145" t="n"/>
      <c r="AI34" s="145" t="n"/>
      <c r="AJ34" s="145" t="n"/>
      <c r="AK34" s="145" t="n"/>
      <c r="AL34" s="145" t="n"/>
      <c r="AM34" s="145" t="n"/>
      <c r="AN34" s="145" t="n"/>
      <c r="AO34" s="145" t="n"/>
      <c r="AP34" s="145" t="n"/>
      <c r="AQ34" s="145" t="n"/>
      <c r="AR34" s="145" t="n"/>
      <c r="AS34" s="145" t="n"/>
    </row>
    <row r="35">
      <c r="A35" s="455" t="inlineStr">
        <is>
          <t>Check</t>
        </is>
      </c>
      <c r="B35" s="400" t="n"/>
      <c r="C35" s="400" t="n"/>
      <c r="D35" s="400" t="n"/>
      <c r="E35" s="400" t="n"/>
      <c r="F35" s="400" t="n"/>
      <c r="G35" s="400" t="n"/>
      <c r="H35" s="400" t="n"/>
      <c r="I35" s="400" t="n"/>
      <c r="J35" s="400" t="n"/>
      <c r="K35" s="400" t="n"/>
      <c r="L35" s="400" t="n"/>
      <c r="M35" s="400" t="n"/>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400">
        <f>X11-X12-SUM(X14:X17)-X19</f>
        <v/>
      </c>
      <c r="Y35" s="400">
        <f>Y11-Y12-SUM(Y14:Y17)-Y19</f>
        <v/>
      </c>
      <c r="Z35" s="400">
        <f>Z11-Z12-SUM(Z14:Z17)-Z19</f>
        <v/>
      </c>
      <c r="AA35" s="400">
        <f>AA11-AA12-SUM(AA14:AA17)-AA19</f>
        <v/>
      </c>
      <c r="AB35" s="400">
        <f>AB11-AB12-SUM(AB14:AB17)-AB19</f>
        <v/>
      </c>
      <c r="AC35" s="400">
        <f>AC11-AC12-SUM(AC14:AC17)-AC19</f>
        <v/>
      </c>
      <c r="AD35" s="400">
        <f>AD11-AD12-SUM(AD14:AD17)-AD19</f>
        <v/>
      </c>
      <c r="AE35" s="400">
        <f>AE11-AE12-SUM(AE14:AE17)-AE19</f>
        <v/>
      </c>
      <c r="AF35" s="400">
        <f>AF11-AF12-SUM(AF14:AF17)-AF19</f>
        <v/>
      </c>
      <c r="AG35" s="400">
        <f>AG11-AG12-SUM(AG14:AG17)-AG19</f>
        <v/>
      </c>
      <c r="AH35" s="400">
        <f>AH11-AH12-SUM(AH14:AH17)-AH19</f>
        <v/>
      </c>
      <c r="AI35" s="400">
        <f>AI11-AI12-SUM(AI14:AI17)-AI19</f>
        <v/>
      </c>
      <c r="AJ35" s="400">
        <f>AJ11-AJ12-SUM(AJ14:AJ17)-AJ19</f>
        <v/>
      </c>
      <c r="AK35" s="400">
        <f>AK11-AK12-SUM(AK14:AK17)-AK19</f>
        <v/>
      </c>
      <c r="AL35" s="400">
        <f>AL11-AL12-SUM(AL14:AL17)-AL19</f>
        <v/>
      </c>
      <c r="AM35" s="400">
        <f>AM11-AM12-SUM(AM14:AM17)-AM19</f>
        <v/>
      </c>
      <c r="AN35" s="400">
        <f>AN11-AN12-SUM(AN14:AN17)-AN19</f>
        <v/>
      </c>
      <c r="AO35" s="400">
        <f>AO11-AO12-SUM(AO14:AO17)-AO19</f>
        <v/>
      </c>
      <c r="AP35" s="400">
        <f>AP11-AP12-SUM(AP14:AP17)-AP19</f>
        <v/>
      </c>
      <c r="AQ35" s="400">
        <f>AQ11-AQ12-SUM(AQ14:AQ17)-AQ19</f>
        <v/>
      </c>
      <c r="AR35" s="400">
        <f>AR11-AR12-SUM(AR14:AR17)-AR19</f>
        <v/>
      </c>
      <c r="AS35" s="400">
        <f>AS11-AS12-SUM(AS14:AS17)-AS19</f>
        <v/>
      </c>
      <c r="AT35" s="400">
        <f>AT11-AT12-SUM(AT14:AT17)-AT19</f>
        <v/>
      </c>
      <c r="AU35" s="400">
        <f>AU11-AU12-SUM(AU14:AU17)-AU19</f>
        <v/>
      </c>
      <c r="AV35" s="400">
        <f>AV11-AV12-SUM(AV14:AV17)-AV19</f>
        <v/>
      </c>
      <c r="AW35" s="400">
        <f>AW11-AW12-SUM(AW14:AW17)-AW19</f>
        <v/>
      </c>
      <c r="AX35" s="400">
        <f>AX11-AX12-SUM(AX14:AX17)-AX19</f>
        <v/>
      </c>
      <c r="AY35" s="400">
        <f>AY11-AY12-SUM(AY14:AY17)-AY19</f>
        <v/>
      </c>
      <c r="AZ35" s="400">
        <f>AZ11-AZ12-SUM(AZ14:AZ17)-AZ19</f>
        <v/>
      </c>
      <c r="BA35" s="400">
        <f>BA11-BA12-SUM(BA14:BA17)-BA19</f>
        <v/>
      </c>
      <c r="BB35" s="400">
        <f>BB11-BB12-SUM(BB14:BB17)-BB19</f>
        <v/>
      </c>
      <c r="BC35" s="400">
        <f>BC11-BC12-SUM(BC14:BC17)-BC19</f>
        <v/>
      </c>
      <c r="BD35" s="400">
        <f>BD11-BD12-SUM(BD14:BD17)-BD19</f>
        <v/>
      </c>
      <c r="BE35" s="400">
        <f>BE11-BE12-SUM(BE14:BE17)-BE19</f>
        <v/>
      </c>
      <c r="BF35" s="400">
        <f>BF11-BF12-SUM(BF14:BF17)-BF19</f>
        <v/>
      </c>
      <c r="BG35" s="400">
        <f>BG11-BG12-SUM(BG14:BG17)-BG19</f>
        <v/>
      </c>
      <c r="BH35" s="400">
        <f>BH11-BH12-SUM(BH14:BH17)-BH19</f>
        <v/>
      </c>
      <c r="BI35" s="400">
        <f>BI11-BI12-SUM(BI14:BI17)-BI19</f>
        <v/>
      </c>
      <c r="BJ35" s="400">
        <f>BJ11-BJ12-SUM(BJ14:BJ17)-BJ19</f>
        <v/>
      </c>
      <c r="BK35" s="400">
        <f>BK11-BK12-SUM(BK14:BK17)-BK19</f>
        <v/>
      </c>
      <c r="BL35" s="400">
        <f>BL11-BL12-SUM(BL14:BL17)-BL19</f>
        <v/>
      </c>
      <c r="BM35" s="400">
        <f>BM11-BM12-SUM(BM14:BM17)-BM19</f>
        <v/>
      </c>
      <c r="BN35" s="400">
        <f>BN11-BN12-SUM(BN14:BN17)-BN19</f>
        <v/>
      </c>
      <c r="BO35" s="400">
        <f>BO11-BO12-SUM(BO14:BO17)-BO19</f>
        <v/>
      </c>
      <c r="BP35" s="400">
        <f>BP11-BP12-SUM(BP14:BP17)-BP19</f>
        <v/>
      </c>
      <c r="BQ35" s="400">
        <f>BQ11-BQ12-SUM(BQ14:BQ17)-BQ19</f>
        <v/>
      </c>
      <c r="BR35" s="400">
        <f>BR11-BR12-SUM(BR14:BR17)-BR19</f>
        <v/>
      </c>
      <c r="BS35" s="400">
        <f>BS11-BS12-SUM(BS14:BS17)-BS19</f>
        <v/>
      </c>
      <c r="BT35" s="400">
        <f>BT11-BT12-SUM(BT14:BT17)-BT19</f>
        <v/>
      </c>
      <c r="BU35" s="400">
        <f>BU11-BU12-SUM(BU14:BU17)-BU19</f>
        <v/>
      </c>
      <c r="BV35" s="400">
        <f>BV11-BV12-SUM(BV14:BV17)-BV19</f>
        <v/>
      </c>
      <c r="BW35" s="400">
        <f>BW11-BW12-SUM(BW14:BW17)-BW19</f>
        <v/>
      </c>
      <c r="BX35" s="400">
        <f>BX11-BX12-SUM(BX14:BX17)-BX19</f>
        <v/>
      </c>
      <c r="BY35" s="400">
        <f>BY11-BY12-SUM(BY14:BY17)-BY19</f>
        <v/>
      </c>
      <c r="BZ35" s="400">
        <f>BZ11-BZ12-SUM(BZ14:BZ17)-BZ19</f>
        <v/>
      </c>
      <c r="CA35" s="400">
        <f>CA11-CA12-SUM(CA14:CA17)-CA19</f>
        <v/>
      </c>
      <c r="CB35" s="400">
        <f>CB11-CB12-SUM(CB14:CB17)-CB19</f>
        <v/>
      </c>
      <c r="CC35" s="400">
        <f>CC11-CC12-SUM(CC14:CC17)-CC19</f>
        <v/>
      </c>
      <c r="CD35" s="400">
        <f>CD11-CD12-SUM(CD14:CD17)-CD19</f>
        <v/>
      </c>
      <c r="CE35" s="400">
        <f>CE11-CE12-SUM(CE14:CE17)-CE19</f>
        <v/>
      </c>
      <c r="CF35" s="400">
        <f>CF11-CF12-SUM(CF14:CF17)-CF19</f>
        <v/>
      </c>
      <c r="CG35" s="400">
        <f>CG11-CG12-SUM(CG14:CG17)-CG19</f>
        <v/>
      </c>
      <c r="CH35" s="400">
        <f>CH11-CH12-SUM(CH14:CH17)-CH19</f>
        <v/>
      </c>
      <c r="CI35" s="400">
        <f>CI11-CI12-SUM(CI14:CI17)-CI19</f>
        <v/>
      </c>
      <c r="CJ35" s="400">
        <f>CJ11-CJ12-SUM(CJ14:CJ17)-CJ19</f>
        <v/>
      </c>
      <c r="CK35" s="400">
        <f>CK11-CK12-SUM(CK14:CK17)-CK19</f>
        <v/>
      </c>
    </row>
    <row r="36">
      <c r="A36" s="455">
        <f>A35</f>
        <v/>
      </c>
      <c r="B36" s="400" t="n"/>
      <c r="C36" s="400" t="n"/>
      <c r="D36" s="400" t="n"/>
      <c r="E36" s="400" t="n"/>
      <c r="F36" s="400" t="n"/>
      <c r="G36" s="400" t="n"/>
      <c r="H36" s="400" t="n"/>
      <c r="I36" s="400" t="n"/>
      <c r="J36" s="400" t="n"/>
      <c r="K36" s="400" t="n"/>
      <c r="L36" s="400" t="n"/>
      <c r="M36" s="400" t="n"/>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400">
        <f>X19+SUM(X20:X21)+X24-X26-X27</f>
        <v/>
      </c>
      <c r="Y36" s="400">
        <f>Y19+SUM(Y20:Y21)+Y24-Y26-Y27</f>
        <v/>
      </c>
      <c r="Z36" s="400">
        <f>Z19+SUM(Z20:Z21)+Z24-Z26-Z27</f>
        <v/>
      </c>
      <c r="AA36" s="400">
        <f>AA19+SUM(AA20:AA21)+AA24-AA26-AA27</f>
        <v/>
      </c>
      <c r="AB36" s="400">
        <f>AB19+SUM(AB20:AB21)+AB24-AB26-AB27</f>
        <v/>
      </c>
      <c r="AC36" s="400">
        <f>AC19+SUM(AC20:AC21)+AC24-AC26-AC27</f>
        <v/>
      </c>
      <c r="AD36" s="400">
        <f>AD19+SUM(AD20:AD21)+AD24-AD26-AD27</f>
        <v/>
      </c>
      <c r="AE36" s="400">
        <f>AE19+SUM(AE20:AE21)+AE24-AE26-AE27</f>
        <v/>
      </c>
      <c r="AF36" s="400">
        <f>AF19+SUM(AF20:AF21)+AF24-AF26-AF27</f>
        <v/>
      </c>
      <c r="AG36" s="400">
        <f>AG19+SUM(AG20:AG21)+AG24-AG26-AG27</f>
        <v/>
      </c>
      <c r="AH36" s="400">
        <f>AH19+SUM(AH20:AH21)+AH24-AH26-AH27</f>
        <v/>
      </c>
      <c r="AI36" s="400">
        <f>AI19+SUM(AI20:AI21)+AI24-AI26-AI27</f>
        <v/>
      </c>
      <c r="AJ36" s="400">
        <f>AJ19+SUM(AJ20:AJ21)+AJ24-AJ26-AJ27</f>
        <v/>
      </c>
      <c r="AK36" s="400">
        <f>AK19+SUM(AK20:AK21)+AK24-AK26-AK27</f>
        <v/>
      </c>
      <c r="AL36" s="400">
        <f>AL19+SUM(AL20:AL21)+AL24-AL26-AL27</f>
        <v/>
      </c>
      <c r="AM36" s="400">
        <f>AM19+SUM(AM20:AM21)+AM24-AM26-AM27</f>
        <v/>
      </c>
      <c r="AN36" s="400">
        <f>AN19+SUM(AN20:AN21)+AN24-AN26-AN27</f>
        <v/>
      </c>
      <c r="AO36" s="400">
        <f>AO19+SUM(AO20:AO21)+AO24-AO26-AO27</f>
        <v/>
      </c>
      <c r="AP36" s="400">
        <f>AP19+SUM(AP20:AP21)+AP24-AP26-AP27</f>
        <v/>
      </c>
      <c r="AQ36" s="400">
        <f>AQ19+SUM(AQ20:AQ21)+AQ24-AQ26-AQ27</f>
        <v/>
      </c>
      <c r="AR36" s="400">
        <f>AR19+SUM(AR20:AR21)+AR24-AR26-AR27</f>
        <v/>
      </c>
      <c r="AS36" s="400">
        <f>AS19+SUM(AS20:AS21)+AS24-AS26-AS27</f>
        <v/>
      </c>
      <c r="AT36" s="400">
        <f>AT19+SUM(AT20:AT21)+AT24-AT26-AT27</f>
        <v/>
      </c>
      <c r="AU36" s="400">
        <f>AU19+SUM(AU20:AU21)+AU24-AU26-AU27</f>
        <v/>
      </c>
      <c r="AV36" s="400">
        <f>AV19+SUM(AV20:AV21)+AV24-AV26-AV27</f>
        <v/>
      </c>
      <c r="AW36" s="400">
        <f>AW19+SUM(AW20:AW21)+AW24-AW26-AW27</f>
        <v/>
      </c>
      <c r="AX36" s="400">
        <f>AX19+SUM(AX20:AX21)+AX24-AX26-AX27</f>
        <v/>
      </c>
      <c r="AY36" s="400">
        <f>AY19+SUM(AY20:AY21)+AY24-AY26-AY27</f>
        <v/>
      </c>
      <c r="AZ36" s="400">
        <f>AZ19+SUM(AZ20:AZ21)+AZ24-AZ26-AZ27</f>
        <v/>
      </c>
      <c r="BA36" s="400">
        <f>BA19+SUM(BA20:BA21)+BA24-BA26-BA27</f>
        <v/>
      </c>
      <c r="BB36" s="400">
        <f>BB19+SUM(BB20:BB21)+BB24-BB26-BB27</f>
        <v/>
      </c>
      <c r="BC36" s="400">
        <f>BC19+SUM(BC20:BC21)+BC24-BC26-BC27</f>
        <v/>
      </c>
      <c r="BD36" s="400">
        <f>BD19+SUM(BD20:BD21)+BD24-BD26-BD27</f>
        <v/>
      </c>
      <c r="BE36" s="400">
        <f>BE19+SUM(BE20:BE21)+BE24-BE26-BE27</f>
        <v/>
      </c>
      <c r="BF36" s="400">
        <f>BF19+SUM(BF20:BF21)+BF24-BF26-BF27</f>
        <v/>
      </c>
      <c r="BG36" s="400">
        <f>BG19+SUM(BG20:BG21)+BG24-BG26-BG27</f>
        <v/>
      </c>
      <c r="BH36" s="400">
        <f>BH19+SUM(BH20:BH21)+BH24-BH26-BH27</f>
        <v/>
      </c>
      <c r="BI36" s="400">
        <f>BI19+SUM(BI20:BI21)+BI24-BI26-BI27</f>
        <v/>
      </c>
      <c r="BJ36" s="400">
        <f>BJ19+SUM(BJ20:BJ21)+BJ24-BJ26-BJ27</f>
        <v/>
      </c>
      <c r="BK36" s="400">
        <f>BK19+SUM(BK20:BK21)+BK24-BK26-BK27</f>
        <v/>
      </c>
      <c r="BL36" s="400">
        <f>BL19+SUM(BL20:BL21)+BL24-BL26-BL27</f>
        <v/>
      </c>
      <c r="BM36" s="400">
        <f>BM19+SUM(BM20:BM21)+BM24-BM26-BM27</f>
        <v/>
      </c>
      <c r="BN36" s="400">
        <f>BN19+SUM(BN20:BN21)+BN24-BN26-BN27</f>
        <v/>
      </c>
      <c r="BO36" s="400">
        <f>BO19+SUM(BO20:BO21)+BO24-BO26-BO27</f>
        <v/>
      </c>
      <c r="BP36" s="400">
        <f>BP19+SUM(BP20:BP21)+BP24-BP26-BP27</f>
        <v/>
      </c>
      <c r="BQ36" s="400">
        <f>BQ19+SUM(BQ20:BQ21)+BQ24-BQ26-BQ27</f>
        <v/>
      </c>
      <c r="BR36" s="400">
        <f>BR19+SUM(BR20:BR21)+BR24-BR26-BR27</f>
        <v/>
      </c>
      <c r="BS36" s="400">
        <f>BS19+SUM(BS20:BS21)+BS24-BS26-BS27</f>
        <v/>
      </c>
      <c r="BT36" s="400">
        <f>BT19+SUM(BT20:BT21)+BT24-BT26-BT27</f>
        <v/>
      </c>
      <c r="BU36" s="400">
        <f>BU19+SUM(BU20:BU21)+BU24-BU26-BU27</f>
        <v/>
      </c>
      <c r="BV36" s="400">
        <f>BV19+SUM(BV20:BV21)+BV24-BV26-BV27</f>
        <v/>
      </c>
      <c r="BW36" s="400">
        <f>BW19+SUM(BW20:BW21)+BW24-BW26-BW27</f>
        <v/>
      </c>
      <c r="BX36" s="400">
        <f>BX19+SUM(BX20:BX21)+BX24-BX26-BX27</f>
        <v/>
      </c>
      <c r="BY36" s="400">
        <f>BY19+SUM(BY20:BY21)+BY24-BY26-BY27</f>
        <v/>
      </c>
      <c r="BZ36" s="400">
        <f>BZ19+SUM(BZ20:BZ21)+BZ24-BZ26-BZ27</f>
        <v/>
      </c>
      <c r="CA36" s="400">
        <f>CA19+SUM(CA20:CA21)+CA24-CA26-CA27</f>
        <v/>
      </c>
      <c r="CB36" s="400">
        <f>CB19+SUM(CB20:CB21)+CB24-CB26-CB27</f>
        <v/>
      </c>
      <c r="CC36" s="400">
        <f>CC19+SUM(CC20:CC21)+CC24-CC26-CC27</f>
        <v/>
      </c>
      <c r="CD36" s="400">
        <f>CD19+SUM(CD20:CD21)+CD24-CD26-CD27</f>
        <v/>
      </c>
      <c r="CE36" s="400">
        <f>CE19+SUM(CE20:CE21)+CE24-CE26-CE27</f>
        <v/>
      </c>
      <c r="CF36" s="400">
        <f>CF19+SUM(CF20:CF21)+CF24-CF26-CF27</f>
        <v/>
      </c>
      <c r="CG36" s="400">
        <f>CG19+SUM(CG20:CG21)+CG24-CG26-CG27</f>
        <v/>
      </c>
      <c r="CH36" s="400">
        <f>CH19+SUM(CH20:CH21)+CH24-CH26-CH27</f>
        <v/>
      </c>
      <c r="CI36" s="400">
        <f>CI19+SUM(CI20:CI21)+CI24-CI26-CI27</f>
        <v/>
      </c>
      <c r="CJ36" s="400">
        <f>CJ19+SUM(CJ20:CJ21)+CJ24-CJ26-CJ27</f>
        <v/>
      </c>
      <c r="CK36" s="400">
        <f>CK19+SUM(CK20:CK21)+CK24-CK26-CK27</f>
        <v/>
      </c>
    </row>
    <row r="37">
      <c r="A37" s="455">
        <f>A36</f>
        <v/>
      </c>
      <c r="B37" s="400" t="n"/>
      <c r="C37" s="400" t="n"/>
      <c r="D37" s="400" t="n"/>
      <c r="E37" s="400" t="n"/>
      <c r="F37" s="400" t="n"/>
      <c r="G37" s="400" t="n"/>
      <c r="H37" s="400" t="n"/>
      <c r="I37" s="400" t="n"/>
      <c r="J37" s="400" t="n"/>
      <c r="K37" s="400" t="n"/>
      <c r="L37" s="400" t="n"/>
      <c r="M37" s="400" t="n"/>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400">
        <f>ROUND(X27/X32-X29,2)</f>
        <v/>
      </c>
      <c r="Y37" s="400">
        <f>ROUND(Y27/Y32-Y29,2)</f>
        <v/>
      </c>
      <c r="Z37" s="400">
        <f>ROUND(Z27/Z32-Z29,2)</f>
        <v/>
      </c>
      <c r="AA37" s="400">
        <f>ROUND(AA27/AA32-AA29,2)</f>
        <v/>
      </c>
      <c r="AB37" s="400">
        <f>ROUND(AB27/AB32-AB29,2)</f>
        <v/>
      </c>
      <c r="AC37" s="400">
        <f>ROUND(AC27/AC32-AC29,2)</f>
        <v/>
      </c>
      <c r="AD37" s="400">
        <f>ROUND(AD27/AD32-AD29,2)</f>
        <v/>
      </c>
      <c r="AE37" s="400">
        <f>ROUND(AE27/AE32-AE29,2)</f>
        <v/>
      </c>
      <c r="AF37" s="400">
        <f>ROUND(AF27/AF32-AF29,2)</f>
        <v/>
      </c>
      <c r="AG37" s="400">
        <f>ROUND(AG27/AG32-AG29,2)</f>
        <v/>
      </c>
      <c r="AH37" s="400">
        <f>ROUND(AH27/AH32-AH29,2)</f>
        <v/>
      </c>
      <c r="AI37" s="400">
        <f>ROUND(AI27/AI32-AI29,2)</f>
        <v/>
      </c>
      <c r="AJ37" s="400">
        <f>ROUND(AJ27/AJ32-AJ29,2)</f>
        <v/>
      </c>
      <c r="AK37" s="400">
        <f>ROUND(AK27/AK32-AK29,2)</f>
        <v/>
      </c>
      <c r="AL37" s="400">
        <f>ROUND(AL27/AL32-AL29,2)</f>
        <v/>
      </c>
      <c r="AM37" s="400">
        <f>ROUND(AM27/AM32-AM29,2)</f>
        <v/>
      </c>
      <c r="AN37" s="400">
        <f>ROUND(AN27/AN32-AN29,2)</f>
        <v/>
      </c>
      <c r="AO37" s="400">
        <f>ROUND(AO27/AO32-AO29,2)</f>
        <v/>
      </c>
      <c r="AP37" s="400">
        <f>ROUND(AP27/AP32-AP29,2)</f>
        <v/>
      </c>
      <c r="AQ37" s="400">
        <f>ROUND(AQ27/AQ32-AQ29,2)</f>
        <v/>
      </c>
      <c r="AR37" s="400">
        <f>ROUND(AR27/AR32-AR29,2)</f>
        <v/>
      </c>
      <c r="AS37" s="400">
        <f>ROUND(AS27/AS32-AS29,2)</f>
        <v/>
      </c>
      <c r="AT37" s="400">
        <f>ROUND(AT27/AT32-AT29,2)</f>
        <v/>
      </c>
      <c r="AU37" s="400">
        <f>ROUND(AU27/AU32-AU29,2)</f>
        <v/>
      </c>
      <c r="AV37" s="400">
        <f>ROUND(AV27/AV32-AV29,2)</f>
        <v/>
      </c>
      <c r="AW37" s="400">
        <f>ROUND(AW27/AW32-AW29,2)</f>
        <v/>
      </c>
      <c r="AX37" s="400">
        <f>ROUND(AX27/AX32-AX29,2)</f>
        <v/>
      </c>
      <c r="AY37" s="400">
        <f>ROUND(AY27/AY32-AY29,2)</f>
        <v/>
      </c>
      <c r="AZ37" s="400">
        <f>ROUND(AZ27/AZ32-AZ29,2)</f>
        <v/>
      </c>
      <c r="BA37" s="400">
        <f>ROUND(BA27/BA32-BA29,2)</f>
        <v/>
      </c>
      <c r="BB37" s="400">
        <f>ROUND(BB27/BB32-BB29,2)</f>
        <v/>
      </c>
      <c r="BC37" s="400">
        <f>ROUND(BC27/BC32-BC29,2)</f>
        <v/>
      </c>
      <c r="BD37" s="400">
        <f>ROUND(BD27/BD32-BD29,2)</f>
        <v/>
      </c>
      <c r="BE37" s="400">
        <f>ROUND(BE27/BE32-BE29,2)</f>
        <v/>
      </c>
      <c r="BF37" s="400">
        <f>ROUND(BF27/BF32-BF29,2)</f>
        <v/>
      </c>
      <c r="BG37" s="400">
        <f>ROUND(BG27/BG32-BG29,2)</f>
        <v/>
      </c>
      <c r="BH37" s="400">
        <f>ROUND(BH27/BH32-BH29,2)</f>
        <v/>
      </c>
      <c r="BI37" s="400">
        <f>ROUND(BI27/BI32-BI29,2)</f>
        <v/>
      </c>
      <c r="BJ37" s="400">
        <f>ROUND(BJ27/BJ32-BJ29,2)</f>
        <v/>
      </c>
      <c r="BK37" s="400">
        <f>ROUND(BK27/BK32-BK29,2)</f>
        <v/>
      </c>
      <c r="BL37" s="400">
        <f>ROUND(BL27/BL32-BL29,2)</f>
        <v/>
      </c>
      <c r="BM37" s="400">
        <f>ROUND(BM27/BM32-BM29,2)</f>
        <v/>
      </c>
      <c r="BN37" s="400">
        <f>ROUND(BN27/BN32-BN29,2)</f>
        <v/>
      </c>
      <c r="BO37" s="400">
        <f>ROUND(BO27/BO32-BO29,2)</f>
        <v/>
      </c>
      <c r="BP37" s="400">
        <f>ROUND(BP27/BP32-BP29,2)</f>
        <v/>
      </c>
      <c r="BQ37" s="400">
        <f>ROUND(BQ27/BQ32-BQ29,2)</f>
        <v/>
      </c>
      <c r="BR37" s="400">
        <f>ROUND(BR27/BR32-BR29,2)</f>
        <v/>
      </c>
      <c r="BS37" s="400">
        <f>ROUND(BS27/BS32-BS29,2)</f>
        <v/>
      </c>
      <c r="BT37" s="400">
        <f>ROUND(BT27/BT32-BT29,2)</f>
        <v/>
      </c>
      <c r="BU37" s="400">
        <f>ROUND(BU27/BU32-BU29,2)</f>
        <v/>
      </c>
      <c r="BV37" s="400">
        <f>ROUND(BV27/BV32-BV29,2)</f>
        <v/>
      </c>
      <c r="BW37" s="400">
        <f>ROUND(BW27/BW32-BW29,2)</f>
        <v/>
      </c>
      <c r="BX37" s="400">
        <f>ROUND(BX27/BX32-BX29,2)</f>
        <v/>
      </c>
      <c r="BY37" s="400">
        <f>ROUND(BY27/BY32-BY29,2)</f>
        <v/>
      </c>
      <c r="BZ37" s="400">
        <f>ROUND(BZ27/BZ32-BZ29,2)</f>
        <v/>
      </c>
      <c r="CA37" s="400">
        <f>ROUND(CA27/CA32-CA29,2)</f>
        <v/>
      </c>
      <c r="CB37" s="400">
        <f>ROUND(CB27/CB32-CB29,2)</f>
        <v/>
      </c>
      <c r="CC37" s="400">
        <f>ROUND(CC27/CC32-CC29,2)</f>
        <v/>
      </c>
      <c r="CD37" s="400">
        <f>ROUND(CD27/CD32-CD29,2)</f>
        <v/>
      </c>
      <c r="CE37" s="400">
        <f>ROUND(CE27/CE32-CE29,2)</f>
        <v/>
      </c>
      <c r="CF37" s="400">
        <f>ROUND(CF27/CF32-CF29,2)</f>
        <v/>
      </c>
      <c r="CG37" s="400">
        <f>ROUND(CG27/CG32-CG29,2)</f>
        <v/>
      </c>
      <c r="CH37" s="400">
        <f>ROUND(CH27/CH32-CH29,2)</f>
        <v/>
      </c>
      <c r="CI37" s="400">
        <f>ROUND(CI27/CI32-CI29,2)</f>
        <v/>
      </c>
      <c r="CJ37" s="400">
        <f>ROUND(CJ27/CJ32-CJ29,2)</f>
        <v/>
      </c>
      <c r="CK37" s="400">
        <f>ROUND(CK27/CK32-CK29,2)</f>
        <v/>
      </c>
    </row>
    <row r="38">
      <c r="A38" s="455" t="n"/>
      <c r="B38" s="400" t="n"/>
      <c r="C38" s="400" t="n"/>
      <c r="D38" s="400" t="n"/>
      <c r="E38" s="400" t="n"/>
      <c r="F38" s="400" t="n"/>
      <c r="G38" s="400" t="n"/>
      <c r="H38" s="400" t="n"/>
      <c r="I38" s="400" t="n"/>
      <c r="J38" s="400" t="n"/>
      <c r="K38" s="400" t="n"/>
      <c r="L38" s="400" t="n"/>
      <c r="M38" s="400" t="n"/>
      <c r="N38" s="400" t="n"/>
      <c r="O38" s="400" t="n"/>
      <c r="P38" s="400" t="n"/>
      <c r="Q38" s="400" t="n"/>
      <c r="R38" s="400" t="n"/>
      <c r="S38" s="400" t="n"/>
      <c r="T38" s="400" t="n"/>
      <c r="U38" s="400" t="n"/>
      <c r="V38" s="400" t="n"/>
      <c r="W38" s="400" t="n"/>
      <c r="X38" s="400" t="n"/>
      <c r="Y38" s="400" t="n"/>
      <c r="Z38" s="400" t="n"/>
      <c r="AA38" s="400" t="n"/>
      <c r="AB38" s="400" t="n"/>
      <c r="AC38" s="400" t="n"/>
      <c r="AD38" s="400" t="n"/>
      <c r="AE38" s="400" t="n"/>
      <c r="AF38" s="400" t="n"/>
      <c r="AG38" s="400" t="n"/>
      <c r="AH38" s="400" t="n"/>
      <c r="AI38" s="400" t="n"/>
      <c r="AJ38" s="400" t="n"/>
      <c r="AK38" s="400" t="n"/>
      <c r="AL38" s="400" t="n"/>
      <c r="AM38" s="400" t="n"/>
      <c r="AN38" s="400" t="n"/>
      <c r="AO38" s="400" t="n"/>
      <c r="AP38" s="400" t="n"/>
      <c r="AQ38" s="400" t="n"/>
      <c r="AR38" s="400" t="n"/>
    </row>
    <row r="39">
      <c r="A39" s="455" t="n"/>
      <c r="B39" s="400" t="n"/>
      <c r="C39" s="400" t="n"/>
      <c r="D39" s="400" t="n"/>
      <c r="E39" s="400" t="n"/>
      <c r="F39" s="400" t="n"/>
      <c r="G39" s="400" t="n"/>
      <c r="H39" s="400" t="n"/>
      <c r="I39" s="400" t="n"/>
      <c r="J39" s="400" t="n"/>
      <c r="K39" s="400" t="n"/>
      <c r="L39" s="400" t="n"/>
      <c r="M39" s="400" t="n"/>
      <c r="N39" s="400" t="n"/>
      <c r="O39" s="400" t="n"/>
      <c r="P39" s="400" t="n"/>
      <c r="Q39" s="400" t="n"/>
      <c r="R39" s="400" t="n"/>
      <c r="S39" s="400" t="n"/>
      <c r="T39" s="400" t="n"/>
      <c r="U39" s="400" t="n"/>
      <c r="V39" s="400" t="n"/>
      <c r="W39" s="400" t="n"/>
      <c r="X39" s="400" t="n"/>
      <c r="Y39" s="400" t="n"/>
      <c r="Z39" s="400" t="n"/>
      <c r="AA39" s="400" t="n"/>
      <c r="AB39" s="400" t="n"/>
      <c r="AC39" s="400" t="n"/>
      <c r="AD39" s="400" t="n"/>
      <c r="AE39" s="400" t="n"/>
      <c r="AF39" s="400" t="n"/>
      <c r="AG39" s="400" t="n"/>
      <c r="AH39" s="400" t="n"/>
      <c r="AI39" s="400" t="n"/>
      <c r="AJ39" s="400" t="n"/>
      <c r="AK39" s="400" t="n"/>
      <c r="AL39" s="400" t="n"/>
      <c r="AM39" s="400" t="n"/>
      <c r="AN39" s="400" t="n"/>
      <c r="AO39" s="400" t="n"/>
      <c r="AP39" s="400" t="n"/>
      <c r="AQ39" s="400" t="n"/>
      <c r="AR39" s="400" t="n"/>
      <c r="BD39" s="110" t="n"/>
      <c r="BE39" s="110" t="n"/>
    </row>
    <row r="40">
      <c r="A40" s="455" t="n"/>
      <c r="B40" s="400" t="n"/>
      <c r="C40" s="400" t="n"/>
      <c r="D40" s="400" t="n"/>
      <c r="E40" s="400" t="n"/>
      <c r="F40" s="400" t="n"/>
      <c r="G40" s="400" t="n"/>
      <c r="H40" s="400" t="n"/>
      <c r="I40" s="400" t="n"/>
      <c r="J40" s="400" t="n"/>
      <c r="K40" s="400" t="n"/>
      <c r="L40" s="400" t="n"/>
      <c r="M40" s="400" t="n"/>
      <c r="N40" s="400" t="n"/>
      <c r="O40" s="400" t="n"/>
      <c r="P40" s="400" t="n"/>
      <c r="Q40" s="400" t="n"/>
      <c r="R40" s="400" t="n"/>
      <c r="S40" s="400" t="n"/>
      <c r="T40" s="400" t="n"/>
      <c r="U40" s="400" t="n"/>
      <c r="V40" s="400" t="n"/>
      <c r="W40" s="400" t="n"/>
      <c r="X40" s="400" t="n"/>
      <c r="Y40" s="400" t="n"/>
      <c r="Z40" s="400" t="n"/>
      <c r="AA40" s="400" t="n"/>
      <c r="AB40" s="400" t="n"/>
      <c r="AC40" s="400" t="n"/>
      <c r="AD40" s="400" t="n"/>
      <c r="AE40" s="400" t="n"/>
      <c r="AF40" s="400" t="n"/>
      <c r="AG40" s="400" t="n"/>
      <c r="AH40" s="400" t="n"/>
      <c r="AI40" s="400" t="n"/>
      <c r="AJ40" s="400" t="n"/>
      <c r="AK40" s="400" t="n"/>
      <c r="AL40" s="400" t="n"/>
      <c r="AM40" s="400" t="n"/>
      <c r="AN40" s="400" t="n"/>
      <c r="AO40" s="400" t="n"/>
      <c r="AP40" s="400" t="n"/>
      <c r="AQ40" s="400" t="n"/>
      <c r="AR40" s="400" t="n"/>
      <c r="AV40" s="110" t="n"/>
    </row>
    <row r="41">
      <c r="B41" s="145" t="n"/>
      <c r="C41" s="145" t="n"/>
      <c r="D41" s="145" t="n"/>
      <c r="E41" s="145" t="n"/>
      <c r="F41" s="145" t="n"/>
      <c r="G41" s="145" t="n"/>
      <c r="H41" s="145" t="n"/>
      <c r="I41" s="145" t="n"/>
      <c r="J41" s="145" t="n"/>
      <c r="K41" s="145" t="n"/>
      <c r="L41" s="145" t="n"/>
      <c r="M41" s="145" t="n"/>
      <c r="N41" s="145" t="n"/>
      <c r="O41" s="145" t="n"/>
      <c r="P41" s="145" t="n"/>
      <c r="Q41" s="145" t="n"/>
      <c r="R41" s="145" t="n"/>
      <c r="S41" s="145" t="n"/>
      <c r="T41" s="145" t="n"/>
      <c r="U41" s="145" t="n"/>
      <c r="V41" s="145" t="n"/>
      <c r="W41" s="145" t="n"/>
      <c r="X41" s="145" t="n"/>
      <c r="Y41" s="145" t="n"/>
      <c r="Z41" s="145" t="n"/>
      <c r="AA41" s="145" t="n"/>
      <c r="AB41" s="145" t="n"/>
      <c r="AC41" s="145" t="n"/>
      <c r="AD41" s="145" t="n"/>
      <c r="AE41" s="145" t="n"/>
      <c r="AF41" s="145" t="n"/>
    </row>
    <row r="42">
      <c r="A42" s="81" t="inlineStr">
        <is>
          <t>CONSOLIDATED BALANCE SHEET (in '000 USD)</t>
        </is>
      </c>
      <c r="B42" s="145" t="n"/>
      <c r="C42" s="145" t="n"/>
      <c r="D42" s="145" t="n"/>
      <c r="E42" s="145" t="n"/>
      <c r="F42" s="145" t="n"/>
      <c r="G42" s="145" t="n"/>
      <c r="H42" s="145" t="n"/>
      <c r="I42" s="145" t="n"/>
      <c r="J42" s="145" t="n"/>
      <c r="K42" s="145" t="n"/>
      <c r="L42" s="145" t="n"/>
      <c r="M42" s="145" t="n"/>
      <c r="N42" s="145" t="n"/>
      <c r="O42" s="145" t="n"/>
      <c r="P42" s="145" t="n"/>
      <c r="Q42" s="145" t="n"/>
      <c r="R42" s="145" t="n"/>
      <c r="S42" s="145" t="n"/>
      <c r="T42" s="145" t="n"/>
      <c r="U42" s="145" t="n"/>
      <c r="V42" s="145" t="n"/>
      <c r="W42" s="145" t="n"/>
      <c r="X42" s="145" t="n"/>
      <c r="Y42" s="145" t="n"/>
      <c r="Z42" s="145" t="n"/>
      <c r="AA42" s="145" t="n"/>
      <c r="AB42" s="145" t="n"/>
      <c r="AC42" s="145" t="n"/>
      <c r="AD42" s="145" t="n"/>
      <c r="AE42" s="145" t="n"/>
    </row>
    <row r="43">
      <c r="B43" s="145" t="n"/>
      <c r="C43" s="145" t="n"/>
      <c r="D43" s="145" t="n"/>
      <c r="E43" s="145" t="n"/>
      <c r="F43" s="145" t="n"/>
      <c r="G43" s="145" t="n"/>
      <c r="H43" s="145" t="n"/>
      <c r="I43" s="145" t="n"/>
      <c r="J43" s="145" t="n"/>
      <c r="K43" s="145" t="n"/>
      <c r="L43" s="145" t="n"/>
      <c r="M43" s="145" t="n"/>
      <c r="N43" s="145" t="n"/>
      <c r="O43" s="145" t="n"/>
      <c r="P43" s="145" t="n"/>
      <c r="Q43" s="145" t="n"/>
      <c r="R43" s="145" t="n"/>
      <c r="S43" s="145" t="n"/>
      <c r="T43" s="145" t="n"/>
      <c r="U43" s="145" t="n"/>
      <c r="V43" s="145" t="n"/>
      <c r="W43" s="145" t="n"/>
      <c r="X43" s="145" t="n"/>
      <c r="Y43" s="145" t="n"/>
      <c r="Z43" s="145" t="n"/>
      <c r="AA43" s="145" t="n"/>
      <c r="AB43" s="145" t="n"/>
      <c r="AC43" s="145" t="n"/>
      <c r="AD43" s="145" t="n"/>
      <c r="AE43" s="145" t="n"/>
    </row>
    <row r="44">
      <c r="A44" s="74" t="inlineStr">
        <is>
          <t>Cash and cash equivalents</t>
        </is>
      </c>
      <c r="B44" s="145" t="n"/>
      <c r="C44" s="145" t="n"/>
      <c r="D44" s="145" t="n"/>
      <c r="E44" s="145" t="n"/>
      <c r="F44" s="145" t="n"/>
      <c r="G44" s="145" t="n"/>
      <c r="H44" s="145" t="n"/>
      <c r="I44" s="145" t="n"/>
      <c r="J44" s="145" t="n"/>
      <c r="K44" s="145" t="n"/>
      <c r="L44" s="145" t="n"/>
      <c r="M44" s="145" t="n"/>
      <c r="N44" s="509">
        <f>Reported!N123</f>
        <v/>
      </c>
      <c r="O44" s="509">
        <f>Reported!O123</f>
        <v/>
      </c>
      <c r="P44" s="509">
        <f>Reported!P123</f>
        <v/>
      </c>
      <c r="Q44" s="509">
        <f>Reported!Q123</f>
        <v/>
      </c>
      <c r="R44" s="509">
        <f>Reported!R123</f>
        <v/>
      </c>
      <c r="S44" s="509">
        <f>Reported!S123</f>
        <v/>
      </c>
      <c r="T44" s="509">
        <f>Reported!T123</f>
        <v/>
      </c>
      <c r="U44" s="509">
        <f>Reported!U123</f>
        <v/>
      </c>
      <c r="V44" s="509">
        <f>Reported!V123</f>
        <v/>
      </c>
      <c r="W44" s="509">
        <f>Reported!W123</f>
        <v/>
      </c>
      <c r="X44" s="509">
        <f>Reported!X123</f>
        <v/>
      </c>
      <c r="Y44" s="509">
        <f>Reported!Y123</f>
        <v/>
      </c>
      <c r="Z44" s="509">
        <f>Reported!Z123</f>
        <v/>
      </c>
      <c r="AA44" s="509">
        <f>Reported!AA123</f>
        <v/>
      </c>
      <c r="AB44" s="509">
        <f>Reported!AB123</f>
        <v/>
      </c>
      <c r="AC44" s="509">
        <f>Reported!AC123</f>
        <v/>
      </c>
      <c r="AD44" s="509">
        <f>Reported!AD123</f>
        <v/>
      </c>
      <c r="AE44" s="509">
        <f>Reported!AE123</f>
        <v/>
      </c>
      <c r="AF44" s="509">
        <f>Reported!AF123</f>
        <v/>
      </c>
      <c r="AG44" s="509">
        <f>Reported!AG123</f>
        <v/>
      </c>
      <c r="AH44" s="509">
        <f>Reported!AH123</f>
        <v/>
      </c>
      <c r="AI44" s="509">
        <f>Reported!AI123</f>
        <v/>
      </c>
      <c r="AJ44" s="509">
        <f>Reported!AJ123</f>
        <v/>
      </c>
      <c r="AK44" s="509">
        <f>Reported!AK123</f>
        <v/>
      </c>
      <c r="AL44" s="509">
        <f>Reported!AL123</f>
        <v/>
      </c>
      <c r="AM44" s="509">
        <f>Reported!AM123</f>
        <v/>
      </c>
      <c r="AN44" s="509">
        <f>Reported!AN123</f>
        <v/>
      </c>
      <c r="AO44" s="509">
        <f>Reported!AO123</f>
        <v/>
      </c>
      <c r="AP44" s="509">
        <f>Reported!AP123</f>
        <v/>
      </c>
      <c r="AQ44" s="509">
        <f>Reported!AQ123</f>
        <v/>
      </c>
      <c r="AR44" s="509">
        <f>Reported!AR123</f>
        <v/>
      </c>
      <c r="AS44" s="509">
        <f>Reported!AS123</f>
        <v/>
      </c>
      <c r="AT44" s="509">
        <f>Reported!AT123</f>
        <v/>
      </c>
      <c r="AU44" s="509">
        <f>Reported!AU123</f>
        <v/>
      </c>
      <c r="AV44" s="509">
        <f>Reported!AV123</f>
        <v/>
      </c>
      <c r="AW44" s="509">
        <f>Reported!AW123</f>
        <v/>
      </c>
      <c r="AX44" s="509">
        <f>Reported!AX123</f>
        <v/>
      </c>
      <c r="AY44" s="509">
        <f>Reported!AY123</f>
        <v/>
      </c>
      <c r="AZ44" s="509">
        <f>Reported!AZ123</f>
        <v/>
      </c>
      <c r="BA44" s="509">
        <f>Reported!BA123</f>
        <v/>
      </c>
      <c r="BB44" s="509">
        <f>Reported!BB123</f>
        <v/>
      </c>
      <c r="BC44" s="509">
        <f>Reported!BC123</f>
        <v/>
      </c>
      <c r="BD44" s="509">
        <f>Reported!BD123</f>
        <v/>
      </c>
      <c r="BE44" s="509">
        <f>Reported!BE123</f>
        <v/>
      </c>
      <c r="BF44" s="509">
        <f>Reported!BF123</f>
        <v/>
      </c>
      <c r="BG44" s="509">
        <f>Reported!BG123</f>
        <v/>
      </c>
      <c r="BH44" s="509">
        <f>Reported!BH123</f>
        <v/>
      </c>
      <c r="BI44" s="509">
        <f>Reported!BI123</f>
        <v/>
      </c>
      <c r="BJ44" s="509">
        <f>Reported!BJ123</f>
        <v/>
      </c>
      <c r="BK44" s="509">
        <f>Reported!BK123</f>
        <v/>
      </c>
      <c r="BL44" s="509">
        <f>Reported!BL123</f>
        <v/>
      </c>
      <c r="BM44" s="509">
        <f>Reported!BM123</f>
        <v/>
      </c>
      <c r="BN44" s="509">
        <f>Reported!BN123</f>
        <v/>
      </c>
      <c r="BO44" s="509">
        <f>Reported!BO123</f>
        <v/>
      </c>
      <c r="BP44" s="509">
        <f>Reported!BP123</f>
        <v/>
      </c>
      <c r="BQ44" s="509">
        <f>Reported!BQ123</f>
        <v/>
      </c>
      <c r="BR44" s="509">
        <f>Reported!BR123</f>
        <v/>
      </c>
      <c r="BS44" s="108">
        <f>BS120</f>
        <v/>
      </c>
      <c r="BT44" s="108">
        <f>BT120</f>
        <v/>
      </c>
      <c r="BU44" s="108">
        <f>BU120</f>
        <v/>
      </c>
      <c r="BV44" s="108">
        <f>BV120</f>
        <v/>
      </c>
      <c r="BW44" s="108">
        <f>BW120</f>
        <v/>
      </c>
      <c r="BX44" s="108">
        <f>BX120</f>
        <v/>
      </c>
      <c r="BY44" s="108">
        <f>BY120</f>
        <v/>
      </c>
      <c r="BZ44" s="108">
        <f>BZ120</f>
        <v/>
      </c>
      <c r="CA44" s="108">
        <f>CA120</f>
        <v/>
      </c>
      <c r="CB44" s="108">
        <f>CB120</f>
        <v/>
      </c>
      <c r="CC44" s="108">
        <f>CC120</f>
        <v/>
      </c>
      <c r="CD44" s="108">
        <f>CD120</f>
        <v/>
      </c>
      <c r="CE44" s="108">
        <f>CE120</f>
        <v/>
      </c>
      <c r="CF44" s="108">
        <f>CF120</f>
        <v/>
      </c>
      <c r="CG44" s="108">
        <f>CG120</f>
        <v/>
      </c>
      <c r="CH44" s="108">
        <f>CH120</f>
        <v/>
      </c>
      <c r="CI44" s="108">
        <f>CI120</f>
        <v/>
      </c>
      <c r="CJ44" s="108">
        <f>CJ120</f>
        <v/>
      </c>
      <c r="CK44" s="108">
        <f>CK120</f>
        <v/>
      </c>
    </row>
    <row r="45">
      <c r="A45" s="74" t="inlineStr">
        <is>
          <t>Short-term investments</t>
        </is>
      </c>
      <c r="B45" s="145" t="n"/>
      <c r="C45" s="145" t="n"/>
      <c r="D45" s="145" t="n"/>
      <c r="E45" s="145" t="n"/>
      <c r="F45" s="145" t="n"/>
      <c r="G45" s="145" t="n"/>
      <c r="H45" s="145" t="n"/>
      <c r="I45" s="145" t="n"/>
      <c r="J45" s="145" t="n"/>
      <c r="K45" s="145" t="n"/>
      <c r="L45" s="145" t="n"/>
      <c r="M45" s="145" t="n"/>
      <c r="N45" s="509">
        <f>Reported!N124</f>
        <v/>
      </c>
      <c r="O45" s="509">
        <f>Reported!O124</f>
        <v/>
      </c>
      <c r="P45" s="509">
        <f>Reported!P124</f>
        <v/>
      </c>
      <c r="Q45" s="509">
        <f>Reported!Q124</f>
        <v/>
      </c>
      <c r="R45" s="509">
        <f>Reported!R124</f>
        <v/>
      </c>
      <c r="S45" s="509">
        <f>Reported!S124</f>
        <v/>
      </c>
      <c r="T45" s="509">
        <f>Reported!T124</f>
        <v/>
      </c>
      <c r="U45" s="509">
        <f>Reported!U124</f>
        <v/>
      </c>
      <c r="V45" s="509">
        <f>Reported!V124</f>
        <v/>
      </c>
      <c r="W45" s="509">
        <f>Reported!W124</f>
        <v/>
      </c>
      <c r="X45" s="509">
        <f>Reported!X124</f>
        <v/>
      </c>
      <c r="Y45" s="509">
        <f>Reported!Y124</f>
        <v/>
      </c>
      <c r="Z45" s="509">
        <f>Reported!Z124</f>
        <v/>
      </c>
      <c r="AA45" s="509">
        <f>Reported!AA124</f>
        <v/>
      </c>
      <c r="AB45" s="509">
        <f>Reported!AB124</f>
        <v/>
      </c>
      <c r="AC45" s="509">
        <f>Reported!AC124</f>
        <v/>
      </c>
      <c r="AD45" s="509">
        <f>Reported!AD124</f>
        <v/>
      </c>
      <c r="AE45" s="509">
        <f>Reported!AE124</f>
        <v/>
      </c>
      <c r="AF45" s="509">
        <f>Reported!AF124</f>
        <v/>
      </c>
      <c r="AG45" s="509">
        <f>Reported!AG124</f>
        <v/>
      </c>
      <c r="AH45" s="509">
        <f>Reported!AH124</f>
        <v/>
      </c>
      <c r="AI45" s="509">
        <f>Reported!AI124</f>
        <v/>
      </c>
      <c r="AJ45" s="509">
        <f>Reported!AJ124</f>
        <v/>
      </c>
      <c r="AK45" s="509">
        <f>Reported!AK124</f>
        <v/>
      </c>
      <c r="AL45" s="509">
        <f>Reported!AL124</f>
        <v/>
      </c>
      <c r="AM45" s="509">
        <f>Reported!AM124</f>
        <v/>
      </c>
      <c r="AN45" s="509">
        <f>Reported!AN124</f>
        <v/>
      </c>
      <c r="AO45" s="509">
        <f>Reported!AO124</f>
        <v/>
      </c>
      <c r="AP45" s="509">
        <f>Reported!AP124</f>
        <v/>
      </c>
      <c r="AQ45" s="509">
        <f>Reported!AQ124</f>
        <v/>
      </c>
      <c r="AR45" s="509">
        <f>Reported!AR124</f>
        <v/>
      </c>
      <c r="AS45" s="509">
        <f>Reported!AS124</f>
        <v/>
      </c>
      <c r="AT45" s="509">
        <f>Reported!AT124</f>
        <v/>
      </c>
      <c r="AU45" s="509">
        <f>Reported!AU124</f>
        <v/>
      </c>
      <c r="AV45" s="509">
        <f>Reported!AV124</f>
        <v/>
      </c>
      <c r="AW45" s="509">
        <f>Reported!AW124</f>
        <v/>
      </c>
      <c r="AX45" s="509">
        <f>Reported!AX124</f>
        <v/>
      </c>
      <c r="AY45" s="509">
        <f>Reported!AY124</f>
        <v/>
      </c>
      <c r="AZ45" s="509">
        <f>Reported!AZ124</f>
        <v/>
      </c>
      <c r="BA45" s="509">
        <f>Reported!BA124</f>
        <v/>
      </c>
      <c r="BB45" s="509">
        <f>Reported!BB124</f>
        <v/>
      </c>
      <c r="BC45" s="509">
        <f>Reported!BC124</f>
        <v/>
      </c>
      <c r="BD45" s="509">
        <f>Reported!BD124</f>
        <v/>
      </c>
      <c r="BE45" s="509">
        <f>Reported!BE124</f>
        <v/>
      </c>
      <c r="BF45" s="509">
        <f>Reported!BF124</f>
        <v/>
      </c>
      <c r="BG45" s="509">
        <f>Reported!BG124</f>
        <v/>
      </c>
      <c r="BH45" s="509">
        <f>Reported!BH124</f>
        <v/>
      </c>
      <c r="BI45" s="509">
        <f>Reported!BI124</f>
        <v/>
      </c>
      <c r="BJ45" s="509">
        <f>Reported!BJ124</f>
        <v/>
      </c>
      <c r="BK45" s="509">
        <f>Reported!BK124</f>
        <v/>
      </c>
      <c r="BL45" s="509">
        <f>Reported!BL124</f>
        <v/>
      </c>
      <c r="BM45" s="509">
        <f>Reported!BM124</f>
        <v/>
      </c>
      <c r="BN45" s="509">
        <f>Reported!BN124</f>
        <v/>
      </c>
      <c r="BO45" s="509">
        <f>Reported!BO124</f>
        <v/>
      </c>
      <c r="BP45" s="509">
        <f>Reported!BP124</f>
        <v/>
      </c>
      <c r="BQ45" s="509">
        <f>Reported!BQ124</f>
        <v/>
      </c>
      <c r="BR45" s="509">
        <f>Reported!BR124</f>
        <v/>
      </c>
      <c r="BS45" s="517">
        <f>Assumption!BS171</f>
        <v/>
      </c>
      <c r="BT45" s="517">
        <f>Assumption!BT171</f>
        <v/>
      </c>
      <c r="BU45" s="517">
        <f>Assumption!BU171</f>
        <v/>
      </c>
      <c r="BV45" s="517">
        <f>Assumption!BV171</f>
        <v/>
      </c>
      <c r="BW45" s="517">
        <f>Assumption!BW171</f>
        <v/>
      </c>
      <c r="BX45" s="517">
        <f>Assumption!BX171</f>
        <v/>
      </c>
      <c r="BY45" s="517">
        <f>Assumption!BY171</f>
        <v/>
      </c>
      <c r="BZ45" s="517">
        <f>Assumption!BZ171</f>
        <v/>
      </c>
      <c r="CA45" s="517">
        <f>Assumption!CA171</f>
        <v/>
      </c>
      <c r="CB45" s="517">
        <f>Assumption!CB171</f>
        <v/>
      </c>
      <c r="CC45" s="517">
        <f>Assumption!CC171</f>
        <v/>
      </c>
      <c r="CD45" s="517">
        <f>Assumption!CD171</f>
        <v/>
      </c>
      <c r="CE45" s="517">
        <f>Assumption!CE171</f>
        <v/>
      </c>
      <c r="CF45" s="517">
        <f>Assumption!CF171</f>
        <v/>
      </c>
      <c r="CG45" s="517">
        <f>Assumption!CG171</f>
        <v/>
      </c>
      <c r="CH45" s="517">
        <f>Assumption!CH171</f>
        <v/>
      </c>
      <c r="CI45" s="517">
        <f>Assumption!CI171</f>
        <v/>
      </c>
      <c r="CJ45" s="517">
        <f>Assumption!CJ171</f>
        <v/>
      </c>
      <c r="CK45" s="517">
        <f>Assumption!CK171</f>
        <v/>
      </c>
    </row>
    <row r="46">
      <c r="A46" s="74" t="inlineStr">
        <is>
          <t>Accounts receivable, net</t>
        </is>
      </c>
      <c r="B46" s="145" t="n"/>
      <c r="C46" s="145" t="n"/>
      <c r="D46" s="145" t="n"/>
      <c r="E46" s="145" t="n"/>
      <c r="F46" s="145" t="n"/>
      <c r="G46" s="145" t="n"/>
      <c r="H46" s="145" t="n"/>
      <c r="I46" s="145" t="n"/>
      <c r="J46" s="145" t="n"/>
      <c r="K46" s="145" t="n"/>
      <c r="L46" s="145" t="n"/>
      <c r="M46" s="145" t="n"/>
      <c r="N46" s="509">
        <f>Reported!N125</f>
        <v/>
      </c>
      <c r="O46" s="509">
        <f>Reported!O125</f>
        <v/>
      </c>
      <c r="P46" s="509">
        <f>Reported!P125</f>
        <v/>
      </c>
      <c r="Q46" s="509">
        <f>Reported!Q125</f>
        <v/>
      </c>
      <c r="R46" s="509">
        <f>Reported!R125</f>
        <v/>
      </c>
      <c r="S46" s="509">
        <f>Reported!S125</f>
        <v/>
      </c>
      <c r="T46" s="509">
        <f>Reported!T125</f>
        <v/>
      </c>
      <c r="U46" s="509">
        <f>Reported!U125</f>
        <v/>
      </c>
      <c r="V46" s="509">
        <f>Reported!V125</f>
        <v/>
      </c>
      <c r="W46" s="509">
        <f>Reported!W125</f>
        <v/>
      </c>
      <c r="X46" s="509">
        <f>Reported!X125</f>
        <v/>
      </c>
      <c r="Y46" s="509">
        <f>Reported!Y125</f>
        <v/>
      </c>
      <c r="Z46" s="509">
        <f>Reported!Z125</f>
        <v/>
      </c>
      <c r="AA46" s="509">
        <f>Reported!AA125</f>
        <v/>
      </c>
      <c r="AB46" s="509">
        <f>Reported!AB125</f>
        <v/>
      </c>
      <c r="AC46" s="509">
        <f>Reported!AC125</f>
        <v/>
      </c>
      <c r="AD46" s="509">
        <f>Reported!AD125</f>
        <v/>
      </c>
      <c r="AE46" s="509">
        <f>Reported!AE125</f>
        <v/>
      </c>
      <c r="AF46" s="509">
        <f>Reported!AF125</f>
        <v/>
      </c>
      <c r="AG46" s="509">
        <f>Reported!AG125</f>
        <v/>
      </c>
      <c r="AH46" s="509">
        <f>Reported!AH125</f>
        <v/>
      </c>
      <c r="AI46" s="509">
        <f>Reported!AI125</f>
        <v/>
      </c>
      <c r="AJ46" s="509">
        <f>Reported!AJ125</f>
        <v/>
      </c>
      <c r="AK46" s="509">
        <f>Reported!AK125</f>
        <v/>
      </c>
      <c r="AL46" s="509">
        <f>Reported!AL125</f>
        <v/>
      </c>
      <c r="AM46" s="509">
        <f>Reported!AM125</f>
        <v/>
      </c>
      <c r="AN46" s="509">
        <f>Reported!AN125</f>
        <v/>
      </c>
      <c r="AO46" s="509">
        <f>Reported!AO125</f>
        <v/>
      </c>
      <c r="AP46" s="509">
        <f>Reported!AP125</f>
        <v/>
      </c>
      <c r="AQ46" s="509">
        <f>Reported!AQ125</f>
        <v/>
      </c>
      <c r="AR46" s="509">
        <f>Reported!AR125</f>
        <v/>
      </c>
      <c r="AS46" s="509">
        <f>Reported!AS125</f>
        <v/>
      </c>
      <c r="AT46" s="509">
        <f>Reported!AT125</f>
        <v/>
      </c>
      <c r="AU46" s="509">
        <f>Reported!AU125</f>
        <v/>
      </c>
      <c r="AV46" s="509">
        <f>Reported!AV125</f>
        <v/>
      </c>
      <c r="AW46" s="509">
        <f>Reported!AW125</f>
        <v/>
      </c>
      <c r="AX46" s="509">
        <f>Reported!AX125</f>
        <v/>
      </c>
      <c r="AY46" s="509">
        <f>Reported!AY125</f>
        <v/>
      </c>
      <c r="AZ46" s="509">
        <f>Reported!AZ125</f>
        <v/>
      </c>
      <c r="BA46" s="509">
        <f>Reported!BA125</f>
        <v/>
      </c>
      <c r="BB46" s="509">
        <f>Reported!BB125</f>
        <v/>
      </c>
      <c r="BC46" s="509">
        <f>Reported!BC125</f>
        <v/>
      </c>
      <c r="BD46" s="509">
        <f>Reported!BD125</f>
        <v/>
      </c>
      <c r="BE46" s="509">
        <f>Reported!BE125</f>
        <v/>
      </c>
      <c r="BF46" s="509">
        <f>Reported!BF125</f>
        <v/>
      </c>
      <c r="BG46" s="509">
        <f>Reported!BG125</f>
        <v/>
      </c>
      <c r="BH46" s="509">
        <f>Reported!BH125</f>
        <v/>
      </c>
      <c r="BI46" s="509">
        <f>Reported!BI125</f>
        <v/>
      </c>
      <c r="BJ46" s="509">
        <f>Reported!BJ125</f>
        <v/>
      </c>
      <c r="BK46" s="509">
        <f>Reported!BK125</f>
        <v/>
      </c>
      <c r="BL46" s="509">
        <f>Reported!BL125</f>
        <v/>
      </c>
      <c r="BM46" s="509">
        <f>Reported!BM125</f>
        <v/>
      </c>
      <c r="BN46" s="509">
        <f>Reported!BN125</f>
        <v/>
      </c>
      <c r="BO46" s="509">
        <f>Reported!BO125</f>
        <v/>
      </c>
      <c r="BP46" s="509">
        <f>Reported!BP125</f>
        <v/>
      </c>
      <c r="BQ46" s="509">
        <f>Reported!BQ125</f>
        <v/>
      </c>
      <c r="BR46" s="509">
        <f>Reported!BR125</f>
        <v/>
      </c>
      <c r="BS46" s="517">
        <f>Assumption!BS157</f>
        <v/>
      </c>
      <c r="BT46" s="517">
        <f>Assumption!BT157</f>
        <v/>
      </c>
      <c r="BU46" s="517">
        <f>Assumption!BU157</f>
        <v/>
      </c>
      <c r="BV46" s="517">
        <f>Assumption!BV157</f>
        <v/>
      </c>
      <c r="BW46" s="517">
        <f>Assumption!BW157</f>
        <v/>
      </c>
      <c r="BX46" s="517">
        <f>Assumption!BX157</f>
        <v/>
      </c>
      <c r="BY46" s="517">
        <f>Assumption!BY157</f>
        <v/>
      </c>
      <c r="BZ46" s="517">
        <f>Assumption!BZ157</f>
        <v/>
      </c>
      <c r="CA46" s="517">
        <f>Assumption!CA157</f>
        <v/>
      </c>
      <c r="CB46" s="517">
        <f>Assumption!CB157</f>
        <v/>
      </c>
      <c r="CC46" s="517">
        <f>Assumption!CC157</f>
        <v/>
      </c>
      <c r="CD46" s="517">
        <f>Assumption!CD157</f>
        <v/>
      </c>
      <c r="CE46" s="517">
        <f>Assumption!CE157</f>
        <v/>
      </c>
      <c r="CF46" s="517">
        <f>Assumption!CF157</f>
        <v/>
      </c>
      <c r="CG46" s="517">
        <f>Assumption!CG157</f>
        <v/>
      </c>
      <c r="CH46" s="517">
        <f>Assumption!CH157</f>
        <v/>
      </c>
      <c r="CI46" s="517">
        <f>Assumption!CI157</f>
        <v/>
      </c>
      <c r="CJ46" s="517">
        <f>Assumption!CJ157</f>
        <v/>
      </c>
      <c r="CK46" s="517">
        <f>Assumption!CK157</f>
        <v/>
      </c>
    </row>
    <row r="47">
      <c r="A47" s="74" t="inlineStr">
        <is>
          <t>Inventories</t>
        </is>
      </c>
      <c r="B47" s="145" t="n"/>
      <c r="C47" s="145" t="n"/>
      <c r="D47" s="145" t="n"/>
      <c r="E47" s="145" t="n"/>
      <c r="F47" s="145" t="n"/>
      <c r="G47" s="145" t="n"/>
      <c r="H47" s="145" t="n"/>
      <c r="I47" s="145" t="n"/>
      <c r="J47" s="145" t="n"/>
      <c r="K47" s="145" t="n"/>
      <c r="L47" s="145" t="n"/>
      <c r="M47" s="145" t="n"/>
      <c r="N47" s="509">
        <f>Reported!N126</f>
        <v/>
      </c>
      <c r="O47" s="509">
        <f>Reported!O126</f>
        <v/>
      </c>
      <c r="P47" s="509">
        <f>Reported!P126</f>
        <v/>
      </c>
      <c r="Q47" s="509">
        <f>Reported!Q126</f>
        <v/>
      </c>
      <c r="R47" s="509">
        <f>Reported!R126</f>
        <v/>
      </c>
      <c r="S47" s="509">
        <f>Reported!S126</f>
        <v/>
      </c>
      <c r="T47" s="509">
        <f>Reported!T126</f>
        <v/>
      </c>
      <c r="U47" s="509">
        <f>Reported!U126</f>
        <v/>
      </c>
      <c r="V47" s="509">
        <f>Reported!V126</f>
        <v/>
      </c>
      <c r="W47" s="509">
        <f>Reported!W126</f>
        <v/>
      </c>
      <c r="X47" s="509">
        <f>Reported!X126</f>
        <v/>
      </c>
      <c r="Y47" s="509">
        <f>Reported!Y126</f>
        <v/>
      </c>
      <c r="Z47" s="509">
        <f>Reported!Z126</f>
        <v/>
      </c>
      <c r="AA47" s="509">
        <f>Reported!AA126</f>
        <v/>
      </c>
      <c r="AB47" s="509">
        <f>Reported!AB126</f>
        <v/>
      </c>
      <c r="AC47" s="509">
        <f>Reported!AC126</f>
        <v/>
      </c>
      <c r="AD47" s="509">
        <f>Reported!AD126</f>
        <v/>
      </c>
      <c r="AE47" s="509">
        <f>Reported!AE126</f>
        <v/>
      </c>
      <c r="AF47" s="509">
        <f>Reported!AF126</f>
        <v/>
      </c>
      <c r="AG47" s="509">
        <f>Reported!AG126</f>
        <v/>
      </c>
      <c r="AH47" s="509">
        <f>Reported!AH126</f>
        <v/>
      </c>
      <c r="AI47" s="509">
        <f>Reported!AI126</f>
        <v/>
      </c>
      <c r="AJ47" s="509">
        <f>Reported!AJ126</f>
        <v/>
      </c>
      <c r="AK47" s="509">
        <f>Reported!AK126</f>
        <v/>
      </c>
      <c r="AL47" s="509">
        <f>Reported!AL126</f>
        <v/>
      </c>
      <c r="AM47" s="509">
        <f>Reported!AM126</f>
        <v/>
      </c>
      <c r="AN47" s="509">
        <f>Reported!AN126</f>
        <v/>
      </c>
      <c r="AO47" s="509">
        <f>Reported!AO126</f>
        <v/>
      </c>
      <c r="AP47" s="509">
        <f>Reported!AP126</f>
        <v/>
      </c>
      <c r="AQ47" s="509">
        <f>Reported!AQ126</f>
        <v/>
      </c>
      <c r="AR47" s="509">
        <f>Reported!AR126</f>
        <v/>
      </c>
      <c r="AS47" s="509">
        <f>Reported!AS126</f>
        <v/>
      </c>
      <c r="AT47" s="509">
        <f>Reported!AT126</f>
        <v/>
      </c>
      <c r="AU47" s="509">
        <f>Reported!AU126</f>
        <v/>
      </c>
      <c r="AV47" s="509">
        <f>Reported!AV126</f>
        <v/>
      </c>
      <c r="AW47" s="509">
        <f>Reported!AW126</f>
        <v/>
      </c>
      <c r="AX47" s="509">
        <f>Reported!AX126</f>
        <v/>
      </c>
      <c r="AY47" s="509">
        <f>Reported!AY126</f>
        <v/>
      </c>
      <c r="AZ47" s="509">
        <f>Reported!AZ126</f>
        <v/>
      </c>
      <c r="BA47" s="509">
        <f>Reported!BA126</f>
        <v/>
      </c>
      <c r="BB47" s="509">
        <f>Reported!BB126</f>
        <v/>
      </c>
      <c r="BC47" s="509">
        <f>Reported!BC126</f>
        <v/>
      </c>
      <c r="BD47" s="509">
        <f>Reported!BD126</f>
        <v/>
      </c>
      <c r="BE47" s="509">
        <f>Reported!BE126</f>
        <v/>
      </c>
      <c r="BF47" s="509">
        <f>Reported!BF126</f>
        <v/>
      </c>
      <c r="BG47" s="509">
        <f>Reported!BG126</f>
        <v/>
      </c>
      <c r="BH47" s="509">
        <f>Reported!BH126</f>
        <v/>
      </c>
      <c r="BI47" s="509">
        <f>Reported!BI126</f>
        <v/>
      </c>
      <c r="BJ47" s="509">
        <f>Reported!BJ126</f>
        <v/>
      </c>
      <c r="BK47" s="509">
        <f>Reported!BK126</f>
        <v/>
      </c>
      <c r="BL47" s="509">
        <f>Reported!BL126</f>
        <v/>
      </c>
      <c r="BM47" s="509">
        <f>Reported!BM126</f>
        <v/>
      </c>
      <c r="BN47" s="509">
        <f>Reported!BN126</f>
        <v/>
      </c>
      <c r="BO47" s="509">
        <f>Reported!BO126</f>
        <v/>
      </c>
      <c r="BP47" s="509">
        <f>Reported!BP126</f>
        <v/>
      </c>
      <c r="BQ47" s="509">
        <f>Reported!BQ126</f>
        <v/>
      </c>
      <c r="BR47" s="509">
        <f>Reported!BR126</f>
        <v/>
      </c>
      <c r="BS47" s="517">
        <f>Assumption!BS158</f>
        <v/>
      </c>
      <c r="BT47" s="517">
        <f>Assumption!BT158</f>
        <v/>
      </c>
      <c r="BU47" s="517">
        <f>Assumption!BU158</f>
        <v/>
      </c>
      <c r="BV47" s="517">
        <f>Assumption!BV158</f>
        <v/>
      </c>
      <c r="BW47" s="517">
        <f>Assumption!BW158</f>
        <v/>
      </c>
      <c r="BX47" s="517">
        <f>Assumption!BX158</f>
        <v/>
      </c>
      <c r="BY47" s="517">
        <f>Assumption!BY158</f>
        <v/>
      </c>
      <c r="BZ47" s="517">
        <f>Assumption!BZ158</f>
        <v/>
      </c>
      <c r="CA47" s="517">
        <f>Assumption!CA158</f>
        <v/>
      </c>
      <c r="CB47" s="517">
        <f>Assumption!CB158</f>
        <v/>
      </c>
      <c r="CC47" s="517">
        <f>Assumption!CC158</f>
        <v/>
      </c>
      <c r="CD47" s="517">
        <f>Assumption!CD158</f>
        <v/>
      </c>
      <c r="CE47" s="517">
        <f>Assumption!CE158</f>
        <v/>
      </c>
      <c r="CF47" s="517">
        <f>Assumption!CF158</f>
        <v/>
      </c>
      <c r="CG47" s="517">
        <f>Assumption!CG158</f>
        <v/>
      </c>
      <c r="CH47" s="517">
        <f>Assumption!CH158</f>
        <v/>
      </c>
      <c r="CI47" s="517">
        <f>Assumption!CI158</f>
        <v/>
      </c>
      <c r="CJ47" s="517">
        <f>Assumption!CJ158</f>
        <v/>
      </c>
      <c r="CK47" s="517">
        <f>Assumption!CK158</f>
        <v/>
      </c>
    </row>
    <row r="48">
      <c r="A48" s="74" t="inlineStr">
        <is>
          <t>Prepaid income taxes</t>
        </is>
      </c>
      <c r="B48" s="145" t="n"/>
      <c r="C48" s="145" t="n"/>
      <c r="D48" s="145" t="n"/>
      <c r="E48" s="145" t="n"/>
      <c r="F48" s="145" t="n"/>
      <c r="G48" s="145" t="n"/>
      <c r="H48" s="145" t="n"/>
      <c r="I48" s="145" t="n"/>
      <c r="J48" s="145" t="n"/>
      <c r="K48" s="145" t="n"/>
      <c r="L48" s="145" t="n"/>
      <c r="M48" s="145" t="n"/>
      <c r="N48" s="509">
        <f>Reported!N127</f>
        <v/>
      </c>
      <c r="O48" s="509">
        <f>Reported!O127</f>
        <v/>
      </c>
      <c r="P48" s="509">
        <f>Reported!P127</f>
        <v/>
      </c>
      <c r="Q48" s="509">
        <f>Reported!Q127</f>
        <v/>
      </c>
      <c r="R48" s="509">
        <f>Reported!R127</f>
        <v/>
      </c>
      <c r="S48" s="509">
        <f>Reported!S127</f>
        <v/>
      </c>
      <c r="T48" s="509">
        <f>Reported!T127</f>
        <v/>
      </c>
      <c r="U48" s="509">
        <f>Reported!U127</f>
        <v/>
      </c>
      <c r="V48" s="509">
        <f>Reported!V127</f>
        <v/>
      </c>
      <c r="W48" s="509">
        <f>Reported!W127</f>
        <v/>
      </c>
      <c r="X48" s="509">
        <f>Reported!X127</f>
        <v/>
      </c>
      <c r="Y48" s="509">
        <f>Reported!Y127</f>
        <v/>
      </c>
      <c r="Z48" s="509">
        <f>Reported!Z127</f>
        <v/>
      </c>
      <c r="AA48" s="509">
        <f>Reported!AA127</f>
        <v/>
      </c>
      <c r="AB48" s="509">
        <f>Reported!AB127</f>
        <v/>
      </c>
      <c r="AC48" s="509">
        <f>Reported!AC127</f>
        <v/>
      </c>
      <c r="AD48" s="509">
        <f>Reported!AD127</f>
        <v/>
      </c>
      <c r="AE48" s="509">
        <f>Reported!AE127</f>
        <v/>
      </c>
      <c r="AF48" s="509">
        <f>Reported!AF127</f>
        <v/>
      </c>
      <c r="AG48" s="509">
        <f>Reported!AG127</f>
        <v/>
      </c>
      <c r="AH48" s="509">
        <f>Reported!AH127</f>
        <v/>
      </c>
      <c r="AI48" s="509">
        <f>Reported!AI127</f>
        <v/>
      </c>
      <c r="AJ48" s="509">
        <f>Reported!AJ127</f>
        <v/>
      </c>
      <c r="AK48" s="509">
        <f>Reported!AK127</f>
        <v/>
      </c>
      <c r="AL48" s="509">
        <f>Reported!AL127</f>
        <v/>
      </c>
      <c r="AM48" s="509">
        <f>Reported!AM127</f>
        <v/>
      </c>
      <c r="AN48" s="509">
        <f>Reported!AN127</f>
        <v/>
      </c>
      <c r="AO48" s="509">
        <f>Reported!AO127</f>
        <v/>
      </c>
      <c r="AP48" s="509">
        <f>Reported!AP127</f>
        <v/>
      </c>
      <c r="AQ48" s="509">
        <f>Reported!AQ127</f>
        <v/>
      </c>
      <c r="AR48" s="509">
        <f>Reported!AR127</f>
        <v/>
      </c>
      <c r="AS48" s="509">
        <f>Reported!AS127</f>
        <v/>
      </c>
      <c r="AT48" s="509">
        <f>Reported!AT127</f>
        <v/>
      </c>
      <c r="AU48" s="509">
        <f>Reported!AU127</f>
        <v/>
      </c>
      <c r="AV48" s="509">
        <f>Reported!AV127</f>
        <v/>
      </c>
      <c r="AW48" s="509">
        <f>Reported!AW127</f>
        <v/>
      </c>
      <c r="AX48" s="509">
        <f>Reported!AX127</f>
        <v/>
      </c>
      <c r="AY48" s="509">
        <f>Reported!AY127</f>
        <v/>
      </c>
      <c r="AZ48" s="509">
        <f>Reported!AZ127</f>
        <v/>
      </c>
      <c r="BA48" s="509">
        <f>Reported!BA127</f>
        <v/>
      </c>
      <c r="BB48" s="509">
        <f>Reported!BB127</f>
        <v/>
      </c>
      <c r="BC48" s="509">
        <f>Reported!BC127</f>
        <v/>
      </c>
      <c r="BD48" s="509">
        <f>Reported!BD127</f>
        <v/>
      </c>
      <c r="BE48" s="509">
        <f>Reported!BE127</f>
        <v/>
      </c>
      <c r="BF48" s="509">
        <f>Reported!BF127</f>
        <v/>
      </c>
      <c r="BG48" s="509">
        <f>Reported!BG127</f>
        <v/>
      </c>
      <c r="BH48" s="509">
        <f>Reported!BH127</f>
        <v/>
      </c>
      <c r="BI48" s="509">
        <f>Reported!BI127</f>
        <v/>
      </c>
      <c r="BJ48" s="509">
        <f>Reported!BJ127</f>
        <v/>
      </c>
      <c r="BK48" s="509">
        <f>Reported!BK127</f>
        <v/>
      </c>
      <c r="BL48" s="509">
        <f>Reported!BL127</f>
        <v/>
      </c>
      <c r="BM48" s="509">
        <f>Reported!BM127</f>
        <v/>
      </c>
      <c r="BN48" s="509">
        <f>Reported!BN127</f>
        <v/>
      </c>
      <c r="BO48" s="509">
        <f>Reported!BO127</f>
        <v/>
      </c>
      <c r="BP48" s="509">
        <f>Reported!BP127</f>
        <v/>
      </c>
      <c r="BQ48" s="509">
        <f>Reported!BQ127</f>
        <v/>
      </c>
      <c r="BR48" s="509">
        <f>Reported!BR127</f>
        <v/>
      </c>
      <c r="BS48" s="517">
        <f>Assumption!BS159</f>
        <v/>
      </c>
      <c r="BT48" s="517">
        <f>Assumption!BT159</f>
        <v/>
      </c>
      <c r="BU48" s="517">
        <f>Assumption!BU159</f>
        <v/>
      </c>
      <c r="BV48" s="517">
        <f>Assumption!BV159</f>
        <v/>
      </c>
      <c r="BW48" s="517">
        <f>Assumption!BW159</f>
        <v/>
      </c>
      <c r="BX48" s="517">
        <f>Assumption!BX159</f>
        <v/>
      </c>
      <c r="BY48" s="517">
        <f>Assumption!BY159</f>
        <v/>
      </c>
      <c r="BZ48" s="517">
        <f>Assumption!BZ159</f>
        <v/>
      </c>
      <c r="CA48" s="517">
        <f>Assumption!CA159</f>
        <v/>
      </c>
      <c r="CB48" s="517">
        <f>Assumption!CB159</f>
        <v/>
      </c>
      <c r="CC48" s="517">
        <f>Assumption!CC159</f>
        <v/>
      </c>
      <c r="CD48" s="517">
        <f>Assumption!CD159</f>
        <v/>
      </c>
      <c r="CE48" s="517">
        <f>Assumption!CE159</f>
        <v/>
      </c>
      <c r="CF48" s="517">
        <f>Assumption!CF159</f>
        <v/>
      </c>
      <c r="CG48" s="517">
        <f>Assumption!CG159</f>
        <v/>
      </c>
      <c r="CH48" s="517">
        <f>Assumption!CH159</f>
        <v/>
      </c>
      <c r="CI48" s="517">
        <f>Assumption!CI159</f>
        <v/>
      </c>
      <c r="CJ48" s="517">
        <f>Assumption!CJ159</f>
        <v/>
      </c>
      <c r="CK48" s="517">
        <f>Assumption!CK159</f>
        <v/>
      </c>
    </row>
    <row r="49">
      <c r="A49" s="74" t="inlineStr">
        <is>
          <t>Prepaid expenses and others</t>
        </is>
      </c>
      <c r="B49" s="145" t="n"/>
      <c r="C49" s="145" t="n"/>
      <c r="D49" s="145" t="n"/>
      <c r="E49" s="145" t="n"/>
      <c r="F49" s="145" t="n"/>
      <c r="G49" s="145" t="n"/>
      <c r="H49" s="145" t="n"/>
      <c r="I49" s="145" t="n"/>
      <c r="J49" s="145" t="n"/>
      <c r="K49" s="145" t="n"/>
      <c r="L49" s="145" t="n"/>
      <c r="M49" s="145" t="n"/>
      <c r="N49" s="509">
        <f>Reported!N128</f>
        <v/>
      </c>
      <c r="O49" s="509">
        <f>Reported!O128</f>
        <v/>
      </c>
      <c r="P49" s="509">
        <f>Reported!P128</f>
        <v/>
      </c>
      <c r="Q49" s="509">
        <f>Reported!Q128</f>
        <v/>
      </c>
      <c r="R49" s="509">
        <f>Reported!R128</f>
        <v/>
      </c>
      <c r="S49" s="509">
        <f>Reported!S128</f>
        <v/>
      </c>
      <c r="T49" s="509">
        <f>Reported!T128</f>
        <v/>
      </c>
      <c r="U49" s="509">
        <f>Reported!U128</f>
        <v/>
      </c>
      <c r="V49" s="509">
        <f>Reported!V128</f>
        <v/>
      </c>
      <c r="W49" s="509">
        <f>Reported!W128</f>
        <v/>
      </c>
      <c r="X49" s="509">
        <f>Reported!X128</f>
        <v/>
      </c>
      <c r="Y49" s="509">
        <f>Reported!Y128</f>
        <v/>
      </c>
      <c r="Z49" s="509">
        <f>Reported!Z128</f>
        <v/>
      </c>
      <c r="AA49" s="509">
        <f>Reported!AA128</f>
        <v/>
      </c>
      <c r="AB49" s="509">
        <f>Reported!AB128</f>
        <v/>
      </c>
      <c r="AC49" s="509">
        <f>Reported!AC128</f>
        <v/>
      </c>
      <c r="AD49" s="509">
        <f>Reported!AD128</f>
        <v/>
      </c>
      <c r="AE49" s="509">
        <f>Reported!AE128</f>
        <v/>
      </c>
      <c r="AF49" s="509">
        <f>Reported!AF128</f>
        <v/>
      </c>
      <c r="AG49" s="509">
        <f>Reported!AG128</f>
        <v/>
      </c>
      <c r="AH49" s="509">
        <f>Reported!AH128</f>
        <v/>
      </c>
      <c r="AI49" s="509">
        <f>Reported!AI128</f>
        <v/>
      </c>
      <c r="AJ49" s="509">
        <f>Reported!AJ128</f>
        <v/>
      </c>
      <c r="AK49" s="509">
        <f>Reported!AK128</f>
        <v/>
      </c>
      <c r="AL49" s="509">
        <f>Reported!AL128</f>
        <v/>
      </c>
      <c r="AM49" s="509">
        <f>Reported!AM128</f>
        <v/>
      </c>
      <c r="AN49" s="509">
        <f>Reported!AN128</f>
        <v/>
      </c>
      <c r="AO49" s="509">
        <f>Reported!AO128</f>
        <v/>
      </c>
      <c r="AP49" s="509">
        <f>Reported!AP128</f>
        <v/>
      </c>
      <c r="AQ49" s="509">
        <f>Reported!AQ128</f>
        <v/>
      </c>
      <c r="AR49" s="509">
        <f>Reported!AR128</f>
        <v/>
      </c>
      <c r="AS49" s="509">
        <f>Reported!AS128</f>
        <v/>
      </c>
      <c r="AT49" s="509">
        <f>Reported!AT128</f>
        <v/>
      </c>
      <c r="AU49" s="509">
        <f>Reported!AU128</f>
        <v/>
      </c>
      <c r="AV49" s="509">
        <f>Reported!AV128</f>
        <v/>
      </c>
      <c r="AW49" s="509">
        <f>Reported!AW128</f>
        <v/>
      </c>
      <c r="AX49" s="509">
        <f>Reported!AX128</f>
        <v/>
      </c>
      <c r="AY49" s="509">
        <f>Reported!AY128</f>
        <v/>
      </c>
      <c r="AZ49" s="509">
        <f>Reported!AZ128</f>
        <v/>
      </c>
      <c r="BA49" s="509">
        <f>Reported!BA128</f>
        <v/>
      </c>
      <c r="BB49" s="509">
        <f>Reported!BB128</f>
        <v/>
      </c>
      <c r="BC49" s="509">
        <f>Reported!BC128</f>
        <v/>
      </c>
      <c r="BD49" s="509">
        <f>Reported!BD128</f>
        <v/>
      </c>
      <c r="BE49" s="509">
        <f>Reported!BE128</f>
        <v/>
      </c>
      <c r="BF49" s="509">
        <f>Reported!BF128</f>
        <v/>
      </c>
      <c r="BG49" s="509">
        <f>Reported!BG128</f>
        <v/>
      </c>
      <c r="BH49" s="509">
        <f>Reported!BH128</f>
        <v/>
      </c>
      <c r="BI49" s="509">
        <f>Reported!BI128</f>
        <v/>
      </c>
      <c r="BJ49" s="509">
        <f>Reported!BJ128</f>
        <v/>
      </c>
      <c r="BK49" s="509">
        <f>Reported!BK128</f>
        <v/>
      </c>
      <c r="BL49" s="509">
        <f>Reported!BL128</f>
        <v/>
      </c>
      <c r="BM49" s="509">
        <f>Reported!BM128</f>
        <v/>
      </c>
      <c r="BN49" s="509">
        <f>Reported!BN128</f>
        <v/>
      </c>
      <c r="BO49" s="509">
        <f>Reported!BO128</f>
        <v/>
      </c>
      <c r="BP49" s="509">
        <f>Reported!BP128</f>
        <v/>
      </c>
      <c r="BQ49" s="509">
        <f>Reported!BQ128</f>
        <v/>
      </c>
      <c r="BR49" s="509">
        <f>Reported!BR128</f>
        <v/>
      </c>
      <c r="BS49" s="517">
        <f>Assumption!BS160</f>
        <v/>
      </c>
      <c r="BT49" s="517">
        <f>Assumption!BT160</f>
        <v/>
      </c>
      <c r="BU49" s="517">
        <f>Assumption!BU160</f>
        <v/>
      </c>
      <c r="BV49" s="517">
        <f>Assumption!BV160</f>
        <v/>
      </c>
      <c r="BW49" s="517">
        <f>Assumption!BW160</f>
        <v/>
      </c>
      <c r="BX49" s="517">
        <f>Assumption!BX160</f>
        <v/>
      </c>
      <c r="BY49" s="517">
        <f>Assumption!BY160</f>
        <v/>
      </c>
      <c r="BZ49" s="517">
        <f>Assumption!BZ160</f>
        <v/>
      </c>
      <c r="CA49" s="517">
        <f>Assumption!CA160</f>
        <v/>
      </c>
      <c r="CB49" s="517">
        <f>Assumption!CB160</f>
        <v/>
      </c>
      <c r="CC49" s="517">
        <f>Assumption!CC160</f>
        <v/>
      </c>
      <c r="CD49" s="517">
        <f>Assumption!CD160</f>
        <v/>
      </c>
      <c r="CE49" s="517">
        <f>Assumption!CE160</f>
        <v/>
      </c>
      <c r="CF49" s="517">
        <f>Assumption!CF160</f>
        <v/>
      </c>
      <c r="CG49" s="517">
        <f>Assumption!CG160</f>
        <v/>
      </c>
      <c r="CH49" s="517">
        <f>Assumption!CH160</f>
        <v/>
      </c>
      <c r="CI49" s="517">
        <f>Assumption!CI160</f>
        <v/>
      </c>
      <c r="CJ49" s="517">
        <f>Assumption!CJ160</f>
        <v/>
      </c>
      <c r="CK49" s="517">
        <f>Assumption!CK160</f>
        <v/>
      </c>
    </row>
    <row r="50">
      <c r="A50" s="74" t="inlineStr">
        <is>
          <t>Other current assets</t>
        </is>
      </c>
      <c r="B50" s="145" t="n"/>
      <c r="C50" s="145" t="n"/>
      <c r="D50" s="145" t="n"/>
      <c r="E50" s="145" t="n"/>
      <c r="F50" s="145" t="n"/>
      <c r="G50" s="145" t="n"/>
      <c r="H50" s="145" t="n"/>
      <c r="I50" s="145" t="n"/>
      <c r="J50" s="145" t="n"/>
      <c r="K50" s="145" t="n"/>
      <c r="L50" s="145" t="n"/>
      <c r="M50" s="145" t="n"/>
      <c r="N50" s="509">
        <f>Reported!N129</f>
        <v/>
      </c>
      <c r="O50" s="509">
        <f>Reported!O129</f>
        <v/>
      </c>
      <c r="P50" s="509">
        <f>Reported!P129</f>
        <v/>
      </c>
      <c r="Q50" s="509">
        <f>Reported!Q129</f>
        <v/>
      </c>
      <c r="R50" s="509">
        <f>Reported!R129</f>
        <v/>
      </c>
      <c r="S50" s="509">
        <f>Reported!S129</f>
        <v/>
      </c>
      <c r="T50" s="509">
        <f>Reported!T129</f>
        <v/>
      </c>
      <c r="U50" s="509">
        <f>Reported!U129</f>
        <v/>
      </c>
      <c r="V50" s="509">
        <f>Reported!V129</f>
        <v/>
      </c>
      <c r="W50" s="509">
        <f>Reported!W129</f>
        <v/>
      </c>
      <c r="X50" s="509">
        <f>Reported!X129</f>
        <v/>
      </c>
      <c r="Y50" s="509">
        <f>Reported!Y129</f>
        <v/>
      </c>
      <c r="Z50" s="509">
        <f>Reported!Z129</f>
        <v/>
      </c>
      <c r="AA50" s="509">
        <f>Reported!AA129</f>
        <v/>
      </c>
      <c r="AB50" s="509">
        <f>Reported!AB129</f>
        <v/>
      </c>
      <c r="AC50" s="509">
        <f>Reported!AC129</f>
        <v/>
      </c>
      <c r="AD50" s="509">
        <f>Reported!AD129</f>
        <v/>
      </c>
      <c r="AE50" s="509">
        <f>Reported!AE129</f>
        <v/>
      </c>
      <c r="AF50" s="509">
        <f>Reported!AF129</f>
        <v/>
      </c>
      <c r="AG50" s="509">
        <f>Reported!AG129</f>
        <v/>
      </c>
      <c r="AH50" s="509">
        <f>Reported!AH129</f>
        <v/>
      </c>
      <c r="AI50" s="509">
        <f>Reported!AI129</f>
        <v/>
      </c>
      <c r="AJ50" s="509">
        <f>Reported!AJ129</f>
        <v/>
      </c>
      <c r="AK50" s="509">
        <f>Reported!AK129</f>
        <v/>
      </c>
      <c r="AL50" s="509">
        <f>Reported!AL129</f>
        <v/>
      </c>
      <c r="AM50" s="509">
        <f>Reported!AM129</f>
        <v/>
      </c>
      <c r="AN50" s="509">
        <f>Reported!AN129</f>
        <v/>
      </c>
      <c r="AO50" s="509">
        <f>Reported!AO129</f>
        <v/>
      </c>
      <c r="AP50" s="509">
        <f>Reported!AP129</f>
        <v/>
      </c>
      <c r="AQ50" s="509">
        <f>Reported!AQ129</f>
        <v/>
      </c>
      <c r="AR50" s="509">
        <f>Reported!AR129</f>
        <v/>
      </c>
      <c r="AS50" s="509">
        <f>Reported!AS129</f>
        <v/>
      </c>
      <c r="AT50" s="509">
        <f>Reported!AT129</f>
        <v/>
      </c>
      <c r="AU50" s="509">
        <f>Reported!AU129</f>
        <v/>
      </c>
      <c r="AV50" s="509">
        <f>Reported!AV129</f>
        <v/>
      </c>
      <c r="AW50" s="509">
        <f>Reported!AW129</f>
        <v/>
      </c>
      <c r="AX50" s="509">
        <f>Reported!AX129</f>
        <v/>
      </c>
      <c r="AY50" s="509">
        <f>Reported!AY129</f>
        <v/>
      </c>
      <c r="AZ50" s="509">
        <f>Reported!AZ129</f>
        <v/>
      </c>
      <c r="BA50" s="509">
        <f>Reported!BA129</f>
        <v/>
      </c>
      <c r="BB50" s="509">
        <f>Reported!BB129</f>
        <v/>
      </c>
      <c r="BC50" s="509">
        <f>Reported!BC129</f>
        <v/>
      </c>
      <c r="BD50" s="509">
        <f>Reported!BD129</f>
        <v/>
      </c>
      <c r="BE50" s="509">
        <f>Reported!BE129</f>
        <v/>
      </c>
      <c r="BF50" s="509">
        <f>Reported!BF129</f>
        <v/>
      </c>
      <c r="BG50" s="509">
        <f>Reported!BG129</f>
        <v/>
      </c>
      <c r="BH50" s="509">
        <f>Reported!BH129</f>
        <v/>
      </c>
      <c r="BI50" s="509">
        <f>Reported!BI129</f>
        <v/>
      </c>
      <c r="BJ50" s="509">
        <f>Reported!BJ129</f>
        <v/>
      </c>
      <c r="BK50" s="509">
        <f>Reported!BK129</f>
        <v/>
      </c>
      <c r="BL50" s="509">
        <f>Reported!BL129</f>
        <v/>
      </c>
      <c r="BM50" s="509">
        <f>Reported!BM129</f>
        <v/>
      </c>
      <c r="BN50" s="509">
        <f>Reported!BN129</f>
        <v/>
      </c>
      <c r="BO50" s="509">
        <f>Reported!BO129</f>
        <v/>
      </c>
      <c r="BP50" s="509">
        <f>Reported!BP129</f>
        <v/>
      </c>
      <c r="BQ50" s="509">
        <f>Reported!BQ129</f>
        <v/>
      </c>
      <c r="BR50" s="509">
        <f>Reported!BR129</f>
        <v/>
      </c>
      <c r="BS50" s="517">
        <f>Assumption!BS161</f>
        <v/>
      </c>
      <c r="BT50" s="517">
        <f>Assumption!BT161</f>
        <v/>
      </c>
      <c r="BU50" s="517">
        <f>Assumption!BU161</f>
        <v/>
      </c>
      <c r="BV50" s="517">
        <f>Assumption!BV161</f>
        <v/>
      </c>
      <c r="BW50" s="517">
        <f>Assumption!BW161</f>
        <v/>
      </c>
      <c r="BX50" s="517">
        <f>Assumption!BX161</f>
        <v/>
      </c>
      <c r="BY50" s="517">
        <f>Assumption!BY161</f>
        <v/>
      </c>
      <c r="BZ50" s="517">
        <f>Assumption!BZ161</f>
        <v/>
      </c>
      <c r="CA50" s="517">
        <f>Assumption!CA161</f>
        <v/>
      </c>
      <c r="CB50" s="517">
        <f>Assumption!CB161</f>
        <v/>
      </c>
      <c r="CC50" s="517">
        <f>Assumption!CC161</f>
        <v/>
      </c>
      <c r="CD50" s="517">
        <f>Assumption!CD161</f>
        <v/>
      </c>
      <c r="CE50" s="517">
        <f>Assumption!CE161</f>
        <v/>
      </c>
      <c r="CF50" s="517">
        <f>Assumption!CF161</f>
        <v/>
      </c>
      <c r="CG50" s="517">
        <f>Assumption!CG161</f>
        <v/>
      </c>
      <c r="CH50" s="517">
        <f>Assumption!CH161</f>
        <v/>
      </c>
      <c r="CI50" s="517">
        <f>Assumption!CI161</f>
        <v/>
      </c>
      <c r="CJ50" s="517">
        <f>Assumption!CJ161</f>
        <v/>
      </c>
      <c r="CK50" s="517">
        <f>Assumption!CK161</f>
        <v/>
      </c>
    </row>
    <row r="51">
      <c r="A51" s="40" t="inlineStr">
        <is>
          <t>Total current assets</t>
        </is>
      </c>
      <c r="B51" s="133" t="n"/>
      <c r="C51" s="133" t="n"/>
      <c r="D51" s="133" t="n"/>
      <c r="E51" s="133" t="n"/>
      <c r="F51" s="133" t="n"/>
      <c r="G51" s="133" t="n"/>
      <c r="H51" s="133" t="n"/>
      <c r="I51" s="133" t="n"/>
      <c r="J51" s="133" t="n"/>
      <c r="K51" s="133" t="n"/>
      <c r="L51" s="133" t="n"/>
      <c r="M51" s="133" t="n"/>
      <c r="N51" s="671">
        <f>Reported!N130</f>
        <v/>
      </c>
      <c r="O51" s="671">
        <f>Reported!O130</f>
        <v/>
      </c>
      <c r="P51" s="671">
        <f>Reported!P130</f>
        <v/>
      </c>
      <c r="Q51" s="671">
        <f>Reported!Q130</f>
        <v/>
      </c>
      <c r="R51" s="671">
        <f>Reported!R130</f>
        <v/>
      </c>
      <c r="S51" s="671">
        <f>Reported!S130</f>
        <v/>
      </c>
      <c r="T51" s="671">
        <f>Reported!T130</f>
        <v/>
      </c>
      <c r="U51" s="671">
        <f>Reported!U130</f>
        <v/>
      </c>
      <c r="V51" s="671">
        <f>Reported!V130</f>
        <v/>
      </c>
      <c r="W51" s="671">
        <f>Reported!W130</f>
        <v/>
      </c>
      <c r="X51" s="671">
        <f>Reported!X130</f>
        <v/>
      </c>
      <c r="Y51" s="671">
        <f>Reported!Y130</f>
        <v/>
      </c>
      <c r="Z51" s="671">
        <f>Reported!Z130</f>
        <v/>
      </c>
      <c r="AA51" s="671">
        <f>Reported!AA130</f>
        <v/>
      </c>
      <c r="AB51" s="671">
        <f>Reported!AB130</f>
        <v/>
      </c>
      <c r="AC51" s="671">
        <f>Reported!AC130</f>
        <v/>
      </c>
      <c r="AD51" s="671">
        <f>Reported!AD130</f>
        <v/>
      </c>
      <c r="AE51" s="671">
        <f>Reported!AE130</f>
        <v/>
      </c>
      <c r="AF51" s="671">
        <f>Reported!AF130</f>
        <v/>
      </c>
      <c r="AG51" s="671">
        <f>Reported!AG130</f>
        <v/>
      </c>
      <c r="AH51" s="671">
        <f>Reported!AH130</f>
        <v/>
      </c>
      <c r="AI51" s="671">
        <f>Reported!AI130</f>
        <v/>
      </c>
      <c r="AJ51" s="671">
        <f>Reported!AJ130</f>
        <v/>
      </c>
      <c r="AK51" s="671">
        <f>Reported!AK130</f>
        <v/>
      </c>
      <c r="AL51" s="671">
        <f>Reported!AL130</f>
        <v/>
      </c>
      <c r="AM51" s="671">
        <f>Reported!AM130</f>
        <v/>
      </c>
      <c r="AN51" s="671">
        <f>Reported!AN130</f>
        <v/>
      </c>
      <c r="AO51" s="671">
        <f>Reported!AO130</f>
        <v/>
      </c>
      <c r="AP51" s="671">
        <f>Reported!AP130</f>
        <v/>
      </c>
      <c r="AQ51" s="671">
        <f>Reported!AQ130</f>
        <v/>
      </c>
      <c r="AR51" s="671">
        <f>Reported!AR130</f>
        <v/>
      </c>
      <c r="AS51" s="671">
        <f>Reported!AS130</f>
        <v/>
      </c>
      <c r="AT51" s="671">
        <f>Reported!AT130</f>
        <v/>
      </c>
      <c r="AU51" s="671">
        <f>Reported!AU130</f>
        <v/>
      </c>
      <c r="AV51" s="671">
        <f>Reported!AV130</f>
        <v/>
      </c>
      <c r="AW51" s="671">
        <f>Reported!AW130</f>
        <v/>
      </c>
      <c r="AX51" s="671">
        <f>Reported!AX130</f>
        <v/>
      </c>
      <c r="AY51" s="671">
        <f>Reported!AY130</f>
        <v/>
      </c>
      <c r="AZ51" s="671">
        <f>Reported!AZ130</f>
        <v/>
      </c>
      <c r="BA51" s="671">
        <f>Reported!BA130</f>
        <v/>
      </c>
      <c r="BB51" s="671">
        <f>Reported!BB130</f>
        <v/>
      </c>
      <c r="BC51" s="671">
        <f>Reported!BC130</f>
        <v/>
      </c>
      <c r="BD51" s="671">
        <f>Reported!BD130</f>
        <v/>
      </c>
      <c r="BE51" s="671">
        <f>Reported!BE130</f>
        <v/>
      </c>
      <c r="BF51" s="671">
        <f>Reported!BF130</f>
        <v/>
      </c>
      <c r="BG51" s="671">
        <f>Reported!BG130</f>
        <v/>
      </c>
      <c r="BH51" s="671">
        <f>Reported!BH130</f>
        <v/>
      </c>
      <c r="BI51" s="671">
        <f>Reported!BI130</f>
        <v/>
      </c>
      <c r="BJ51" s="671">
        <f>Reported!BJ130</f>
        <v/>
      </c>
      <c r="BK51" s="671">
        <f>Reported!BK130</f>
        <v/>
      </c>
      <c r="BL51" s="671">
        <f>Reported!BL130</f>
        <v/>
      </c>
      <c r="BM51" s="671">
        <f>Reported!BM130</f>
        <v/>
      </c>
      <c r="BN51" s="671">
        <f>Reported!BN130</f>
        <v/>
      </c>
      <c r="BO51" s="671">
        <f>Reported!BO130</f>
        <v/>
      </c>
      <c r="BP51" s="671">
        <f>Reported!BP130</f>
        <v/>
      </c>
      <c r="BQ51" s="671">
        <f>Reported!BQ130</f>
        <v/>
      </c>
      <c r="BR51" s="671">
        <f>Reported!BR130</f>
        <v/>
      </c>
      <c r="BS51" s="519">
        <f>SUM(BS44:BS50)</f>
        <v/>
      </c>
      <c r="BT51" s="519">
        <f>SUM(BT44:BT50)</f>
        <v/>
      </c>
      <c r="BU51" s="519">
        <f>SUM(BU44:BU50)</f>
        <v/>
      </c>
      <c r="BV51" s="519">
        <f>SUM(BV44:BV50)</f>
        <v/>
      </c>
      <c r="BW51" s="519">
        <f>SUM(BW44:BW50)</f>
        <v/>
      </c>
      <c r="BX51" s="519">
        <f>SUM(BX44:BX50)</f>
        <v/>
      </c>
      <c r="BY51" s="519">
        <f>SUM(BY44:BY50)</f>
        <v/>
      </c>
      <c r="BZ51" s="519">
        <f>SUM(BZ44:BZ50)</f>
        <v/>
      </c>
      <c r="CA51" s="519">
        <f>SUM(CA44:CA50)</f>
        <v/>
      </c>
      <c r="CB51" s="519">
        <f>SUM(CB44:CB50)</f>
        <v/>
      </c>
      <c r="CC51" s="519">
        <f>SUM(CC44:CC50)</f>
        <v/>
      </c>
      <c r="CD51" s="519">
        <f>SUM(CD44:CD50)</f>
        <v/>
      </c>
      <c r="CE51" s="519">
        <f>SUM(CE44:CE50)</f>
        <v/>
      </c>
      <c r="CF51" s="519">
        <f>SUM(CF44:CF50)</f>
        <v/>
      </c>
      <c r="CG51" s="519">
        <f>SUM(CG44:CG50)</f>
        <v/>
      </c>
      <c r="CH51" s="519">
        <f>SUM(CH44:CH50)</f>
        <v/>
      </c>
      <c r="CI51" s="519">
        <f>SUM(CI44:CI50)</f>
        <v/>
      </c>
      <c r="CJ51" s="519">
        <f>SUM(CJ44:CJ50)</f>
        <v/>
      </c>
      <c r="CK51" s="519">
        <f>SUM(CK44:CK50)</f>
        <v/>
      </c>
    </row>
    <row r="52">
      <c r="A52" s="74" t="inlineStr">
        <is>
          <t>Deferred income taxes, net</t>
        </is>
      </c>
      <c r="B52" s="145" t="n"/>
      <c r="C52" s="145" t="n"/>
      <c r="D52" s="145" t="n"/>
      <c r="E52" s="145" t="n"/>
      <c r="F52" s="145" t="n"/>
      <c r="G52" s="145" t="n"/>
      <c r="H52" s="145" t="n"/>
      <c r="I52" s="145" t="n"/>
      <c r="J52" s="145" t="n"/>
      <c r="K52" s="145" t="n"/>
      <c r="L52" s="145" t="n"/>
      <c r="M52" s="145" t="n"/>
      <c r="N52" s="509">
        <f>Reported!N131</f>
        <v/>
      </c>
      <c r="O52" s="509">
        <f>Reported!O131</f>
        <v/>
      </c>
      <c r="P52" s="509">
        <f>Reported!P131</f>
        <v/>
      </c>
      <c r="Q52" s="509">
        <f>Reported!Q131</f>
        <v/>
      </c>
      <c r="R52" s="509">
        <f>Reported!R131</f>
        <v/>
      </c>
      <c r="S52" s="509">
        <f>Reported!S131</f>
        <v/>
      </c>
      <c r="T52" s="509">
        <f>Reported!T131</f>
        <v/>
      </c>
      <c r="U52" s="509">
        <f>Reported!U131</f>
        <v/>
      </c>
      <c r="V52" s="509">
        <f>Reported!V131</f>
        <v/>
      </c>
      <c r="W52" s="509">
        <f>Reported!W131</f>
        <v/>
      </c>
      <c r="X52" s="509">
        <f>Reported!X131</f>
        <v/>
      </c>
      <c r="Y52" s="509">
        <f>Reported!Y131</f>
        <v/>
      </c>
      <c r="Z52" s="509">
        <f>Reported!Z131</f>
        <v/>
      </c>
      <c r="AA52" s="509">
        <f>Reported!AA131</f>
        <v/>
      </c>
      <c r="AB52" s="509">
        <f>Reported!AB131</f>
        <v/>
      </c>
      <c r="AC52" s="509">
        <f>Reported!AC131</f>
        <v/>
      </c>
      <c r="AD52" s="509">
        <f>Reported!AD131</f>
        <v/>
      </c>
      <c r="AE52" s="509">
        <f>Reported!AE131</f>
        <v/>
      </c>
      <c r="AF52" s="509">
        <f>Reported!AF131</f>
        <v/>
      </c>
      <c r="AG52" s="509">
        <f>Reported!AG131</f>
        <v/>
      </c>
      <c r="AH52" s="509">
        <f>Reported!AH131</f>
        <v/>
      </c>
      <c r="AI52" s="509">
        <f>Reported!AI131</f>
        <v/>
      </c>
      <c r="AJ52" s="509">
        <f>Reported!AJ131</f>
        <v/>
      </c>
      <c r="AK52" s="509">
        <f>Reported!AK131</f>
        <v/>
      </c>
      <c r="AL52" s="509">
        <f>Reported!AL131</f>
        <v/>
      </c>
      <c r="AM52" s="509">
        <f>Reported!AM131</f>
        <v/>
      </c>
      <c r="AN52" s="509">
        <f>Reported!AN131</f>
        <v/>
      </c>
      <c r="AO52" s="509">
        <f>Reported!AO131</f>
        <v/>
      </c>
      <c r="AP52" s="509">
        <f>Reported!AP131</f>
        <v/>
      </c>
      <c r="AQ52" s="509">
        <f>Reported!AQ131</f>
        <v/>
      </c>
      <c r="AR52" s="509">
        <f>Reported!AR131</f>
        <v/>
      </c>
      <c r="AS52" s="509">
        <f>Reported!AS131</f>
        <v/>
      </c>
      <c r="AT52" s="509">
        <f>Reported!AT131</f>
        <v/>
      </c>
      <c r="AU52" s="509">
        <f>Reported!AU131</f>
        <v/>
      </c>
      <c r="AV52" s="509">
        <f>Reported!AV131</f>
        <v/>
      </c>
      <c r="AW52" s="509">
        <f>Reported!AW131</f>
        <v/>
      </c>
      <c r="AX52" s="509">
        <f>Reported!AX131</f>
        <v/>
      </c>
      <c r="AY52" s="509">
        <f>Reported!AY131</f>
        <v/>
      </c>
      <c r="AZ52" s="509">
        <f>Reported!AZ131</f>
        <v/>
      </c>
      <c r="BA52" s="509">
        <f>Reported!BA131</f>
        <v/>
      </c>
      <c r="BB52" s="509">
        <f>Reported!BB131</f>
        <v/>
      </c>
      <c r="BC52" s="509">
        <f>Reported!BC131</f>
        <v/>
      </c>
      <c r="BD52" s="509">
        <f>Reported!BD131</f>
        <v/>
      </c>
      <c r="BE52" s="509">
        <f>Reported!BE131</f>
        <v/>
      </c>
      <c r="BF52" s="509">
        <f>Reported!BF131</f>
        <v/>
      </c>
      <c r="BG52" s="509">
        <f>Reported!BG131</f>
        <v/>
      </c>
      <c r="BH52" s="509">
        <f>Reported!BH131</f>
        <v/>
      </c>
      <c r="BI52" s="509">
        <f>Reported!BI131</f>
        <v/>
      </c>
      <c r="BJ52" s="509">
        <f>Reported!BJ131</f>
        <v/>
      </c>
      <c r="BK52" s="509">
        <f>Reported!BK131</f>
        <v/>
      </c>
      <c r="BL52" s="509">
        <f>Reported!BL131</f>
        <v/>
      </c>
      <c r="BM52" s="509">
        <f>Reported!BM131</f>
        <v/>
      </c>
      <c r="BN52" s="509">
        <f>Reported!BN131</f>
        <v/>
      </c>
      <c r="BO52" s="509">
        <f>Reported!BO131</f>
        <v/>
      </c>
      <c r="BP52" s="509">
        <f>Reported!BP131</f>
        <v/>
      </c>
      <c r="BQ52" s="509">
        <f>Reported!BQ131</f>
        <v/>
      </c>
      <c r="BR52" s="509">
        <f>Reported!BR131</f>
        <v/>
      </c>
      <c r="BS52" s="517">
        <f>Assumption!BS191</f>
        <v/>
      </c>
      <c r="BT52" s="517">
        <f>Assumption!BT191</f>
        <v/>
      </c>
      <c r="BU52" s="517">
        <f>Assumption!BU191</f>
        <v/>
      </c>
      <c r="BV52" s="517">
        <f>Assumption!BV191</f>
        <v/>
      </c>
      <c r="BW52" s="517">
        <f>Assumption!BW191</f>
        <v/>
      </c>
      <c r="BX52" s="517">
        <f>Assumption!BX191</f>
        <v/>
      </c>
      <c r="BY52" s="517">
        <f>Assumption!BY191</f>
        <v/>
      </c>
      <c r="BZ52" s="517">
        <f>Assumption!BZ191</f>
        <v/>
      </c>
      <c r="CA52" s="517">
        <f>Assumption!CA191</f>
        <v/>
      </c>
      <c r="CB52" s="517">
        <f>Assumption!CB191</f>
        <v/>
      </c>
      <c r="CC52" s="517">
        <f>Assumption!CC191</f>
        <v/>
      </c>
      <c r="CD52" s="517">
        <f>Assumption!CD191</f>
        <v/>
      </c>
      <c r="CE52" s="517">
        <f>Assumption!CE191</f>
        <v/>
      </c>
      <c r="CF52" s="517">
        <f>Assumption!CF191</f>
        <v/>
      </c>
      <c r="CG52" s="517">
        <f>Assumption!CG191</f>
        <v/>
      </c>
      <c r="CH52" s="517">
        <f>Assumption!CH191</f>
        <v/>
      </c>
      <c r="CI52" s="517">
        <f>Assumption!CI191</f>
        <v/>
      </c>
      <c r="CJ52" s="517">
        <f>Assumption!CJ191</f>
        <v/>
      </c>
      <c r="CK52" s="517">
        <f>Assumption!CK191</f>
        <v/>
      </c>
    </row>
    <row r="53">
      <c r="A53" s="74" t="inlineStr">
        <is>
          <t>Goodwill</t>
        </is>
      </c>
      <c r="B53" s="145" t="n"/>
      <c r="C53" s="145" t="n"/>
      <c r="D53" s="145" t="n"/>
      <c r="E53" s="145" t="n"/>
      <c r="F53" s="145" t="n"/>
      <c r="G53" s="145" t="n"/>
      <c r="H53" s="145" t="n"/>
      <c r="I53" s="145" t="n"/>
      <c r="J53" s="145" t="n"/>
      <c r="K53" s="145" t="n"/>
      <c r="L53" s="145" t="n"/>
      <c r="M53" s="145" t="n"/>
      <c r="N53" s="509">
        <f>Reported!N132</f>
        <v/>
      </c>
      <c r="O53" s="509">
        <f>Reported!O132</f>
        <v/>
      </c>
      <c r="P53" s="509">
        <f>Reported!P132</f>
        <v/>
      </c>
      <c r="Q53" s="509">
        <f>Reported!Q132</f>
        <v/>
      </c>
      <c r="R53" s="509">
        <f>Reported!R132</f>
        <v/>
      </c>
      <c r="S53" s="509">
        <f>Reported!S132</f>
        <v/>
      </c>
      <c r="T53" s="509">
        <f>Reported!T132</f>
        <v/>
      </c>
      <c r="U53" s="509">
        <f>Reported!U132</f>
        <v/>
      </c>
      <c r="V53" s="509">
        <f>Reported!V132</f>
        <v/>
      </c>
      <c r="W53" s="509">
        <f>Reported!W132</f>
        <v/>
      </c>
      <c r="X53" s="509">
        <f>Reported!X132</f>
        <v/>
      </c>
      <c r="Y53" s="509">
        <f>Reported!Y132</f>
        <v/>
      </c>
      <c r="Z53" s="509">
        <f>Reported!Z132</f>
        <v/>
      </c>
      <c r="AA53" s="509">
        <f>Reported!AA132</f>
        <v/>
      </c>
      <c r="AB53" s="509">
        <f>Reported!AB132</f>
        <v/>
      </c>
      <c r="AC53" s="509">
        <f>Reported!AC132</f>
        <v/>
      </c>
      <c r="AD53" s="509">
        <f>Reported!AD132</f>
        <v/>
      </c>
      <c r="AE53" s="509">
        <f>Reported!AE132</f>
        <v/>
      </c>
      <c r="AF53" s="509">
        <f>Reported!AF132</f>
        <v/>
      </c>
      <c r="AG53" s="509">
        <f>Reported!AG132</f>
        <v/>
      </c>
      <c r="AH53" s="509">
        <f>Reported!AH132</f>
        <v/>
      </c>
      <c r="AI53" s="509">
        <f>Reported!AI132</f>
        <v/>
      </c>
      <c r="AJ53" s="509">
        <f>Reported!AJ132</f>
        <v/>
      </c>
      <c r="AK53" s="509">
        <f>Reported!AK132</f>
        <v/>
      </c>
      <c r="AL53" s="509">
        <f>Reported!AL132</f>
        <v/>
      </c>
      <c r="AM53" s="509">
        <f>Reported!AM132</f>
        <v/>
      </c>
      <c r="AN53" s="509">
        <f>Reported!AN132</f>
        <v/>
      </c>
      <c r="AO53" s="509">
        <f>Reported!AO132</f>
        <v/>
      </c>
      <c r="AP53" s="509">
        <f>Reported!AP132</f>
        <v/>
      </c>
      <c r="AQ53" s="509">
        <f>Reported!AQ132</f>
        <v/>
      </c>
      <c r="AR53" s="509">
        <f>Reported!AR132</f>
        <v/>
      </c>
      <c r="AS53" s="509">
        <f>Reported!AS132</f>
        <v/>
      </c>
      <c r="AT53" s="509">
        <f>Reported!AT132</f>
        <v/>
      </c>
      <c r="AU53" s="509">
        <f>Reported!AU132</f>
        <v/>
      </c>
      <c r="AV53" s="509">
        <f>Reported!AV132</f>
        <v/>
      </c>
      <c r="AW53" s="509">
        <f>Reported!AW132</f>
        <v/>
      </c>
      <c r="AX53" s="509">
        <f>Reported!AX132</f>
        <v/>
      </c>
      <c r="AY53" s="509">
        <f>Reported!AY132</f>
        <v/>
      </c>
      <c r="AZ53" s="509">
        <f>Reported!AZ132</f>
        <v/>
      </c>
      <c r="BA53" s="509">
        <f>Reported!BA132</f>
        <v/>
      </c>
      <c r="BB53" s="509">
        <f>Reported!BB132</f>
        <v/>
      </c>
      <c r="BC53" s="509">
        <f>Reported!BC132</f>
        <v/>
      </c>
      <c r="BD53" s="509">
        <f>Reported!BD132</f>
        <v/>
      </c>
      <c r="BE53" s="509">
        <f>Reported!BE132</f>
        <v/>
      </c>
      <c r="BF53" s="509">
        <f>Reported!BF132</f>
        <v/>
      </c>
      <c r="BG53" s="509">
        <f>Reported!BG132</f>
        <v/>
      </c>
      <c r="BH53" s="509">
        <f>Reported!BH132</f>
        <v/>
      </c>
      <c r="BI53" s="509">
        <f>Reported!BI132</f>
        <v/>
      </c>
      <c r="BJ53" s="509">
        <f>Reported!BJ132</f>
        <v/>
      </c>
      <c r="BK53" s="509">
        <f>Reported!BK132</f>
        <v/>
      </c>
      <c r="BL53" s="509">
        <f>Reported!BL132</f>
        <v/>
      </c>
      <c r="BM53" s="509">
        <f>Reported!BM132</f>
        <v/>
      </c>
      <c r="BN53" s="509">
        <f>Reported!BN132</f>
        <v/>
      </c>
      <c r="BO53" s="509">
        <f>Reported!BO132</f>
        <v/>
      </c>
      <c r="BP53" s="509">
        <f>Reported!BP132</f>
        <v/>
      </c>
      <c r="BQ53" s="509">
        <f>Reported!BQ132</f>
        <v/>
      </c>
      <c r="BR53" s="509">
        <f>Reported!BR132</f>
        <v/>
      </c>
      <c r="BS53" s="517">
        <f>Assumption!BS194</f>
        <v/>
      </c>
      <c r="BT53" s="517">
        <f>Assumption!BT194</f>
        <v/>
      </c>
      <c r="BU53" s="517">
        <f>Assumption!BU194</f>
        <v/>
      </c>
      <c r="BV53" s="517">
        <f>Assumption!BV194</f>
        <v/>
      </c>
      <c r="BW53" s="517">
        <f>Assumption!BW194</f>
        <v/>
      </c>
      <c r="BX53" s="517">
        <f>Assumption!BX194</f>
        <v/>
      </c>
      <c r="BY53" s="517">
        <f>Assumption!BY194</f>
        <v/>
      </c>
      <c r="BZ53" s="517">
        <f>Assumption!BZ194</f>
        <v/>
      </c>
      <c r="CA53" s="517">
        <f>Assumption!CA194</f>
        <v/>
      </c>
      <c r="CB53" s="517">
        <f>Assumption!CB194</f>
        <v/>
      </c>
      <c r="CC53" s="517">
        <f>Assumption!CC194</f>
        <v/>
      </c>
      <c r="CD53" s="517">
        <f>Assumption!CD194</f>
        <v/>
      </c>
      <c r="CE53" s="517">
        <f>Assumption!CE194</f>
        <v/>
      </c>
      <c r="CF53" s="517">
        <f>Assumption!CF194</f>
        <v/>
      </c>
      <c r="CG53" s="517">
        <f>Assumption!CG194</f>
        <v/>
      </c>
      <c r="CH53" s="517">
        <f>Assumption!CH194</f>
        <v/>
      </c>
      <c r="CI53" s="517">
        <f>Assumption!CI194</f>
        <v/>
      </c>
      <c r="CJ53" s="517">
        <f>Assumption!CJ194</f>
        <v/>
      </c>
      <c r="CK53" s="517">
        <f>Assumption!CK194</f>
        <v/>
      </c>
    </row>
    <row r="54">
      <c r="A54" s="74" t="inlineStr">
        <is>
          <t>PP&amp;E and intangible assets, net</t>
        </is>
      </c>
      <c r="B54" s="145" t="n"/>
      <c r="C54" s="145" t="n"/>
      <c r="D54" s="145" t="n"/>
      <c r="E54" s="145" t="n"/>
      <c r="F54" s="145" t="n"/>
      <c r="G54" s="145" t="n"/>
      <c r="H54" s="145" t="n"/>
      <c r="I54" s="145" t="n"/>
      <c r="J54" s="145" t="n"/>
      <c r="K54" s="145" t="n"/>
      <c r="L54" s="145" t="n"/>
      <c r="M54" s="145" t="n"/>
      <c r="N54" s="143">
        <f>Reported!N133+Reported!N134</f>
        <v/>
      </c>
      <c r="O54" s="143">
        <f>Reported!O133+Reported!O134</f>
        <v/>
      </c>
      <c r="P54" s="143">
        <f>Reported!P133+Reported!P134</f>
        <v/>
      </c>
      <c r="Q54" s="143">
        <f>Reported!Q133+Reported!Q134</f>
        <v/>
      </c>
      <c r="R54" s="143">
        <f>Reported!R133+Reported!R134</f>
        <v/>
      </c>
      <c r="S54" s="143">
        <f>Reported!S133+Reported!S134</f>
        <v/>
      </c>
      <c r="T54" s="143">
        <f>Reported!T133+Reported!T134</f>
        <v/>
      </c>
      <c r="U54" s="143">
        <f>Reported!U133+Reported!U134</f>
        <v/>
      </c>
      <c r="V54" s="143">
        <f>Reported!V133+Reported!V134</f>
        <v/>
      </c>
      <c r="W54" s="143">
        <f>Reported!W133+Reported!W134</f>
        <v/>
      </c>
      <c r="X54" s="143">
        <f>Reported!X133+Reported!X134</f>
        <v/>
      </c>
      <c r="Y54" s="143">
        <f>Reported!Y133+Reported!Y134</f>
        <v/>
      </c>
      <c r="Z54" s="143">
        <f>Reported!Z133+Reported!Z134</f>
        <v/>
      </c>
      <c r="AA54" s="143">
        <f>Reported!AA133+Reported!AA134</f>
        <v/>
      </c>
      <c r="AB54" s="143">
        <f>Reported!AB133+Reported!AB134</f>
        <v/>
      </c>
      <c r="AC54" s="143">
        <f>Reported!AC133+Reported!AC134</f>
        <v/>
      </c>
      <c r="AD54" s="143">
        <f>Reported!AD133+Reported!AD134</f>
        <v/>
      </c>
      <c r="AE54" s="143">
        <f>Reported!AE133+Reported!AE134</f>
        <v/>
      </c>
      <c r="AF54" s="143">
        <f>Reported!AF133+Reported!AF134</f>
        <v/>
      </c>
      <c r="AG54" s="143">
        <f>Reported!AG133+Reported!AG134</f>
        <v/>
      </c>
      <c r="AH54" s="143">
        <f>Reported!AH133+Reported!AH134</f>
        <v/>
      </c>
      <c r="AI54" s="143">
        <f>Reported!AI133+Reported!AI134</f>
        <v/>
      </c>
      <c r="AJ54" s="143">
        <f>Reported!AJ133+Reported!AJ134</f>
        <v/>
      </c>
      <c r="AK54" s="143">
        <f>Reported!AK133+Reported!AK134</f>
        <v/>
      </c>
      <c r="AL54" s="143">
        <f>Reported!AL133+Reported!AL134</f>
        <v/>
      </c>
      <c r="AM54" s="143">
        <f>Reported!AM133+Reported!AM134</f>
        <v/>
      </c>
      <c r="AN54" s="143">
        <f>Reported!AN133+Reported!AN134</f>
        <v/>
      </c>
      <c r="AO54" s="143">
        <f>Reported!AO133+Reported!AO134</f>
        <v/>
      </c>
      <c r="AP54" s="143">
        <f>Reported!AP133+Reported!AP134</f>
        <v/>
      </c>
      <c r="AQ54" s="143">
        <f>Reported!AQ133+Reported!AQ134</f>
        <v/>
      </c>
      <c r="AR54" s="143">
        <f>Reported!AR133+Reported!AR134</f>
        <v/>
      </c>
      <c r="AS54" s="143">
        <f>Reported!AS133+Reported!AS134</f>
        <v/>
      </c>
      <c r="AT54" s="143">
        <f>Reported!AT133+Reported!AT134</f>
        <v/>
      </c>
      <c r="AU54" s="143">
        <f>Reported!AU133+Reported!AU134</f>
        <v/>
      </c>
      <c r="AV54" s="143">
        <f>Reported!AV133+Reported!AV134</f>
        <v/>
      </c>
      <c r="AW54" s="143">
        <f>Reported!AW133+Reported!AW134</f>
        <v/>
      </c>
      <c r="AX54" s="143">
        <f>Reported!AX133+Reported!AX134</f>
        <v/>
      </c>
      <c r="AY54" s="143">
        <f>Reported!AY133+Reported!AY134</f>
        <v/>
      </c>
      <c r="AZ54" s="143">
        <f>Reported!AZ133+Reported!AZ134</f>
        <v/>
      </c>
      <c r="BA54" s="143">
        <f>Reported!BA133+Reported!BA134</f>
        <v/>
      </c>
      <c r="BB54" s="143">
        <f>Reported!BB133+Reported!BB134</f>
        <v/>
      </c>
      <c r="BC54" s="143">
        <f>Reported!BC133+Reported!BC134</f>
        <v/>
      </c>
      <c r="BD54" s="143">
        <f>Reported!BD133+Reported!BD134</f>
        <v/>
      </c>
      <c r="BE54" s="143">
        <f>Reported!BE133+Reported!BE134</f>
        <v/>
      </c>
      <c r="BF54" s="143">
        <f>Reported!BF133+Reported!BF134</f>
        <v/>
      </c>
      <c r="BG54" s="143">
        <f>Reported!BG133+Reported!BG134</f>
        <v/>
      </c>
      <c r="BH54" s="143">
        <f>Reported!BH133+Reported!BH134</f>
        <v/>
      </c>
      <c r="BI54" s="143">
        <f>Reported!BI133+Reported!BI134</f>
        <v/>
      </c>
      <c r="BJ54" s="143">
        <f>Reported!BJ133+Reported!BJ134</f>
        <v/>
      </c>
      <c r="BK54" s="143">
        <f>Reported!BK133+Reported!BK134</f>
        <v/>
      </c>
      <c r="BL54" s="143">
        <f>Reported!BL133+Reported!BL134</f>
        <v/>
      </c>
      <c r="BM54" s="143">
        <f>Reported!BM133+Reported!BM134</f>
        <v/>
      </c>
      <c r="BN54" s="143">
        <f>Reported!BN133+Reported!BN134</f>
        <v/>
      </c>
      <c r="BO54" s="143">
        <f>Reported!BO133+Reported!BO134</f>
        <v/>
      </c>
      <c r="BP54" s="143">
        <f>Reported!BP133+Reported!BP134</f>
        <v/>
      </c>
      <c r="BQ54" s="143">
        <f>Reported!BQ133+Reported!BQ134</f>
        <v/>
      </c>
      <c r="BR54" s="143">
        <f>Reported!BR133+Reported!BR134</f>
        <v/>
      </c>
      <c r="BS54" s="517">
        <f>Assumption!BS180</f>
        <v/>
      </c>
      <c r="BT54" s="517">
        <f>Assumption!BT180</f>
        <v/>
      </c>
      <c r="BU54" s="517">
        <f>Assumption!BU180</f>
        <v/>
      </c>
      <c r="BV54" s="517">
        <f>Assumption!BV180</f>
        <v/>
      </c>
      <c r="BW54" s="517">
        <f>Assumption!BW180</f>
        <v/>
      </c>
      <c r="BX54" s="517">
        <f>Assumption!BX180</f>
        <v/>
      </c>
      <c r="BY54" s="517">
        <f>Assumption!BY180</f>
        <v/>
      </c>
      <c r="BZ54" s="517">
        <f>Assumption!BZ180</f>
        <v/>
      </c>
      <c r="CA54" s="517">
        <f>Assumption!CA180</f>
        <v/>
      </c>
      <c r="CB54" s="517">
        <f>Assumption!CB180</f>
        <v/>
      </c>
      <c r="CC54" s="517">
        <f>Assumption!CC180</f>
        <v/>
      </c>
      <c r="CD54" s="517">
        <f>Assumption!CD180</f>
        <v/>
      </c>
      <c r="CE54" s="517">
        <f>Assumption!CE180</f>
        <v/>
      </c>
      <c r="CF54" s="517">
        <f>Assumption!CF180</f>
        <v/>
      </c>
      <c r="CG54" s="517">
        <f>Assumption!CG180</f>
        <v/>
      </c>
      <c r="CH54" s="517">
        <f>Assumption!CH180</f>
        <v/>
      </c>
      <c r="CI54" s="517">
        <f>Assumption!CI180</f>
        <v/>
      </c>
      <c r="CJ54" s="517">
        <f>Assumption!CJ180</f>
        <v/>
      </c>
      <c r="CK54" s="517">
        <f>Assumption!CK180</f>
        <v/>
      </c>
    </row>
    <row r="55">
      <c r="A55" s="74" t="inlineStr">
        <is>
          <t>Other non-current assets</t>
        </is>
      </c>
      <c r="B55" s="145" t="n"/>
      <c r="C55" s="145" t="n"/>
      <c r="D55" s="145" t="n"/>
      <c r="E55" s="145" t="n"/>
      <c r="F55" s="145" t="n"/>
      <c r="G55" s="145" t="n"/>
      <c r="H55" s="145" t="n"/>
      <c r="I55" s="145" t="n"/>
      <c r="J55" s="145" t="n"/>
      <c r="K55" s="145" t="n"/>
      <c r="L55" s="145" t="n"/>
      <c r="M55" s="145" t="n"/>
      <c r="N55" s="509">
        <f>Reported!N135</f>
        <v/>
      </c>
      <c r="O55" s="509">
        <f>Reported!O135</f>
        <v/>
      </c>
      <c r="P55" s="509">
        <f>Reported!P135</f>
        <v/>
      </c>
      <c r="Q55" s="509">
        <f>Reported!Q135</f>
        <v/>
      </c>
      <c r="R55" s="509">
        <f>Reported!R135</f>
        <v/>
      </c>
      <c r="S55" s="509">
        <f>Reported!S135</f>
        <v/>
      </c>
      <c r="T55" s="509">
        <f>Reported!T135</f>
        <v/>
      </c>
      <c r="U55" s="509">
        <f>Reported!U135</f>
        <v/>
      </c>
      <c r="V55" s="509">
        <f>Reported!V135</f>
        <v/>
      </c>
      <c r="W55" s="509">
        <f>Reported!W135</f>
        <v/>
      </c>
      <c r="X55" s="509">
        <f>Reported!X135</f>
        <v/>
      </c>
      <c r="Y55" s="509">
        <f>Reported!Y135</f>
        <v/>
      </c>
      <c r="Z55" s="509">
        <f>Reported!Z135</f>
        <v/>
      </c>
      <c r="AA55" s="509">
        <f>Reported!AA135</f>
        <v/>
      </c>
      <c r="AB55" s="509">
        <f>Reported!AB135</f>
        <v/>
      </c>
      <c r="AC55" s="509">
        <f>Reported!AC135</f>
        <v/>
      </c>
      <c r="AD55" s="509">
        <f>Reported!AD135</f>
        <v/>
      </c>
      <c r="AE55" s="509">
        <f>Reported!AE135</f>
        <v/>
      </c>
      <c r="AF55" s="509">
        <f>Reported!AF135</f>
        <v/>
      </c>
      <c r="AG55" s="509">
        <f>Reported!AG135</f>
        <v/>
      </c>
      <c r="AH55" s="509">
        <f>Reported!AH135</f>
        <v/>
      </c>
      <c r="AI55" s="509">
        <f>Reported!AI135</f>
        <v/>
      </c>
      <c r="AJ55" s="509">
        <f>Reported!AJ135</f>
        <v/>
      </c>
      <c r="AK55" s="509">
        <f>Reported!AK135</f>
        <v/>
      </c>
      <c r="AL55" s="509">
        <f>Reported!AL135</f>
        <v/>
      </c>
      <c r="AM55" s="509">
        <f>Reported!AM135</f>
        <v/>
      </c>
      <c r="AN55" s="509">
        <f>Reported!AN135</f>
        <v/>
      </c>
      <c r="AO55" s="509">
        <f>Reported!AO135</f>
        <v/>
      </c>
      <c r="AP55" s="509">
        <f>Reported!AP135</f>
        <v/>
      </c>
      <c r="AQ55" s="509">
        <f>Reported!AQ135</f>
        <v/>
      </c>
      <c r="AR55" s="509">
        <f>Reported!AR135</f>
        <v/>
      </c>
      <c r="AS55" s="509">
        <f>Reported!AS135</f>
        <v/>
      </c>
      <c r="AT55" s="509">
        <f>Reported!AT135</f>
        <v/>
      </c>
      <c r="AU55" s="509">
        <f>Reported!AU135</f>
        <v/>
      </c>
      <c r="AV55" s="509">
        <f>Reported!AV135</f>
        <v/>
      </c>
      <c r="AW55" s="509">
        <f>Reported!AW135</f>
        <v/>
      </c>
      <c r="AX55" s="509">
        <f>Reported!AX135</f>
        <v/>
      </c>
      <c r="AY55" s="509">
        <f>Reported!AY135</f>
        <v/>
      </c>
      <c r="AZ55" s="509">
        <f>Reported!AZ135</f>
        <v/>
      </c>
      <c r="BA55" s="509">
        <f>Reported!BA135</f>
        <v/>
      </c>
      <c r="BB55" s="509">
        <f>Reported!BB135</f>
        <v/>
      </c>
      <c r="BC55" s="509">
        <f>Reported!BC135</f>
        <v/>
      </c>
      <c r="BD55" s="509">
        <f>Reported!BD135</f>
        <v/>
      </c>
      <c r="BE55" s="509">
        <f>Reported!BE135</f>
        <v/>
      </c>
      <c r="BF55" s="509">
        <f>Reported!BF135</f>
        <v/>
      </c>
      <c r="BG55" s="509">
        <f>Reported!BG135</f>
        <v/>
      </c>
      <c r="BH55" s="509">
        <f>Reported!BH135</f>
        <v/>
      </c>
      <c r="BI55" s="509">
        <f>Reported!BI135</f>
        <v/>
      </c>
      <c r="BJ55" s="509">
        <f>Reported!BJ135</f>
        <v/>
      </c>
      <c r="BK55" s="509">
        <f>Reported!BK135</f>
        <v/>
      </c>
      <c r="BL55" s="509">
        <f>Reported!BL135</f>
        <v/>
      </c>
      <c r="BM55" s="509">
        <f>Reported!BM135</f>
        <v/>
      </c>
      <c r="BN55" s="509">
        <f>Reported!BN135</f>
        <v/>
      </c>
      <c r="BO55" s="509">
        <f>Reported!BO135</f>
        <v/>
      </c>
      <c r="BP55" s="509">
        <f>Reported!BP135</f>
        <v/>
      </c>
      <c r="BQ55" s="509">
        <f>Reported!BQ135</f>
        <v/>
      </c>
      <c r="BR55" s="509">
        <f>Reported!BR135</f>
        <v/>
      </c>
      <c r="BS55" s="517">
        <f>Assumption!BS195</f>
        <v/>
      </c>
      <c r="BT55" s="517">
        <f>Assumption!BT195</f>
        <v/>
      </c>
      <c r="BU55" s="517">
        <f>Assumption!BU195</f>
        <v/>
      </c>
      <c r="BV55" s="517">
        <f>Assumption!BV195</f>
        <v/>
      </c>
      <c r="BW55" s="517">
        <f>Assumption!BW195</f>
        <v/>
      </c>
      <c r="BX55" s="517">
        <f>Assumption!BX195</f>
        <v/>
      </c>
      <c r="BY55" s="517">
        <f>Assumption!BY195</f>
        <v/>
      </c>
      <c r="BZ55" s="517">
        <f>Assumption!BZ195</f>
        <v/>
      </c>
      <c r="CA55" s="517">
        <f>Assumption!CA195</f>
        <v/>
      </c>
      <c r="CB55" s="517">
        <f>Assumption!CB195</f>
        <v/>
      </c>
      <c r="CC55" s="517">
        <f>Assumption!CC195</f>
        <v/>
      </c>
      <c r="CD55" s="517">
        <f>Assumption!CD195</f>
        <v/>
      </c>
      <c r="CE55" s="517">
        <f>Assumption!CE195</f>
        <v/>
      </c>
      <c r="CF55" s="517">
        <f>Assumption!CF195</f>
        <v/>
      </c>
      <c r="CG55" s="517">
        <f>Assumption!CG195</f>
        <v/>
      </c>
      <c r="CH55" s="517">
        <f>Assumption!CH195</f>
        <v/>
      </c>
      <c r="CI55" s="517">
        <f>Assumption!CI195</f>
        <v/>
      </c>
      <c r="CJ55" s="517">
        <f>Assumption!CJ195</f>
        <v/>
      </c>
      <c r="CK55" s="517">
        <f>Assumption!CK195</f>
        <v/>
      </c>
    </row>
    <row r="56">
      <c r="A56" s="22" t="inlineStr">
        <is>
          <t>Total assets</t>
        </is>
      </c>
      <c r="B56" s="133" t="n"/>
      <c r="C56" s="133" t="n"/>
      <c r="D56" s="133" t="n"/>
      <c r="E56" s="133" t="n"/>
      <c r="F56" s="133" t="n"/>
      <c r="G56" s="133" t="n"/>
      <c r="H56" s="133" t="n"/>
      <c r="I56" s="133" t="n"/>
      <c r="J56" s="133" t="n"/>
      <c r="K56" s="133" t="n"/>
      <c r="L56" s="133" t="n"/>
      <c r="M56" s="133" t="n"/>
      <c r="N56" s="671">
        <f>Reported!N136</f>
        <v/>
      </c>
      <c r="O56" s="671">
        <f>Reported!O136</f>
        <v/>
      </c>
      <c r="P56" s="671">
        <f>Reported!P136</f>
        <v/>
      </c>
      <c r="Q56" s="671">
        <f>Reported!Q136</f>
        <v/>
      </c>
      <c r="R56" s="671">
        <f>Reported!R136</f>
        <v/>
      </c>
      <c r="S56" s="671">
        <f>Reported!S136</f>
        <v/>
      </c>
      <c r="T56" s="671">
        <f>Reported!T136</f>
        <v/>
      </c>
      <c r="U56" s="671">
        <f>Reported!U136</f>
        <v/>
      </c>
      <c r="V56" s="671">
        <f>Reported!V136</f>
        <v/>
      </c>
      <c r="W56" s="671">
        <f>Reported!W136</f>
        <v/>
      </c>
      <c r="X56" s="671">
        <f>Reported!X136</f>
        <v/>
      </c>
      <c r="Y56" s="671">
        <f>Reported!Y136</f>
        <v/>
      </c>
      <c r="Z56" s="671">
        <f>Reported!Z136</f>
        <v/>
      </c>
      <c r="AA56" s="671">
        <f>Reported!AA136</f>
        <v/>
      </c>
      <c r="AB56" s="671">
        <f>Reported!AB136</f>
        <v/>
      </c>
      <c r="AC56" s="671">
        <f>Reported!AC136</f>
        <v/>
      </c>
      <c r="AD56" s="671">
        <f>Reported!AD136</f>
        <v/>
      </c>
      <c r="AE56" s="671">
        <f>Reported!AE136</f>
        <v/>
      </c>
      <c r="AF56" s="671">
        <f>Reported!AF136</f>
        <v/>
      </c>
      <c r="AG56" s="671">
        <f>Reported!AG136</f>
        <v/>
      </c>
      <c r="AH56" s="671">
        <f>Reported!AH136</f>
        <v/>
      </c>
      <c r="AI56" s="671">
        <f>Reported!AI136</f>
        <v/>
      </c>
      <c r="AJ56" s="671">
        <f>Reported!AJ136</f>
        <v/>
      </c>
      <c r="AK56" s="671">
        <f>Reported!AK136</f>
        <v/>
      </c>
      <c r="AL56" s="671">
        <f>Reported!AL136</f>
        <v/>
      </c>
      <c r="AM56" s="671">
        <f>Reported!AM136</f>
        <v/>
      </c>
      <c r="AN56" s="671">
        <f>Reported!AN136</f>
        <v/>
      </c>
      <c r="AO56" s="671">
        <f>Reported!AO136</f>
        <v/>
      </c>
      <c r="AP56" s="671">
        <f>Reported!AP136</f>
        <v/>
      </c>
      <c r="AQ56" s="671">
        <f>Reported!AQ136</f>
        <v/>
      </c>
      <c r="AR56" s="671">
        <f>Reported!AR136</f>
        <v/>
      </c>
      <c r="AS56" s="671">
        <f>Reported!AS136</f>
        <v/>
      </c>
      <c r="AT56" s="671">
        <f>Reported!AT136</f>
        <v/>
      </c>
      <c r="AU56" s="671">
        <f>Reported!AU136</f>
        <v/>
      </c>
      <c r="AV56" s="671">
        <f>Reported!AV136</f>
        <v/>
      </c>
      <c r="AW56" s="671">
        <f>Reported!AW136</f>
        <v/>
      </c>
      <c r="AX56" s="671">
        <f>Reported!AX136</f>
        <v/>
      </c>
      <c r="AY56" s="671">
        <f>Reported!AY136</f>
        <v/>
      </c>
      <c r="AZ56" s="671">
        <f>Reported!AZ136</f>
        <v/>
      </c>
      <c r="BA56" s="671">
        <f>Reported!BA136</f>
        <v/>
      </c>
      <c r="BB56" s="671">
        <f>Reported!BB136</f>
        <v/>
      </c>
      <c r="BC56" s="671">
        <f>Reported!BC136</f>
        <v/>
      </c>
      <c r="BD56" s="671">
        <f>Reported!BD136</f>
        <v/>
      </c>
      <c r="BE56" s="671">
        <f>Reported!BE136</f>
        <v/>
      </c>
      <c r="BF56" s="671">
        <f>Reported!BF136</f>
        <v/>
      </c>
      <c r="BG56" s="671">
        <f>Reported!BG136</f>
        <v/>
      </c>
      <c r="BH56" s="671">
        <f>Reported!BH136</f>
        <v/>
      </c>
      <c r="BI56" s="671">
        <f>Reported!BI136</f>
        <v/>
      </c>
      <c r="BJ56" s="671">
        <f>Reported!BJ136</f>
        <v/>
      </c>
      <c r="BK56" s="671">
        <f>Reported!BK136</f>
        <v/>
      </c>
      <c r="BL56" s="671">
        <f>Reported!BL136</f>
        <v/>
      </c>
      <c r="BM56" s="671">
        <f>Reported!BM136</f>
        <v/>
      </c>
      <c r="BN56" s="671">
        <f>Reported!BN136</f>
        <v/>
      </c>
      <c r="BO56" s="671">
        <f>Reported!BO136</f>
        <v/>
      </c>
      <c r="BP56" s="671">
        <f>Reported!BP136</f>
        <v/>
      </c>
      <c r="BQ56" s="671">
        <f>Reported!BQ136</f>
        <v/>
      </c>
      <c r="BR56" s="671">
        <f>Reported!BR136</f>
        <v/>
      </c>
      <c r="BS56" s="519">
        <f>SUM(BS51:BS55)</f>
        <v/>
      </c>
      <c r="BT56" s="519">
        <f>SUM(BT51:BT55)</f>
        <v/>
      </c>
      <c r="BU56" s="519">
        <f>SUM(BU51:BU55)</f>
        <v/>
      </c>
      <c r="BV56" s="519">
        <f>SUM(BV51:BV55)</f>
        <v/>
      </c>
      <c r="BW56" s="519">
        <f>SUM(BW51:BW55)</f>
        <v/>
      </c>
      <c r="BX56" s="519">
        <f>SUM(BX51:BX55)</f>
        <v/>
      </c>
      <c r="BY56" s="519">
        <f>SUM(BY51:BY55)</f>
        <v/>
      </c>
      <c r="BZ56" s="519">
        <f>SUM(BZ51:BZ55)</f>
        <v/>
      </c>
      <c r="CA56" s="519">
        <f>SUM(CA51:CA55)</f>
        <v/>
      </c>
      <c r="CB56" s="519">
        <f>SUM(CB51:CB55)</f>
        <v/>
      </c>
      <c r="CC56" s="519">
        <f>SUM(CC51:CC55)</f>
        <v/>
      </c>
      <c r="CD56" s="519">
        <f>SUM(CD51:CD55)</f>
        <v/>
      </c>
      <c r="CE56" s="519">
        <f>SUM(CE51:CE55)</f>
        <v/>
      </c>
      <c r="CF56" s="519">
        <f>SUM(CF51:CF55)</f>
        <v/>
      </c>
      <c r="CG56" s="519">
        <f>SUM(CG51:CG55)</f>
        <v/>
      </c>
      <c r="CH56" s="519">
        <f>SUM(CH51:CH55)</f>
        <v/>
      </c>
      <c r="CI56" s="519">
        <f>SUM(CI51:CI55)</f>
        <v/>
      </c>
      <c r="CJ56" s="519">
        <f>SUM(CJ51:CJ55)</f>
        <v/>
      </c>
      <c r="CK56" s="519">
        <f>SUM(CK51:CK55)</f>
        <v/>
      </c>
    </row>
    <row r="57">
      <c r="A57" s="455" t="n"/>
      <c r="B57" s="672" t="n"/>
      <c r="C57" s="672" t="n"/>
      <c r="D57" s="672" t="n"/>
      <c r="E57" s="672" t="n"/>
      <c r="F57" s="672" t="n"/>
      <c r="G57" s="672" t="n"/>
      <c r="H57" s="672" t="n"/>
      <c r="I57" s="672" t="n"/>
      <c r="J57" s="672" t="n"/>
      <c r="K57" s="672" t="n"/>
      <c r="L57" s="672" t="n"/>
      <c r="M57" s="672" t="n"/>
      <c r="N57" s="509" t="n"/>
      <c r="O57" s="509" t="n"/>
      <c r="P57" s="509" t="n"/>
      <c r="Q57" s="509" t="n"/>
      <c r="R57" s="509" t="n"/>
      <c r="S57" s="509" t="n"/>
      <c r="T57" s="509" t="n"/>
      <c r="U57" s="509" t="n"/>
      <c r="V57" s="509" t="n"/>
      <c r="W57" s="509" t="n"/>
      <c r="X57" s="509" t="n"/>
      <c r="Y57" s="509" t="n"/>
      <c r="Z57" s="509" t="n"/>
      <c r="AA57" s="509" t="n"/>
      <c r="AB57" s="509" t="n"/>
      <c r="AC57" s="509" t="n"/>
      <c r="AD57" s="509" t="n"/>
      <c r="AE57" s="509" t="n"/>
      <c r="AF57" s="509" t="n"/>
      <c r="AG57" s="509" t="n"/>
      <c r="AH57" s="509" t="n"/>
      <c r="AI57" s="509" t="n"/>
      <c r="AJ57" s="509" t="n"/>
      <c r="AK57" s="509" t="n"/>
      <c r="AL57" s="509" t="n"/>
      <c r="AM57" s="509" t="n"/>
      <c r="AN57" s="509" t="n"/>
      <c r="AO57" s="509" t="n"/>
      <c r="AP57" s="509" t="n"/>
      <c r="AQ57" s="509" t="n"/>
      <c r="AR57" s="509" t="n"/>
      <c r="AS57" s="509" t="n"/>
      <c r="AT57" s="509" t="n"/>
      <c r="AU57" s="509" t="n"/>
      <c r="AV57" s="509" t="n"/>
      <c r="AW57" s="509" t="n"/>
      <c r="AX57" s="509" t="n"/>
      <c r="AY57" s="509" t="n"/>
      <c r="AZ57" s="509" t="n"/>
      <c r="BA57" s="509" t="n"/>
      <c r="BB57" s="509" t="n"/>
      <c r="BC57" s="509" t="n"/>
      <c r="BD57" s="509" t="n"/>
      <c r="BE57" s="509" t="n"/>
      <c r="BF57" s="509" t="n"/>
      <c r="BG57" s="509" t="n"/>
      <c r="BH57" s="509" t="n"/>
      <c r="BI57" s="509" t="n"/>
      <c r="BJ57" s="509" t="n"/>
      <c r="BK57" s="509" t="n"/>
      <c r="BL57" s="509" t="n"/>
      <c r="BM57" s="509" t="n"/>
      <c r="BN57" s="509" t="n"/>
      <c r="BO57" s="509" t="n"/>
      <c r="BP57" s="509" t="n"/>
    </row>
    <row r="58">
      <c r="A58" s="74" t="inlineStr">
        <is>
          <t>Current portion of long-term debt</t>
        </is>
      </c>
      <c r="B58" s="145" t="n"/>
      <c r="C58" s="145" t="n"/>
      <c r="D58" s="145" t="n"/>
      <c r="E58" s="145" t="n"/>
      <c r="F58" s="145" t="n"/>
      <c r="G58" s="145" t="n"/>
      <c r="H58" s="145" t="n"/>
      <c r="I58" s="145" t="n"/>
      <c r="J58" s="145" t="n"/>
      <c r="K58" s="145" t="n"/>
      <c r="L58" s="145" t="n"/>
      <c r="M58" s="145" t="n"/>
      <c r="N58" s="509">
        <f>Reported!N138</f>
        <v/>
      </c>
      <c r="O58" s="509">
        <f>Reported!O138</f>
        <v/>
      </c>
      <c r="P58" s="509">
        <f>Reported!P138</f>
        <v/>
      </c>
      <c r="Q58" s="509">
        <f>Reported!Q138</f>
        <v/>
      </c>
      <c r="R58" s="509">
        <f>Reported!R138</f>
        <v/>
      </c>
      <c r="S58" s="509">
        <f>Reported!S138</f>
        <v/>
      </c>
      <c r="T58" s="509">
        <f>Reported!T138</f>
        <v/>
      </c>
      <c r="U58" s="509">
        <f>Reported!U138</f>
        <v/>
      </c>
      <c r="V58" s="509">
        <f>Reported!V138</f>
        <v/>
      </c>
      <c r="W58" s="509">
        <f>Reported!W138</f>
        <v/>
      </c>
      <c r="X58" s="509">
        <f>Reported!X138</f>
        <v/>
      </c>
      <c r="Y58" s="509">
        <f>Reported!Y138</f>
        <v/>
      </c>
      <c r="Z58" s="509">
        <f>Reported!Z138</f>
        <v/>
      </c>
      <c r="AA58" s="509">
        <f>Reported!AA138</f>
        <v/>
      </c>
      <c r="AB58" s="509">
        <f>Reported!AB138</f>
        <v/>
      </c>
      <c r="AC58" s="509">
        <f>Reported!AC138</f>
        <v/>
      </c>
      <c r="AD58" s="509">
        <f>Reported!AD138</f>
        <v/>
      </c>
      <c r="AE58" s="509">
        <f>Reported!AE138</f>
        <v/>
      </c>
      <c r="AF58" s="509">
        <f>Reported!AF138</f>
        <v/>
      </c>
      <c r="AG58" s="509">
        <f>Reported!AG138</f>
        <v/>
      </c>
      <c r="AH58" s="509">
        <f>Reported!AH138</f>
        <v/>
      </c>
      <c r="AI58" s="509">
        <f>Reported!AI138</f>
        <v/>
      </c>
      <c r="AJ58" s="509">
        <f>Reported!AJ138</f>
        <v/>
      </c>
      <c r="AK58" s="509">
        <f>Reported!AK138</f>
        <v/>
      </c>
      <c r="AL58" s="509">
        <f>Reported!AL138</f>
        <v/>
      </c>
      <c r="AM58" s="509">
        <f>Reported!AM138</f>
        <v/>
      </c>
      <c r="AN58" s="509">
        <f>Reported!AN138</f>
        <v/>
      </c>
      <c r="AO58" s="509">
        <f>Reported!AO138</f>
        <v/>
      </c>
      <c r="AP58" s="509">
        <f>Reported!AP138</f>
        <v/>
      </c>
      <c r="AQ58" s="509">
        <f>Reported!AQ138</f>
        <v/>
      </c>
      <c r="AR58" s="509">
        <f>Reported!AR138</f>
        <v/>
      </c>
      <c r="AS58" s="509">
        <f>Reported!AS138</f>
        <v/>
      </c>
      <c r="AT58" s="509">
        <f>Reported!AT138</f>
        <v/>
      </c>
      <c r="AU58" s="509">
        <f>Reported!AU138</f>
        <v/>
      </c>
      <c r="AV58" s="509">
        <f>Reported!AV138</f>
        <v/>
      </c>
      <c r="AW58" s="509">
        <f>Reported!AW138</f>
        <v/>
      </c>
      <c r="AX58" s="509">
        <f>Reported!AX138</f>
        <v/>
      </c>
      <c r="AY58" s="509">
        <f>Reported!AY138</f>
        <v/>
      </c>
      <c r="AZ58" s="509">
        <f>Reported!AZ138</f>
        <v/>
      </c>
      <c r="BA58" s="509">
        <f>Reported!BA138</f>
        <v/>
      </c>
      <c r="BB58" s="509">
        <f>Reported!BB138</f>
        <v/>
      </c>
      <c r="BC58" s="509">
        <f>Reported!BC138</f>
        <v/>
      </c>
      <c r="BD58" s="509">
        <f>Reported!BD138</f>
        <v/>
      </c>
      <c r="BE58" s="509">
        <f>Reported!BE138</f>
        <v/>
      </c>
      <c r="BF58" s="509">
        <f>Reported!BF138</f>
        <v/>
      </c>
      <c r="BG58" s="509">
        <f>Reported!BG138</f>
        <v/>
      </c>
      <c r="BH58" s="509">
        <f>Reported!BH138</f>
        <v/>
      </c>
      <c r="BI58" s="509">
        <f>Reported!BI138</f>
        <v/>
      </c>
      <c r="BJ58" s="509">
        <f>Reported!BJ138</f>
        <v/>
      </c>
      <c r="BK58" s="509">
        <f>Reported!BK138</f>
        <v/>
      </c>
      <c r="BL58" s="509">
        <f>Reported!BL138</f>
        <v/>
      </c>
      <c r="BM58" s="509">
        <f>Reported!BM138</f>
        <v/>
      </c>
      <c r="BN58" s="509">
        <f>Reported!BN138</f>
        <v/>
      </c>
      <c r="BO58" s="509">
        <f>Reported!BO138</f>
        <v/>
      </c>
      <c r="BP58" s="509">
        <f>Reported!BP138</f>
        <v/>
      </c>
      <c r="BQ58" s="509">
        <f>Reported!BQ138</f>
        <v/>
      </c>
      <c r="BR58" s="509">
        <f>Reported!BR138</f>
        <v/>
      </c>
      <c r="BS58" s="517">
        <f>Assumption!BS203</f>
        <v/>
      </c>
      <c r="BT58" s="517">
        <f>Assumption!BT203</f>
        <v/>
      </c>
      <c r="BU58" s="517">
        <f>Assumption!BU203</f>
        <v/>
      </c>
      <c r="BV58" s="517">
        <f>Assumption!BV203</f>
        <v/>
      </c>
      <c r="BW58" s="517">
        <f>Assumption!BW203</f>
        <v/>
      </c>
      <c r="BX58" s="517">
        <f>Assumption!BX203</f>
        <v/>
      </c>
      <c r="BY58" s="517">
        <f>Assumption!BY203</f>
        <v/>
      </c>
      <c r="BZ58" s="517">
        <f>Assumption!BZ203</f>
        <v/>
      </c>
      <c r="CA58" s="517">
        <f>Assumption!CA203</f>
        <v/>
      </c>
      <c r="CB58" s="517">
        <f>Assumption!CB203</f>
        <v/>
      </c>
      <c r="CC58" s="517">
        <f>Assumption!CC203</f>
        <v/>
      </c>
      <c r="CD58" s="517">
        <f>Assumption!CD203</f>
        <v/>
      </c>
      <c r="CE58" s="517">
        <f>Assumption!CE203</f>
        <v/>
      </c>
      <c r="CF58" s="517">
        <f>Assumption!CF203</f>
        <v/>
      </c>
      <c r="CG58" s="517">
        <f>Assumption!CG203</f>
        <v/>
      </c>
      <c r="CH58" s="517">
        <f>Assumption!CH203</f>
        <v/>
      </c>
      <c r="CI58" s="517">
        <f>Assumption!CI203</f>
        <v/>
      </c>
      <c r="CJ58" s="517">
        <f>Assumption!CJ203</f>
        <v/>
      </c>
      <c r="CK58" s="517">
        <f>Assumption!CK203</f>
        <v/>
      </c>
    </row>
    <row r="59">
      <c r="A59" s="74" t="inlineStr">
        <is>
          <t>Accounts payable</t>
        </is>
      </c>
      <c r="B59" s="145" t="n"/>
      <c r="C59" s="145" t="n"/>
      <c r="D59" s="145" t="n"/>
      <c r="E59" s="145" t="n"/>
      <c r="F59" s="145" t="n"/>
      <c r="G59" s="145" t="n"/>
      <c r="H59" s="145" t="n"/>
      <c r="I59" s="145" t="n"/>
      <c r="J59" s="145" t="n"/>
      <c r="K59" s="145" t="n"/>
      <c r="L59" s="145" t="n"/>
      <c r="M59" s="145" t="n"/>
      <c r="N59" s="509">
        <f>Reported!N139</f>
        <v/>
      </c>
      <c r="O59" s="509">
        <f>Reported!O139</f>
        <v/>
      </c>
      <c r="P59" s="509">
        <f>Reported!P139</f>
        <v/>
      </c>
      <c r="Q59" s="509">
        <f>Reported!Q139</f>
        <v/>
      </c>
      <c r="R59" s="509">
        <f>Reported!R139</f>
        <v/>
      </c>
      <c r="S59" s="509">
        <f>Reported!S139</f>
        <v/>
      </c>
      <c r="T59" s="509">
        <f>Reported!T139</f>
        <v/>
      </c>
      <c r="U59" s="509">
        <f>Reported!U139</f>
        <v/>
      </c>
      <c r="V59" s="509">
        <f>Reported!V139</f>
        <v/>
      </c>
      <c r="W59" s="509">
        <f>Reported!W139</f>
        <v/>
      </c>
      <c r="X59" s="509">
        <f>Reported!X139</f>
        <v/>
      </c>
      <c r="Y59" s="509">
        <f>Reported!Y139</f>
        <v/>
      </c>
      <c r="Z59" s="509">
        <f>Reported!Z139</f>
        <v/>
      </c>
      <c r="AA59" s="509">
        <f>Reported!AA139</f>
        <v/>
      </c>
      <c r="AB59" s="509">
        <f>Reported!AB139</f>
        <v/>
      </c>
      <c r="AC59" s="509">
        <f>Reported!AC139</f>
        <v/>
      </c>
      <c r="AD59" s="509">
        <f>Reported!AD139</f>
        <v/>
      </c>
      <c r="AE59" s="509">
        <f>Reported!AE139</f>
        <v/>
      </c>
      <c r="AF59" s="509">
        <f>Reported!AF139</f>
        <v/>
      </c>
      <c r="AG59" s="509">
        <f>Reported!AG139</f>
        <v/>
      </c>
      <c r="AH59" s="509">
        <f>Reported!AH139</f>
        <v/>
      </c>
      <c r="AI59" s="509">
        <f>Reported!AI139</f>
        <v/>
      </c>
      <c r="AJ59" s="509">
        <f>Reported!AJ139</f>
        <v/>
      </c>
      <c r="AK59" s="509">
        <f>Reported!AK139</f>
        <v/>
      </c>
      <c r="AL59" s="509">
        <f>Reported!AL139</f>
        <v/>
      </c>
      <c r="AM59" s="509">
        <f>Reported!AM139</f>
        <v/>
      </c>
      <c r="AN59" s="509">
        <f>Reported!AN139</f>
        <v/>
      </c>
      <c r="AO59" s="509">
        <f>Reported!AO139</f>
        <v/>
      </c>
      <c r="AP59" s="509">
        <f>Reported!AP139</f>
        <v/>
      </c>
      <c r="AQ59" s="509">
        <f>Reported!AQ139</f>
        <v/>
      </c>
      <c r="AR59" s="509">
        <f>Reported!AR139</f>
        <v/>
      </c>
      <c r="AS59" s="509">
        <f>Reported!AS139</f>
        <v/>
      </c>
      <c r="AT59" s="509">
        <f>Reported!AT139</f>
        <v/>
      </c>
      <c r="AU59" s="509">
        <f>Reported!AU139</f>
        <v/>
      </c>
      <c r="AV59" s="509">
        <f>Reported!AV139</f>
        <v/>
      </c>
      <c r="AW59" s="509">
        <f>Reported!AW139</f>
        <v/>
      </c>
      <c r="AX59" s="509">
        <f>Reported!AX139</f>
        <v/>
      </c>
      <c r="AY59" s="509">
        <f>Reported!AY139</f>
        <v/>
      </c>
      <c r="AZ59" s="509">
        <f>Reported!AZ139</f>
        <v/>
      </c>
      <c r="BA59" s="509">
        <f>Reported!BA139</f>
        <v/>
      </c>
      <c r="BB59" s="509">
        <f>Reported!BB139</f>
        <v/>
      </c>
      <c r="BC59" s="509">
        <f>Reported!BC139</f>
        <v/>
      </c>
      <c r="BD59" s="509">
        <f>Reported!BD139</f>
        <v/>
      </c>
      <c r="BE59" s="509">
        <f>Reported!BE139</f>
        <v/>
      </c>
      <c r="BF59" s="509">
        <f>Reported!BF139</f>
        <v/>
      </c>
      <c r="BG59" s="509">
        <f>Reported!BG139</f>
        <v/>
      </c>
      <c r="BH59" s="509">
        <f>Reported!BH139</f>
        <v/>
      </c>
      <c r="BI59" s="509">
        <f>Reported!BI139</f>
        <v/>
      </c>
      <c r="BJ59" s="509">
        <f>Reported!BJ139</f>
        <v/>
      </c>
      <c r="BK59" s="509">
        <f>Reported!BK139</f>
        <v/>
      </c>
      <c r="BL59" s="509">
        <f>Reported!BL139</f>
        <v/>
      </c>
      <c r="BM59" s="509">
        <f>Reported!BM139</f>
        <v/>
      </c>
      <c r="BN59" s="509">
        <f>Reported!BN139</f>
        <v/>
      </c>
      <c r="BO59" s="509">
        <f>Reported!BO139</f>
        <v/>
      </c>
      <c r="BP59" s="509">
        <f>Reported!BP139</f>
        <v/>
      </c>
      <c r="BQ59" s="509">
        <f>Reported!BQ139</f>
        <v/>
      </c>
      <c r="BR59" s="509">
        <f>Reported!BR139</f>
        <v/>
      </c>
      <c r="BS59" s="517">
        <f>Assumption!BS164</f>
        <v/>
      </c>
      <c r="BT59" s="517">
        <f>Assumption!BT164</f>
        <v/>
      </c>
      <c r="BU59" s="517">
        <f>Assumption!BU164</f>
        <v/>
      </c>
      <c r="BV59" s="517">
        <f>Assumption!BV164</f>
        <v/>
      </c>
      <c r="BW59" s="517">
        <f>Assumption!BW164</f>
        <v/>
      </c>
      <c r="BX59" s="517">
        <f>Assumption!BX164</f>
        <v/>
      </c>
      <c r="BY59" s="517">
        <f>Assumption!BY164</f>
        <v/>
      </c>
      <c r="BZ59" s="517">
        <f>Assumption!BZ164</f>
        <v/>
      </c>
      <c r="CA59" s="517">
        <f>Assumption!CA164</f>
        <v/>
      </c>
      <c r="CB59" s="517">
        <f>Assumption!CB164</f>
        <v/>
      </c>
      <c r="CC59" s="517">
        <f>Assumption!CC164</f>
        <v/>
      </c>
      <c r="CD59" s="517">
        <f>Assumption!CD164</f>
        <v/>
      </c>
      <c r="CE59" s="517">
        <f>Assumption!CE164</f>
        <v/>
      </c>
      <c r="CF59" s="517">
        <f>Assumption!CF164</f>
        <v/>
      </c>
      <c r="CG59" s="517">
        <f>Assumption!CG164</f>
        <v/>
      </c>
      <c r="CH59" s="517">
        <f>Assumption!CH164</f>
        <v/>
      </c>
      <c r="CI59" s="517">
        <f>Assumption!CI164</f>
        <v/>
      </c>
      <c r="CJ59" s="517">
        <f>Assumption!CJ164</f>
        <v/>
      </c>
      <c r="CK59" s="517">
        <f>Assumption!CK164</f>
        <v/>
      </c>
    </row>
    <row r="60">
      <c r="A60" s="74" t="inlineStr">
        <is>
          <t>Accrued expenses and other liabilities</t>
        </is>
      </c>
      <c r="B60" s="145" t="n"/>
      <c r="C60" s="145" t="n"/>
      <c r="D60" s="145" t="n"/>
      <c r="E60" s="145" t="n"/>
      <c r="F60" s="145" t="n"/>
      <c r="G60" s="145" t="n"/>
      <c r="H60" s="145" t="n"/>
      <c r="I60" s="145" t="n"/>
      <c r="J60" s="145" t="n"/>
      <c r="K60" s="145" t="n"/>
      <c r="L60" s="145" t="n"/>
      <c r="M60" s="145" t="n"/>
      <c r="N60" s="509">
        <f>Reported!N140</f>
        <v/>
      </c>
      <c r="O60" s="509">
        <f>Reported!O140</f>
        <v/>
      </c>
      <c r="P60" s="509">
        <f>Reported!P140</f>
        <v/>
      </c>
      <c r="Q60" s="509">
        <f>Reported!Q140</f>
        <v/>
      </c>
      <c r="R60" s="509">
        <f>Reported!R140</f>
        <v/>
      </c>
      <c r="S60" s="509">
        <f>Reported!S140</f>
        <v/>
      </c>
      <c r="T60" s="509">
        <f>Reported!T140</f>
        <v/>
      </c>
      <c r="U60" s="509">
        <f>Reported!U140</f>
        <v/>
      </c>
      <c r="V60" s="509">
        <f>Reported!V140</f>
        <v/>
      </c>
      <c r="W60" s="509">
        <f>Reported!W140</f>
        <v/>
      </c>
      <c r="X60" s="509">
        <f>Reported!X140</f>
        <v/>
      </c>
      <c r="Y60" s="509">
        <f>Reported!Y140</f>
        <v/>
      </c>
      <c r="Z60" s="509">
        <f>Reported!Z140</f>
        <v/>
      </c>
      <c r="AA60" s="509">
        <f>Reported!AA140</f>
        <v/>
      </c>
      <c r="AB60" s="509">
        <f>Reported!AB140</f>
        <v/>
      </c>
      <c r="AC60" s="509">
        <f>Reported!AC140</f>
        <v/>
      </c>
      <c r="AD60" s="509">
        <f>Reported!AD140</f>
        <v/>
      </c>
      <c r="AE60" s="509">
        <f>Reported!AE140</f>
        <v/>
      </c>
      <c r="AF60" s="509">
        <f>Reported!AF140</f>
        <v/>
      </c>
      <c r="AG60" s="509">
        <f>Reported!AG140</f>
        <v/>
      </c>
      <c r="AH60" s="509">
        <f>Reported!AH140</f>
        <v/>
      </c>
      <c r="AI60" s="509">
        <f>Reported!AI140</f>
        <v/>
      </c>
      <c r="AJ60" s="509">
        <f>Reported!AJ140</f>
        <v/>
      </c>
      <c r="AK60" s="509">
        <f>Reported!AK140</f>
        <v/>
      </c>
      <c r="AL60" s="509">
        <f>Reported!AL140</f>
        <v/>
      </c>
      <c r="AM60" s="509">
        <f>Reported!AM140</f>
        <v/>
      </c>
      <c r="AN60" s="509">
        <f>Reported!AN140</f>
        <v/>
      </c>
      <c r="AO60" s="509">
        <f>Reported!AO140</f>
        <v/>
      </c>
      <c r="AP60" s="509">
        <f>Reported!AP140</f>
        <v/>
      </c>
      <c r="AQ60" s="509">
        <f>Reported!AQ140</f>
        <v/>
      </c>
      <c r="AR60" s="509">
        <f>Reported!AR140</f>
        <v/>
      </c>
      <c r="AS60" s="509">
        <f>Reported!AS140</f>
        <v/>
      </c>
      <c r="AT60" s="509">
        <f>Reported!AT140</f>
        <v/>
      </c>
      <c r="AU60" s="509">
        <f>Reported!AU140</f>
        <v/>
      </c>
      <c r="AV60" s="509">
        <f>Reported!AV140</f>
        <v/>
      </c>
      <c r="AW60" s="509">
        <f>Reported!AW140</f>
        <v/>
      </c>
      <c r="AX60" s="509">
        <f>Reported!AX140</f>
        <v/>
      </c>
      <c r="AY60" s="509">
        <f>Reported!AY140</f>
        <v/>
      </c>
      <c r="AZ60" s="509">
        <f>Reported!AZ140</f>
        <v/>
      </c>
      <c r="BA60" s="509">
        <f>Reported!BA140</f>
        <v/>
      </c>
      <c r="BB60" s="509">
        <f>Reported!BB140</f>
        <v/>
      </c>
      <c r="BC60" s="509">
        <f>Reported!BC140</f>
        <v/>
      </c>
      <c r="BD60" s="509">
        <f>Reported!BD140</f>
        <v/>
      </c>
      <c r="BE60" s="509">
        <f>Reported!BE140</f>
        <v/>
      </c>
      <c r="BF60" s="509">
        <f>Reported!BF140</f>
        <v/>
      </c>
      <c r="BG60" s="509">
        <f>Reported!BG140</f>
        <v/>
      </c>
      <c r="BH60" s="509">
        <f>Reported!BH140</f>
        <v/>
      </c>
      <c r="BI60" s="509">
        <f>Reported!BI140</f>
        <v/>
      </c>
      <c r="BJ60" s="509">
        <f>Reported!BJ140</f>
        <v/>
      </c>
      <c r="BK60" s="509">
        <f>Reported!BK140</f>
        <v/>
      </c>
      <c r="BL60" s="509">
        <f>Reported!BL140</f>
        <v/>
      </c>
      <c r="BM60" s="509">
        <f>Reported!BM140</f>
        <v/>
      </c>
      <c r="BN60" s="509">
        <f>Reported!BN140</f>
        <v/>
      </c>
      <c r="BO60" s="509">
        <f>Reported!BO140</f>
        <v/>
      </c>
      <c r="BP60" s="509">
        <f>Reported!BP140</f>
        <v/>
      </c>
      <c r="BQ60" s="509">
        <f>Reported!BQ140</f>
        <v/>
      </c>
      <c r="BR60" s="509">
        <f>Reported!BR140</f>
        <v/>
      </c>
      <c r="BS60" s="517">
        <f>Assumption!BS165</f>
        <v/>
      </c>
      <c r="BT60" s="517">
        <f>Assumption!BT165</f>
        <v/>
      </c>
      <c r="BU60" s="517">
        <f>Assumption!BU165</f>
        <v/>
      </c>
      <c r="BV60" s="517">
        <f>Assumption!BV165</f>
        <v/>
      </c>
      <c r="BW60" s="517">
        <f>Assumption!BW165</f>
        <v/>
      </c>
      <c r="BX60" s="517">
        <f>Assumption!BX165</f>
        <v/>
      </c>
      <c r="BY60" s="517">
        <f>Assumption!BY165</f>
        <v/>
      </c>
      <c r="BZ60" s="517">
        <f>Assumption!BZ165</f>
        <v/>
      </c>
      <c r="CA60" s="517">
        <f>Assumption!CA165</f>
        <v/>
      </c>
      <c r="CB60" s="517">
        <f>Assumption!CB165</f>
        <v/>
      </c>
      <c r="CC60" s="517">
        <f>Assumption!CC165</f>
        <v/>
      </c>
      <c r="CD60" s="517">
        <f>Assumption!CD165</f>
        <v/>
      </c>
      <c r="CE60" s="517">
        <f>Assumption!CE165</f>
        <v/>
      </c>
      <c r="CF60" s="517">
        <f>Assumption!CF165</f>
        <v/>
      </c>
      <c r="CG60" s="517">
        <f>Assumption!CG165</f>
        <v/>
      </c>
      <c r="CH60" s="517">
        <f>Assumption!CH165</f>
        <v/>
      </c>
      <c r="CI60" s="517">
        <f>Assumption!CI165</f>
        <v/>
      </c>
      <c r="CJ60" s="517">
        <f>Assumption!CJ165</f>
        <v/>
      </c>
      <c r="CK60" s="517">
        <f>Assumption!CK165</f>
        <v/>
      </c>
    </row>
    <row r="61">
      <c r="A61" s="74" t="inlineStr">
        <is>
          <t>Income taxes payable</t>
        </is>
      </c>
      <c r="B61" s="145" t="n"/>
      <c r="C61" s="145" t="n"/>
      <c r="D61" s="145" t="n"/>
      <c r="E61" s="145" t="n"/>
      <c r="F61" s="145" t="n"/>
      <c r="G61" s="145" t="n"/>
      <c r="H61" s="145" t="n"/>
      <c r="I61" s="145" t="n"/>
      <c r="J61" s="145" t="n"/>
      <c r="K61" s="145" t="n"/>
      <c r="L61" s="145" t="n"/>
      <c r="M61" s="145" t="n"/>
      <c r="N61" s="509">
        <f>Reported!N141</f>
        <v/>
      </c>
      <c r="O61" s="509">
        <f>Reported!O141</f>
        <v/>
      </c>
      <c r="P61" s="509">
        <f>Reported!P141</f>
        <v/>
      </c>
      <c r="Q61" s="509">
        <f>Reported!Q141</f>
        <v/>
      </c>
      <c r="R61" s="509">
        <f>Reported!R141</f>
        <v/>
      </c>
      <c r="S61" s="509">
        <f>Reported!S141</f>
        <v/>
      </c>
      <c r="T61" s="509">
        <f>Reported!T141</f>
        <v/>
      </c>
      <c r="U61" s="509">
        <f>Reported!U141</f>
        <v/>
      </c>
      <c r="V61" s="509">
        <f>Reported!V141</f>
        <v/>
      </c>
      <c r="W61" s="509">
        <f>Reported!W141</f>
        <v/>
      </c>
      <c r="X61" s="509">
        <f>Reported!X141</f>
        <v/>
      </c>
      <c r="Y61" s="509">
        <f>Reported!Y141</f>
        <v/>
      </c>
      <c r="Z61" s="509">
        <f>Reported!Z141</f>
        <v/>
      </c>
      <c r="AA61" s="509">
        <f>Reported!AA141</f>
        <v/>
      </c>
      <c r="AB61" s="509">
        <f>Reported!AB141</f>
        <v/>
      </c>
      <c r="AC61" s="509">
        <f>Reported!AC141</f>
        <v/>
      </c>
      <c r="AD61" s="509">
        <f>Reported!AD141</f>
        <v/>
      </c>
      <c r="AE61" s="509">
        <f>Reported!AE141</f>
        <v/>
      </c>
      <c r="AF61" s="509">
        <f>Reported!AF141</f>
        <v/>
      </c>
      <c r="AG61" s="509">
        <f>Reported!AG141</f>
        <v/>
      </c>
      <c r="AH61" s="509">
        <f>Reported!AH141</f>
        <v/>
      </c>
      <c r="AI61" s="509">
        <f>Reported!AI141</f>
        <v/>
      </c>
      <c r="AJ61" s="509">
        <f>Reported!AJ141</f>
        <v/>
      </c>
      <c r="AK61" s="509">
        <f>Reported!AK141</f>
        <v/>
      </c>
      <c r="AL61" s="509">
        <f>Reported!AL141</f>
        <v/>
      </c>
      <c r="AM61" s="509">
        <f>Reported!AM141</f>
        <v/>
      </c>
      <c r="AN61" s="509">
        <f>Reported!AN141</f>
        <v/>
      </c>
      <c r="AO61" s="509">
        <f>Reported!AO141</f>
        <v/>
      </c>
      <c r="AP61" s="509">
        <f>Reported!AP141</f>
        <v/>
      </c>
      <c r="AQ61" s="509">
        <f>Reported!AQ141</f>
        <v/>
      </c>
      <c r="AR61" s="509">
        <f>Reported!AR141</f>
        <v/>
      </c>
      <c r="AS61" s="509">
        <f>Reported!AS141</f>
        <v/>
      </c>
      <c r="AT61" s="509">
        <f>Reported!AT141</f>
        <v/>
      </c>
      <c r="AU61" s="509">
        <f>Reported!AU141</f>
        <v/>
      </c>
      <c r="AV61" s="509">
        <f>Reported!AV141</f>
        <v/>
      </c>
      <c r="AW61" s="509">
        <f>Reported!AW141</f>
        <v/>
      </c>
      <c r="AX61" s="509">
        <f>Reported!AX141</f>
        <v/>
      </c>
      <c r="AY61" s="509">
        <f>Reported!AY141</f>
        <v/>
      </c>
      <c r="AZ61" s="509">
        <f>Reported!AZ141</f>
        <v/>
      </c>
      <c r="BA61" s="509">
        <f>Reported!BA141</f>
        <v/>
      </c>
      <c r="BB61" s="509">
        <f>Reported!BB141</f>
        <v/>
      </c>
      <c r="BC61" s="509">
        <f>Reported!BC141</f>
        <v/>
      </c>
      <c r="BD61" s="509">
        <f>Reported!BD141</f>
        <v/>
      </c>
      <c r="BE61" s="509">
        <f>Reported!BE141</f>
        <v/>
      </c>
      <c r="BF61" s="509">
        <f>Reported!BF141</f>
        <v/>
      </c>
      <c r="BG61" s="509">
        <f>Reported!BG141</f>
        <v/>
      </c>
      <c r="BH61" s="509">
        <f>Reported!BH141</f>
        <v/>
      </c>
      <c r="BI61" s="509">
        <f>Reported!BI141</f>
        <v/>
      </c>
      <c r="BJ61" s="509">
        <f>Reported!BJ141</f>
        <v/>
      </c>
      <c r="BK61" s="509">
        <f>Reported!BK141</f>
        <v/>
      </c>
      <c r="BL61" s="509">
        <f>Reported!BL141</f>
        <v/>
      </c>
      <c r="BM61" s="509">
        <f>Reported!BM141</f>
        <v/>
      </c>
      <c r="BN61" s="509">
        <f>Reported!BN141</f>
        <v/>
      </c>
      <c r="BO61" s="509">
        <f>Reported!BO141</f>
        <v/>
      </c>
      <c r="BP61" s="509">
        <f>Reported!BP141</f>
        <v/>
      </c>
      <c r="BQ61" s="509">
        <f>Reported!BQ141</f>
        <v/>
      </c>
      <c r="BR61" s="509">
        <f>Reported!BR141</f>
        <v/>
      </c>
      <c r="BS61" s="517">
        <f>Assumption!BS166</f>
        <v/>
      </c>
      <c r="BT61" s="517">
        <f>Assumption!BT166</f>
        <v/>
      </c>
      <c r="BU61" s="517">
        <f>Assumption!BU166</f>
        <v/>
      </c>
      <c r="BV61" s="517">
        <f>Assumption!BV166</f>
        <v/>
      </c>
      <c r="BW61" s="517">
        <f>Assumption!BW166</f>
        <v/>
      </c>
      <c r="BX61" s="517">
        <f>Assumption!BX166</f>
        <v/>
      </c>
      <c r="BY61" s="517">
        <f>Assumption!BY166</f>
        <v/>
      </c>
      <c r="BZ61" s="517">
        <f>Assumption!BZ166</f>
        <v/>
      </c>
      <c r="CA61" s="517">
        <f>Assumption!CA166</f>
        <v/>
      </c>
      <c r="CB61" s="517">
        <f>Assumption!CB166</f>
        <v/>
      </c>
      <c r="CC61" s="517">
        <f>Assumption!CC166</f>
        <v/>
      </c>
      <c r="CD61" s="517">
        <f>Assumption!CD166</f>
        <v/>
      </c>
      <c r="CE61" s="517">
        <f>Assumption!CE166</f>
        <v/>
      </c>
      <c r="CF61" s="517">
        <f>Assumption!CF166</f>
        <v/>
      </c>
      <c r="CG61" s="517">
        <f>Assumption!CG166</f>
        <v/>
      </c>
      <c r="CH61" s="517">
        <f>Assumption!CH166</f>
        <v/>
      </c>
      <c r="CI61" s="517">
        <f>Assumption!CI166</f>
        <v/>
      </c>
      <c r="CJ61" s="517">
        <f>Assumption!CJ166</f>
        <v/>
      </c>
      <c r="CK61" s="517">
        <f>Assumption!CK166</f>
        <v/>
      </c>
    </row>
    <row r="62">
      <c r="A62" s="74" t="inlineStr">
        <is>
          <t>Other current liabilities</t>
        </is>
      </c>
      <c r="B62" s="145" t="n"/>
      <c r="C62" s="145" t="n"/>
      <c r="D62" s="145" t="n"/>
      <c r="E62" s="145" t="n"/>
      <c r="F62" s="145" t="n"/>
      <c r="G62" s="145" t="n"/>
      <c r="H62" s="145" t="n"/>
      <c r="I62" s="145" t="n"/>
      <c r="J62" s="145" t="n"/>
      <c r="K62" s="145" t="n"/>
      <c r="L62" s="145" t="n"/>
      <c r="M62" s="145" t="n"/>
      <c r="N62" s="509">
        <f>Reported!N142</f>
        <v/>
      </c>
      <c r="O62" s="509">
        <f>Reported!O142</f>
        <v/>
      </c>
      <c r="P62" s="509">
        <f>Reported!P142</f>
        <v/>
      </c>
      <c r="Q62" s="509">
        <f>Reported!Q142</f>
        <v/>
      </c>
      <c r="R62" s="509">
        <f>Reported!R142</f>
        <v/>
      </c>
      <c r="S62" s="509">
        <f>Reported!S142</f>
        <v/>
      </c>
      <c r="T62" s="509">
        <f>Reported!T142</f>
        <v/>
      </c>
      <c r="U62" s="509">
        <f>Reported!U142</f>
        <v/>
      </c>
      <c r="V62" s="509">
        <f>Reported!V142</f>
        <v/>
      </c>
      <c r="W62" s="509">
        <f>Reported!W142</f>
        <v/>
      </c>
      <c r="X62" s="509">
        <f>Reported!X142</f>
        <v/>
      </c>
      <c r="Y62" s="509">
        <f>Reported!Y142</f>
        <v/>
      </c>
      <c r="Z62" s="509">
        <f>Reported!Z142</f>
        <v/>
      </c>
      <c r="AA62" s="509">
        <f>Reported!AA142</f>
        <v/>
      </c>
      <c r="AB62" s="509">
        <f>Reported!AB142</f>
        <v/>
      </c>
      <c r="AC62" s="509">
        <f>Reported!AC142</f>
        <v/>
      </c>
      <c r="AD62" s="509">
        <f>Reported!AD142</f>
        <v/>
      </c>
      <c r="AE62" s="509">
        <f>Reported!AE142</f>
        <v/>
      </c>
      <c r="AF62" s="509">
        <f>Reported!AF142</f>
        <v/>
      </c>
      <c r="AG62" s="509">
        <f>Reported!AG142</f>
        <v/>
      </c>
      <c r="AH62" s="509">
        <f>Reported!AH142</f>
        <v/>
      </c>
      <c r="AI62" s="509">
        <f>Reported!AI142</f>
        <v/>
      </c>
      <c r="AJ62" s="509">
        <f>Reported!AJ142</f>
        <v/>
      </c>
      <c r="AK62" s="509">
        <f>Reported!AK142</f>
        <v/>
      </c>
      <c r="AL62" s="509">
        <f>Reported!AL142</f>
        <v/>
      </c>
      <c r="AM62" s="509">
        <f>Reported!AM142</f>
        <v/>
      </c>
      <c r="AN62" s="509">
        <f>Reported!AN142</f>
        <v/>
      </c>
      <c r="AO62" s="509">
        <f>Reported!AO142</f>
        <v/>
      </c>
      <c r="AP62" s="509">
        <f>Reported!AP142</f>
        <v/>
      </c>
      <c r="AQ62" s="509">
        <f>Reported!AQ142</f>
        <v/>
      </c>
      <c r="AR62" s="509">
        <f>Reported!AR142</f>
        <v/>
      </c>
      <c r="AS62" s="509">
        <f>Reported!AS142</f>
        <v/>
      </c>
      <c r="AT62" s="509">
        <f>Reported!AT142</f>
        <v/>
      </c>
      <c r="AU62" s="509">
        <f>Reported!AU142</f>
        <v/>
      </c>
      <c r="AV62" s="509">
        <f>Reported!AV142</f>
        <v/>
      </c>
      <c r="AW62" s="509">
        <f>Reported!AW142</f>
        <v/>
      </c>
      <c r="AX62" s="509">
        <f>Reported!AX142</f>
        <v/>
      </c>
      <c r="AY62" s="509">
        <f>Reported!AY142</f>
        <v/>
      </c>
      <c r="AZ62" s="509">
        <f>Reported!AZ142</f>
        <v/>
      </c>
      <c r="BA62" s="509">
        <f>Reported!BA142</f>
        <v/>
      </c>
      <c r="BB62" s="509">
        <f>Reported!BB142</f>
        <v/>
      </c>
      <c r="BC62" s="509">
        <f>Reported!BC142</f>
        <v/>
      </c>
      <c r="BD62" s="509">
        <f>Reported!BD142</f>
        <v/>
      </c>
      <c r="BE62" s="509">
        <f>Reported!BE142</f>
        <v/>
      </c>
      <c r="BF62" s="509">
        <f>Reported!BF142</f>
        <v/>
      </c>
      <c r="BG62" s="509">
        <f>Reported!BG142</f>
        <v/>
      </c>
      <c r="BH62" s="509">
        <f>Reported!BH142</f>
        <v/>
      </c>
      <c r="BI62" s="509">
        <f>Reported!BI142</f>
        <v/>
      </c>
      <c r="BJ62" s="509">
        <f>Reported!BJ142</f>
        <v/>
      </c>
      <c r="BK62" s="509">
        <f>Reported!BK142</f>
        <v/>
      </c>
      <c r="BL62" s="509">
        <f>Reported!BL142</f>
        <v/>
      </c>
      <c r="BM62" s="509">
        <f>Reported!BM142</f>
        <v/>
      </c>
      <c r="BN62" s="509">
        <f>Reported!BN142</f>
        <v/>
      </c>
      <c r="BO62" s="509">
        <f>Reported!BO142</f>
        <v/>
      </c>
      <c r="BP62" s="509">
        <f>Reported!BP142</f>
        <v/>
      </c>
      <c r="BQ62" s="509">
        <f>Reported!BQ142</f>
        <v/>
      </c>
      <c r="BR62" s="509">
        <f>Reported!BR142</f>
        <v/>
      </c>
      <c r="BS62" s="517">
        <f>Assumption!BS167</f>
        <v/>
      </c>
      <c r="BT62" s="517">
        <f>Assumption!BT167</f>
        <v/>
      </c>
      <c r="BU62" s="517">
        <f>Assumption!BU167</f>
        <v/>
      </c>
      <c r="BV62" s="517">
        <f>Assumption!BV167</f>
        <v/>
      </c>
      <c r="BW62" s="517">
        <f>Assumption!BW167</f>
        <v/>
      </c>
      <c r="BX62" s="517">
        <f>Assumption!BX167</f>
        <v/>
      </c>
      <c r="BY62" s="517">
        <f>Assumption!BY167</f>
        <v/>
      </c>
      <c r="BZ62" s="517">
        <f>Assumption!BZ167</f>
        <v/>
      </c>
      <c r="CA62" s="517">
        <f>Assumption!CA167</f>
        <v/>
      </c>
      <c r="CB62" s="517">
        <f>Assumption!CB167</f>
        <v/>
      </c>
      <c r="CC62" s="517">
        <f>Assumption!CC167</f>
        <v/>
      </c>
      <c r="CD62" s="517">
        <f>Assumption!CD167</f>
        <v/>
      </c>
      <c r="CE62" s="517">
        <f>Assumption!CE167</f>
        <v/>
      </c>
      <c r="CF62" s="517">
        <f>Assumption!CF167</f>
        <v/>
      </c>
      <c r="CG62" s="517">
        <f>Assumption!CG167</f>
        <v/>
      </c>
      <c r="CH62" s="517">
        <f>Assumption!CH167</f>
        <v/>
      </c>
      <c r="CI62" s="517">
        <f>Assumption!CI167</f>
        <v/>
      </c>
      <c r="CJ62" s="517">
        <f>Assumption!CJ167</f>
        <v/>
      </c>
      <c r="CK62" s="517">
        <f>Assumption!CK167</f>
        <v/>
      </c>
    </row>
    <row r="63">
      <c r="A63" s="22" t="inlineStr">
        <is>
          <t>Total current liabilities</t>
        </is>
      </c>
      <c r="B63" s="133" t="n"/>
      <c r="C63" s="133" t="n"/>
      <c r="D63" s="133" t="n"/>
      <c r="E63" s="133" t="n"/>
      <c r="F63" s="133" t="n"/>
      <c r="G63" s="133" t="n"/>
      <c r="H63" s="133" t="n"/>
      <c r="I63" s="133" t="n"/>
      <c r="J63" s="133" t="n"/>
      <c r="K63" s="133" t="n"/>
      <c r="L63" s="133" t="n"/>
      <c r="M63" s="133" t="n"/>
      <c r="N63" s="671">
        <f>Reported!N143</f>
        <v/>
      </c>
      <c r="O63" s="671">
        <f>Reported!O143</f>
        <v/>
      </c>
      <c r="P63" s="671">
        <f>Reported!P143</f>
        <v/>
      </c>
      <c r="Q63" s="671">
        <f>Reported!Q143</f>
        <v/>
      </c>
      <c r="R63" s="671">
        <f>Reported!R143</f>
        <v/>
      </c>
      <c r="S63" s="671">
        <f>Reported!S143</f>
        <v/>
      </c>
      <c r="T63" s="671">
        <f>Reported!T143</f>
        <v/>
      </c>
      <c r="U63" s="671">
        <f>Reported!U143</f>
        <v/>
      </c>
      <c r="V63" s="671">
        <f>Reported!V143</f>
        <v/>
      </c>
      <c r="W63" s="671">
        <f>Reported!W143</f>
        <v/>
      </c>
      <c r="X63" s="671">
        <f>Reported!X143</f>
        <v/>
      </c>
      <c r="Y63" s="671">
        <f>Reported!Y143</f>
        <v/>
      </c>
      <c r="Z63" s="671">
        <f>Reported!Z143</f>
        <v/>
      </c>
      <c r="AA63" s="671">
        <f>Reported!AA143</f>
        <v/>
      </c>
      <c r="AB63" s="671">
        <f>Reported!AB143</f>
        <v/>
      </c>
      <c r="AC63" s="671">
        <f>Reported!AC143</f>
        <v/>
      </c>
      <c r="AD63" s="671">
        <f>Reported!AD143</f>
        <v/>
      </c>
      <c r="AE63" s="671">
        <f>Reported!AE143</f>
        <v/>
      </c>
      <c r="AF63" s="671">
        <f>Reported!AF143</f>
        <v/>
      </c>
      <c r="AG63" s="671">
        <f>Reported!AG143</f>
        <v/>
      </c>
      <c r="AH63" s="671">
        <f>Reported!AH143</f>
        <v/>
      </c>
      <c r="AI63" s="671">
        <f>Reported!AI143</f>
        <v/>
      </c>
      <c r="AJ63" s="671">
        <f>Reported!AJ143</f>
        <v/>
      </c>
      <c r="AK63" s="671">
        <f>Reported!AK143</f>
        <v/>
      </c>
      <c r="AL63" s="671">
        <f>Reported!AL143</f>
        <v/>
      </c>
      <c r="AM63" s="671">
        <f>Reported!AM143</f>
        <v/>
      </c>
      <c r="AN63" s="671">
        <f>Reported!AN143</f>
        <v/>
      </c>
      <c r="AO63" s="671">
        <f>Reported!AO143</f>
        <v/>
      </c>
      <c r="AP63" s="671">
        <f>Reported!AP143</f>
        <v/>
      </c>
      <c r="AQ63" s="671">
        <f>Reported!AQ143</f>
        <v/>
      </c>
      <c r="AR63" s="671">
        <f>Reported!AR143</f>
        <v/>
      </c>
      <c r="AS63" s="671">
        <f>Reported!AS143</f>
        <v/>
      </c>
      <c r="AT63" s="671">
        <f>Reported!AT143</f>
        <v/>
      </c>
      <c r="AU63" s="671">
        <f>Reported!AU143</f>
        <v/>
      </c>
      <c r="AV63" s="671">
        <f>Reported!AV143</f>
        <v/>
      </c>
      <c r="AW63" s="671">
        <f>Reported!AW143</f>
        <v/>
      </c>
      <c r="AX63" s="671">
        <f>Reported!AX143</f>
        <v/>
      </c>
      <c r="AY63" s="671">
        <f>Reported!AY143</f>
        <v/>
      </c>
      <c r="AZ63" s="671">
        <f>Reported!AZ143</f>
        <v/>
      </c>
      <c r="BA63" s="671">
        <f>Reported!BA143</f>
        <v/>
      </c>
      <c r="BB63" s="671">
        <f>Reported!BB143</f>
        <v/>
      </c>
      <c r="BC63" s="671">
        <f>Reported!BC143</f>
        <v/>
      </c>
      <c r="BD63" s="671">
        <f>Reported!BD143</f>
        <v/>
      </c>
      <c r="BE63" s="671">
        <f>Reported!BE143</f>
        <v/>
      </c>
      <c r="BF63" s="671">
        <f>Reported!BF143</f>
        <v/>
      </c>
      <c r="BG63" s="671">
        <f>Reported!BG143</f>
        <v/>
      </c>
      <c r="BH63" s="671">
        <f>Reported!BH143</f>
        <v/>
      </c>
      <c r="BI63" s="671">
        <f>Reported!BI143</f>
        <v/>
      </c>
      <c r="BJ63" s="671">
        <f>Reported!BJ143</f>
        <v/>
      </c>
      <c r="BK63" s="671">
        <f>Reported!BK143</f>
        <v/>
      </c>
      <c r="BL63" s="671">
        <f>Reported!BL143</f>
        <v/>
      </c>
      <c r="BM63" s="671">
        <f>Reported!BM143</f>
        <v/>
      </c>
      <c r="BN63" s="671">
        <f>Reported!BN143</f>
        <v/>
      </c>
      <c r="BO63" s="671">
        <f>Reported!BO143</f>
        <v/>
      </c>
      <c r="BP63" s="671">
        <f>Reported!BP143</f>
        <v/>
      </c>
      <c r="BQ63" s="671">
        <f>Reported!BQ143</f>
        <v/>
      </c>
      <c r="BR63" s="671">
        <f>Reported!BR143</f>
        <v/>
      </c>
      <c r="BS63" s="519">
        <f>SUM(BS58:BS62)</f>
        <v/>
      </c>
      <c r="BT63" s="519">
        <f>SUM(BT58:BT62)</f>
        <v/>
      </c>
      <c r="BU63" s="519">
        <f>SUM(BU58:BU62)</f>
        <v/>
      </c>
      <c r="BV63" s="519">
        <f>SUM(BV58:BV62)</f>
        <v/>
      </c>
      <c r="BW63" s="519">
        <f>SUM(BW58:BW62)</f>
        <v/>
      </c>
      <c r="BX63" s="519">
        <f>SUM(BX58:BX62)</f>
        <v/>
      </c>
      <c r="BY63" s="519">
        <f>SUM(BY58:BY62)</f>
        <v/>
      </c>
      <c r="BZ63" s="519">
        <f>SUM(BZ58:BZ62)</f>
        <v/>
      </c>
      <c r="CA63" s="519">
        <f>SUM(CA58:CA62)</f>
        <v/>
      </c>
      <c r="CB63" s="519">
        <f>SUM(CB58:CB62)</f>
        <v/>
      </c>
      <c r="CC63" s="519">
        <f>SUM(CC58:CC62)</f>
        <v/>
      </c>
      <c r="CD63" s="519">
        <f>SUM(CD58:CD62)</f>
        <v/>
      </c>
      <c r="CE63" s="519">
        <f>SUM(CE58:CE62)</f>
        <v/>
      </c>
      <c r="CF63" s="519">
        <f>SUM(CF58:CF62)</f>
        <v/>
      </c>
      <c r="CG63" s="519">
        <f>SUM(CG58:CG62)</f>
        <v/>
      </c>
      <c r="CH63" s="519">
        <f>SUM(CH58:CH62)</f>
        <v/>
      </c>
      <c r="CI63" s="519">
        <f>SUM(CI58:CI62)</f>
        <v/>
      </c>
      <c r="CJ63" s="519">
        <f>SUM(CJ58:CJ62)</f>
        <v/>
      </c>
      <c r="CK63" s="519">
        <f>SUM(CK58:CK62)</f>
        <v/>
      </c>
    </row>
    <row r="64">
      <c r="A64" s="74" t="inlineStr">
        <is>
          <t>Deferred income taxes and other non-current liabilities</t>
        </is>
      </c>
      <c r="B64" s="145" t="n"/>
      <c r="C64" s="145" t="n"/>
      <c r="D64" s="145" t="n"/>
      <c r="E64" s="145" t="n"/>
      <c r="F64" s="145" t="n"/>
      <c r="G64" s="145" t="n"/>
      <c r="H64" s="145" t="n"/>
      <c r="I64" s="145" t="n"/>
      <c r="J64" s="145" t="n"/>
      <c r="K64" s="145" t="n"/>
      <c r="L64" s="145" t="n"/>
      <c r="M64" s="145" t="n"/>
      <c r="N64" s="509">
        <f>Reported!N144</f>
        <v/>
      </c>
      <c r="O64" s="509">
        <f>Reported!O144</f>
        <v/>
      </c>
      <c r="P64" s="509">
        <f>Reported!P144</f>
        <v/>
      </c>
      <c r="Q64" s="509">
        <f>Reported!Q144</f>
        <v/>
      </c>
      <c r="R64" s="509">
        <f>Reported!R144</f>
        <v/>
      </c>
      <c r="S64" s="509">
        <f>Reported!S144</f>
        <v/>
      </c>
      <c r="T64" s="509">
        <f>Reported!T144</f>
        <v/>
      </c>
      <c r="U64" s="509">
        <f>Reported!U144</f>
        <v/>
      </c>
      <c r="V64" s="509">
        <f>Reported!V144</f>
        <v/>
      </c>
      <c r="W64" s="509">
        <f>Reported!W144</f>
        <v/>
      </c>
      <c r="X64" s="509">
        <f>Reported!X144</f>
        <v/>
      </c>
      <c r="Y64" s="509">
        <f>Reported!Y144</f>
        <v/>
      </c>
      <c r="Z64" s="509">
        <f>Reported!Z144</f>
        <v/>
      </c>
      <c r="AA64" s="509">
        <f>Reported!AA144</f>
        <v/>
      </c>
      <c r="AB64" s="509">
        <f>Reported!AB144</f>
        <v/>
      </c>
      <c r="AC64" s="509">
        <f>Reported!AC144</f>
        <v/>
      </c>
      <c r="AD64" s="509">
        <f>Reported!AD144</f>
        <v/>
      </c>
      <c r="AE64" s="509">
        <f>Reported!AE144</f>
        <v/>
      </c>
      <c r="AF64" s="509">
        <f>Reported!AF144</f>
        <v/>
      </c>
      <c r="AG64" s="509">
        <f>Reported!AG144</f>
        <v/>
      </c>
      <c r="AH64" s="509">
        <f>Reported!AH144</f>
        <v/>
      </c>
      <c r="AI64" s="509">
        <f>Reported!AI144</f>
        <v/>
      </c>
      <c r="AJ64" s="509">
        <f>Reported!AJ144</f>
        <v/>
      </c>
      <c r="AK64" s="509">
        <f>Reported!AK144</f>
        <v/>
      </c>
      <c r="AL64" s="509">
        <f>Reported!AL144</f>
        <v/>
      </c>
      <c r="AM64" s="509">
        <f>Reported!AM144</f>
        <v/>
      </c>
      <c r="AN64" s="509">
        <f>Reported!AN144</f>
        <v/>
      </c>
      <c r="AO64" s="509">
        <f>Reported!AO144</f>
        <v/>
      </c>
      <c r="AP64" s="509">
        <f>Reported!AP144</f>
        <v/>
      </c>
      <c r="AQ64" s="509">
        <f>Reported!AQ144</f>
        <v/>
      </c>
      <c r="AR64" s="509">
        <f>Reported!AR144</f>
        <v/>
      </c>
      <c r="AS64" s="509">
        <f>Reported!AS144</f>
        <v/>
      </c>
      <c r="AT64" s="509">
        <f>Reported!AT144</f>
        <v/>
      </c>
      <c r="AU64" s="509">
        <f>Reported!AU144</f>
        <v/>
      </c>
      <c r="AV64" s="509">
        <f>Reported!AV144</f>
        <v/>
      </c>
      <c r="AW64" s="509">
        <f>Reported!AW144</f>
        <v/>
      </c>
      <c r="AX64" s="509">
        <f>Reported!AX144</f>
        <v/>
      </c>
      <c r="AY64" s="509">
        <f>Reported!AY144</f>
        <v/>
      </c>
      <c r="AZ64" s="509">
        <f>Reported!AZ144</f>
        <v/>
      </c>
      <c r="BA64" s="509">
        <f>Reported!BA144</f>
        <v/>
      </c>
      <c r="BB64" s="509">
        <f>Reported!BB144</f>
        <v/>
      </c>
      <c r="BC64" s="509">
        <f>Reported!BC144</f>
        <v/>
      </c>
      <c r="BD64" s="509">
        <f>Reported!BD144</f>
        <v/>
      </c>
      <c r="BE64" s="509">
        <f>Reported!BE144</f>
        <v/>
      </c>
      <c r="BF64" s="509">
        <f>Reported!BF144</f>
        <v/>
      </c>
      <c r="BG64" s="509">
        <f>Reported!BG144</f>
        <v/>
      </c>
      <c r="BH64" s="509">
        <f>Reported!BH144</f>
        <v/>
      </c>
      <c r="BI64" s="509">
        <f>Reported!BI144</f>
        <v/>
      </c>
      <c r="BJ64" s="509">
        <f>Reported!BJ144</f>
        <v/>
      </c>
      <c r="BK64" s="509">
        <f>Reported!BK144</f>
        <v/>
      </c>
      <c r="BL64" s="509">
        <f>Reported!BL144</f>
        <v/>
      </c>
      <c r="BM64" s="509">
        <f>Reported!BM144</f>
        <v/>
      </c>
      <c r="BN64" s="509">
        <f>Reported!BN144</f>
        <v/>
      </c>
      <c r="BO64" s="509">
        <f>Reported!BO144</f>
        <v/>
      </c>
      <c r="BP64" s="509">
        <f>Reported!BP144</f>
        <v/>
      </c>
      <c r="BQ64" s="509">
        <f>Reported!BQ144</f>
        <v/>
      </c>
      <c r="BR64" s="509">
        <f>Reported!BR144</f>
        <v/>
      </c>
      <c r="BS64" s="517">
        <f>Assumption!BS199</f>
        <v/>
      </c>
      <c r="BT64" s="517">
        <f>Assumption!BT199</f>
        <v/>
      </c>
      <c r="BU64" s="517">
        <f>Assumption!BU199</f>
        <v/>
      </c>
      <c r="BV64" s="517">
        <f>Assumption!BV199</f>
        <v/>
      </c>
      <c r="BW64" s="517">
        <f>Assumption!BW199</f>
        <v/>
      </c>
      <c r="BX64" s="517">
        <f>Assumption!BX199</f>
        <v/>
      </c>
      <c r="BY64" s="517">
        <f>Assumption!BY199</f>
        <v/>
      </c>
      <c r="BZ64" s="517">
        <f>Assumption!BZ199</f>
        <v/>
      </c>
      <c r="CA64" s="517">
        <f>Assumption!CA199</f>
        <v/>
      </c>
      <c r="CB64" s="517">
        <f>Assumption!CB199</f>
        <v/>
      </c>
      <c r="CC64" s="517">
        <f>Assumption!CC199</f>
        <v/>
      </c>
      <c r="CD64" s="517">
        <f>Assumption!CD199</f>
        <v/>
      </c>
      <c r="CE64" s="517">
        <f>Assumption!CE199</f>
        <v/>
      </c>
      <c r="CF64" s="517">
        <f>Assumption!CF199</f>
        <v/>
      </c>
      <c r="CG64" s="517">
        <f>Assumption!CG199</f>
        <v/>
      </c>
      <c r="CH64" s="517">
        <f>Assumption!CH199</f>
        <v/>
      </c>
      <c r="CI64" s="517">
        <f>Assumption!CI199</f>
        <v/>
      </c>
      <c r="CJ64" s="517">
        <f>Assumption!CJ199</f>
        <v/>
      </c>
      <c r="CK64" s="517">
        <f>Assumption!CK199</f>
        <v/>
      </c>
    </row>
    <row r="65">
      <c r="A65" s="74" t="inlineStr">
        <is>
          <t>Long-term debt, net of current portion</t>
        </is>
      </c>
      <c r="B65" s="145" t="n"/>
      <c r="C65" s="145" t="n"/>
      <c r="D65" s="145" t="n"/>
      <c r="E65" s="145" t="n"/>
      <c r="F65" s="145" t="n"/>
      <c r="G65" s="145" t="n"/>
      <c r="H65" s="145" t="n"/>
      <c r="I65" s="145" t="n"/>
      <c r="J65" s="145" t="n"/>
      <c r="K65" s="145" t="n"/>
      <c r="L65" s="145" t="n"/>
      <c r="M65" s="145" t="n"/>
      <c r="N65" s="509">
        <f>Reported!N145</f>
        <v/>
      </c>
      <c r="O65" s="509">
        <f>Reported!O145</f>
        <v/>
      </c>
      <c r="P65" s="509">
        <f>Reported!P145</f>
        <v/>
      </c>
      <c r="Q65" s="509">
        <f>Reported!Q145</f>
        <v/>
      </c>
      <c r="R65" s="509">
        <f>Reported!R145</f>
        <v/>
      </c>
      <c r="S65" s="509">
        <f>Reported!S145</f>
        <v/>
      </c>
      <c r="T65" s="509">
        <f>Reported!T145</f>
        <v/>
      </c>
      <c r="U65" s="509">
        <f>Reported!U145</f>
        <v/>
      </c>
      <c r="V65" s="509">
        <f>Reported!V145</f>
        <v/>
      </c>
      <c r="W65" s="509">
        <f>Reported!W145</f>
        <v/>
      </c>
      <c r="X65" s="509">
        <f>Reported!X145</f>
        <v/>
      </c>
      <c r="Y65" s="509">
        <f>Reported!Y145</f>
        <v/>
      </c>
      <c r="Z65" s="509">
        <f>Reported!Z145</f>
        <v/>
      </c>
      <c r="AA65" s="509">
        <f>Reported!AA145</f>
        <v/>
      </c>
      <c r="AB65" s="509">
        <f>Reported!AB145</f>
        <v/>
      </c>
      <c r="AC65" s="509">
        <f>Reported!AC145</f>
        <v/>
      </c>
      <c r="AD65" s="509">
        <f>Reported!AD145</f>
        <v/>
      </c>
      <c r="AE65" s="509">
        <f>Reported!AE145</f>
        <v/>
      </c>
      <c r="AF65" s="509">
        <f>Reported!AF145</f>
        <v/>
      </c>
      <c r="AG65" s="509">
        <f>Reported!AG145</f>
        <v/>
      </c>
      <c r="AH65" s="509">
        <f>Reported!AH145</f>
        <v/>
      </c>
      <c r="AI65" s="509">
        <f>Reported!AI145</f>
        <v/>
      </c>
      <c r="AJ65" s="509">
        <f>Reported!AJ145</f>
        <v/>
      </c>
      <c r="AK65" s="509">
        <f>Reported!AK145</f>
        <v/>
      </c>
      <c r="AL65" s="509">
        <f>Reported!AL145</f>
        <v/>
      </c>
      <c r="AM65" s="509">
        <f>Reported!AM145</f>
        <v/>
      </c>
      <c r="AN65" s="509">
        <f>Reported!AN145</f>
        <v/>
      </c>
      <c r="AO65" s="509">
        <f>Reported!AO145</f>
        <v/>
      </c>
      <c r="AP65" s="509">
        <f>Reported!AP145</f>
        <v/>
      </c>
      <c r="AQ65" s="509">
        <f>Reported!AQ145</f>
        <v/>
      </c>
      <c r="AR65" s="509">
        <f>Reported!AR145</f>
        <v/>
      </c>
      <c r="AS65" s="509">
        <f>Reported!AS145</f>
        <v/>
      </c>
      <c r="AT65" s="509">
        <f>Reported!AT145</f>
        <v/>
      </c>
      <c r="AU65" s="509">
        <f>Reported!AU145</f>
        <v/>
      </c>
      <c r="AV65" s="509">
        <f>Reported!AV145</f>
        <v/>
      </c>
      <c r="AW65" s="509">
        <f>Reported!AW145</f>
        <v/>
      </c>
      <c r="AX65" s="509">
        <f>Reported!AX145</f>
        <v/>
      </c>
      <c r="AY65" s="509">
        <f>Reported!AY145</f>
        <v/>
      </c>
      <c r="AZ65" s="509">
        <f>Reported!AZ145</f>
        <v/>
      </c>
      <c r="BA65" s="509">
        <f>Reported!BA145</f>
        <v/>
      </c>
      <c r="BB65" s="509">
        <f>Reported!BB145</f>
        <v/>
      </c>
      <c r="BC65" s="509">
        <f>Reported!BC145</f>
        <v/>
      </c>
      <c r="BD65" s="509">
        <f>Reported!BD145</f>
        <v/>
      </c>
      <c r="BE65" s="509">
        <f>Reported!BE145</f>
        <v/>
      </c>
      <c r="BF65" s="509">
        <f>Reported!BF145</f>
        <v/>
      </c>
      <c r="BG65" s="509">
        <f>Reported!BG145</f>
        <v/>
      </c>
      <c r="BH65" s="509">
        <f>Reported!BH145</f>
        <v/>
      </c>
      <c r="BI65" s="509">
        <f>Reported!BI145</f>
        <v/>
      </c>
      <c r="BJ65" s="509">
        <f>Reported!BJ145</f>
        <v/>
      </c>
      <c r="BK65" s="509">
        <f>Reported!BK145</f>
        <v/>
      </c>
      <c r="BL65" s="509">
        <f>Reported!BL145</f>
        <v/>
      </c>
      <c r="BM65" s="509">
        <f>Reported!BM145</f>
        <v/>
      </c>
      <c r="BN65" s="509">
        <f>Reported!BN145</f>
        <v/>
      </c>
      <c r="BO65" s="509">
        <f>Reported!BO145</f>
        <v/>
      </c>
      <c r="BP65" s="509">
        <f>Reported!BP145</f>
        <v/>
      </c>
      <c r="BQ65" s="509">
        <f>Reported!BQ145</f>
        <v/>
      </c>
      <c r="BR65" s="509">
        <f>Reported!BR145</f>
        <v/>
      </c>
      <c r="BS65" s="517">
        <f>Assumption!BS204</f>
        <v/>
      </c>
      <c r="BT65" s="517">
        <f>Assumption!BT204</f>
        <v/>
      </c>
      <c r="BU65" s="517">
        <f>Assumption!BU204</f>
        <v/>
      </c>
      <c r="BV65" s="517">
        <f>Assumption!BV204</f>
        <v/>
      </c>
      <c r="BW65" s="517">
        <f>Assumption!BW204</f>
        <v/>
      </c>
      <c r="BX65" s="517">
        <f>Assumption!BX204</f>
        <v/>
      </c>
      <c r="BY65" s="517">
        <f>Assumption!BY204</f>
        <v/>
      </c>
      <c r="BZ65" s="517">
        <f>Assumption!BZ204</f>
        <v/>
      </c>
      <c r="CA65" s="517">
        <f>Assumption!CA204</f>
        <v/>
      </c>
      <c r="CB65" s="517">
        <f>Assumption!CB204</f>
        <v/>
      </c>
      <c r="CC65" s="517">
        <f>Assumption!CC204</f>
        <v/>
      </c>
      <c r="CD65" s="517">
        <f>Assumption!CD204</f>
        <v/>
      </c>
      <c r="CE65" s="517">
        <f>Assumption!CE204</f>
        <v/>
      </c>
      <c r="CF65" s="517">
        <f>Assumption!CF204</f>
        <v/>
      </c>
      <c r="CG65" s="517">
        <f>Assumption!CG204</f>
        <v/>
      </c>
      <c r="CH65" s="517">
        <f>Assumption!CH204</f>
        <v/>
      </c>
      <c r="CI65" s="517">
        <f>Assumption!CI204</f>
        <v/>
      </c>
      <c r="CJ65" s="517">
        <f>Assumption!CJ204</f>
        <v/>
      </c>
      <c r="CK65" s="517">
        <f>Assumption!CK204</f>
        <v/>
      </c>
    </row>
    <row r="66">
      <c r="A66" s="22" t="inlineStr">
        <is>
          <t>Total liabilities</t>
        </is>
      </c>
      <c r="B66" s="133" t="n"/>
      <c r="C66" s="133" t="n"/>
      <c r="D66" s="133" t="n"/>
      <c r="E66" s="133" t="n"/>
      <c r="F66" s="133" t="n"/>
      <c r="G66" s="133" t="n"/>
      <c r="H66" s="133" t="n"/>
      <c r="I66" s="133" t="n"/>
      <c r="J66" s="133" t="n"/>
      <c r="K66" s="133" t="n"/>
      <c r="L66" s="133" t="n"/>
      <c r="M66" s="133" t="n"/>
      <c r="N66" s="671">
        <f>Reported!N146</f>
        <v/>
      </c>
      <c r="O66" s="671">
        <f>Reported!O146</f>
        <v/>
      </c>
      <c r="P66" s="671">
        <f>Reported!P146</f>
        <v/>
      </c>
      <c r="Q66" s="671">
        <f>Reported!Q146</f>
        <v/>
      </c>
      <c r="R66" s="671">
        <f>Reported!R146</f>
        <v/>
      </c>
      <c r="S66" s="671">
        <f>Reported!S146</f>
        <v/>
      </c>
      <c r="T66" s="671">
        <f>Reported!T146</f>
        <v/>
      </c>
      <c r="U66" s="671">
        <f>Reported!U146</f>
        <v/>
      </c>
      <c r="V66" s="671">
        <f>Reported!V146</f>
        <v/>
      </c>
      <c r="W66" s="671">
        <f>Reported!W146</f>
        <v/>
      </c>
      <c r="X66" s="671">
        <f>Reported!X146</f>
        <v/>
      </c>
      <c r="Y66" s="671">
        <f>Reported!Y146</f>
        <v/>
      </c>
      <c r="Z66" s="671">
        <f>Reported!Z146</f>
        <v/>
      </c>
      <c r="AA66" s="671">
        <f>Reported!AA146</f>
        <v/>
      </c>
      <c r="AB66" s="671">
        <f>Reported!AB146</f>
        <v/>
      </c>
      <c r="AC66" s="671">
        <f>Reported!AC146</f>
        <v/>
      </c>
      <c r="AD66" s="671">
        <f>Reported!AD146</f>
        <v/>
      </c>
      <c r="AE66" s="671">
        <f>Reported!AE146</f>
        <v/>
      </c>
      <c r="AF66" s="671">
        <f>Reported!AF146</f>
        <v/>
      </c>
      <c r="AG66" s="671">
        <f>Reported!AG146</f>
        <v/>
      </c>
      <c r="AH66" s="671">
        <f>Reported!AH146</f>
        <v/>
      </c>
      <c r="AI66" s="671">
        <f>Reported!AI146</f>
        <v/>
      </c>
      <c r="AJ66" s="671">
        <f>Reported!AJ146</f>
        <v/>
      </c>
      <c r="AK66" s="671">
        <f>Reported!AK146</f>
        <v/>
      </c>
      <c r="AL66" s="671">
        <f>Reported!AL146</f>
        <v/>
      </c>
      <c r="AM66" s="671">
        <f>Reported!AM146</f>
        <v/>
      </c>
      <c r="AN66" s="671">
        <f>Reported!AN146</f>
        <v/>
      </c>
      <c r="AO66" s="671">
        <f>Reported!AO146</f>
        <v/>
      </c>
      <c r="AP66" s="671">
        <f>Reported!AP146</f>
        <v/>
      </c>
      <c r="AQ66" s="671">
        <f>Reported!AQ146</f>
        <v/>
      </c>
      <c r="AR66" s="671">
        <f>Reported!AR146</f>
        <v/>
      </c>
      <c r="AS66" s="671">
        <f>Reported!AS146</f>
        <v/>
      </c>
      <c r="AT66" s="671">
        <f>Reported!AT146</f>
        <v/>
      </c>
      <c r="AU66" s="671">
        <f>Reported!AU146</f>
        <v/>
      </c>
      <c r="AV66" s="671">
        <f>Reported!AV146</f>
        <v/>
      </c>
      <c r="AW66" s="671">
        <f>Reported!AW146</f>
        <v/>
      </c>
      <c r="AX66" s="671">
        <f>Reported!AX146</f>
        <v/>
      </c>
      <c r="AY66" s="671">
        <f>Reported!AY146</f>
        <v/>
      </c>
      <c r="AZ66" s="671">
        <f>Reported!AZ146</f>
        <v/>
      </c>
      <c r="BA66" s="671">
        <f>Reported!BA146</f>
        <v/>
      </c>
      <c r="BB66" s="671">
        <f>Reported!BB146</f>
        <v/>
      </c>
      <c r="BC66" s="671">
        <f>Reported!BC146</f>
        <v/>
      </c>
      <c r="BD66" s="671">
        <f>Reported!BD146</f>
        <v/>
      </c>
      <c r="BE66" s="671">
        <f>Reported!BE146</f>
        <v/>
      </c>
      <c r="BF66" s="671">
        <f>Reported!BF146</f>
        <v/>
      </c>
      <c r="BG66" s="671">
        <f>Reported!BG146</f>
        <v/>
      </c>
      <c r="BH66" s="671">
        <f>Reported!BH146</f>
        <v/>
      </c>
      <c r="BI66" s="671">
        <f>Reported!BI146</f>
        <v/>
      </c>
      <c r="BJ66" s="671">
        <f>Reported!BJ146</f>
        <v/>
      </c>
      <c r="BK66" s="671">
        <f>Reported!BK146</f>
        <v/>
      </c>
      <c r="BL66" s="671">
        <f>Reported!BL146</f>
        <v/>
      </c>
      <c r="BM66" s="671">
        <f>Reported!BM146</f>
        <v/>
      </c>
      <c r="BN66" s="671">
        <f>Reported!BN146</f>
        <v/>
      </c>
      <c r="BO66" s="671">
        <f>Reported!BO146</f>
        <v/>
      </c>
      <c r="BP66" s="671">
        <f>Reported!BP146</f>
        <v/>
      </c>
      <c r="BQ66" s="671">
        <f>Reported!BQ146</f>
        <v/>
      </c>
      <c r="BR66" s="671">
        <f>Reported!BR146</f>
        <v/>
      </c>
      <c r="BS66" s="517">
        <f>SUM(BS63:BS65)</f>
        <v/>
      </c>
      <c r="BT66" s="517">
        <f>SUM(BT63:BT65)</f>
        <v/>
      </c>
      <c r="BU66" s="517">
        <f>SUM(BU63:BU65)</f>
        <v/>
      </c>
      <c r="BV66" s="517">
        <f>SUM(BV63:BV65)</f>
        <v/>
      </c>
      <c r="BW66" s="517">
        <f>SUM(BW63:BW65)</f>
        <v/>
      </c>
      <c r="BX66" s="517">
        <f>SUM(BX63:BX65)</f>
        <v/>
      </c>
      <c r="BY66" s="517">
        <f>SUM(BY63:BY65)</f>
        <v/>
      </c>
      <c r="BZ66" s="517">
        <f>SUM(BZ63:BZ65)</f>
        <v/>
      </c>
      <c r="CA66" s="517">
        <f>SUM(CA63:CA65)</f>
        <v/>
      </c>
      <c r="CB66" s="517">
        <f>SUM(CB63:CB65)</f>
        <v/>
      </c>
      <c r="CC66" s="517">
        <f>SUM(CC63:CC65)</f>
        <v/>
      </c>
      <c r="CD66" s="517">
        <f>SUM(CD63:CD65)</f>
        <v/>
      </c>
      <c r="CE66" s="517">
        <f>SUM(CE63:CE65)</f>
        <v/>
      </c>
      <c r="CF66" s="517">
        <f>SUM(CF63:CF65)</f>
        <v/>
      </c>
      <c r="CG66" s="517">
        <f>SUM(CG63:CG65)</f>
        <v/>
      </c>
      <c r="CH66" s="517">
        <f>SUM(CH63:CH65)</f>
        <v/>
      </c>
      <c r="CI66" s="517">
        <f>SUM(CI63:CI65)</f>
        <v/>
      </c>
      <c r="CJ66" s="517">
        <f>SUM(CJ63:CJ65)</f>
        <v/>
      </c>
      <c r="CK66" s="517">
        <f>SUM(CK63:CK65)</f>
        <v/>
      </c>
    </row>
    <row r="67">
      <c r="A67" s="22" t="n"/>
      <c r="B67" s="145" t="n"/>
      <c r="C67" s="145" t="n"/>
      <c r="D67" s="145" t="n"/>
      <c r="E67" s="145" t="n"/>
      <c r="F67" s="145" t="n"/>
      <c r="G67" s="145" t="n"/>
      <c r="H67" s="145" t="n"/>
      <c r="I67" s="145" t="n"/>
      <c r="J67" s="145" t="n"/>
      <c r="K67" s="145" t="n"/>
      <c r="L67" s="145" t="n"/>
      <c r="M67" s="145" t="n"/>
      <c r="N67" s="509" t="n"/>
      <c r="O67" s="509" t="n"/>
      <c r="P67" s="509" t="n"/>
      <c r="Q67" s="509" t="n"/>
      <c r="R67" s="509" t="n"/>
      <c r="S67" s="509" t="n"/>
      <c r="T67" s="509" t="n"/>
      <c r="U67" s="509" t="n"/>
      <c r="V67" s="509" t="n"/>
      <c r="W67" s="509" t="n"/>
      <c r="X67" s="509" t="n"/>
      <c r="Y67" s="509" t="n"/>
      <c r="Z67" s="509" t="n"/>
      <c r="AA67" s="509" t="n"/>
      <c r="AB67" s="509" t="n"/>
      <c r="AC67" s="509" t="n"/>
      <c r="AD67" s="509" t="n"/>
      <c r="AE67" s="509" t="n"/>
      <c r="AF67" s="509" t="n"/>
      <c r="AG67" s="509" t="n"/>
      <c r="AH67" s="509" t="n"/>
      <c r="AI67" s="509" t="n"/>
      <c r="AJ67" s="509" t="n"/>
      <c r="AK67" s="509" t="n"/>
      <c r="AL67" s="509" t="n"/>
      <c r="AM67" s="509" t="n"/>
      <c r="AN67" s="509" t="n"/>
      <c r="AO67" s="509" t="n"/>
      <c r="AP67" s="509" t="n"/>
      <c r="AQ67" s="509" t="n"/>
      <c r="AR67" s="509" t="n"/>
      <c r="AS67" s="509" t="n"/>
      <c r="AT67" s="509" t="n"/>
      <c r="AU67" s="509" t="n"/>
      <c r="AV67" s="509" t="n"/>
      <c r="AW67" s="509" t="n"/>
      <c r="AX67" s="509" t="n"/>
      <c r="AY67" s="509" t="n"/>
      <c r="AZ67" s="509" t="n"/>
      <c r="BA67" s="509" t="n"/>
      <c r="BB67" s="509" t="n"/>
      <c r="BC67" s="509" t="n"/>
      <c r="BD67" s="509" t="n"/>
      <c r="BE67" s="509" t="n"/>
      <c r="BF67" s="509" t="n"/>
      <c r="BG67" s="509" t="n"/>
      <c r="BH67" s="509" t="n"/>
      <c r="BI67" s="509" t="n"/>
      <c r="BJ67" s="509" t="n"/>
      <c r="BK67" s="509" t="n"/>
      <c r="BL67" s="509" t="n"/>
      <c r="BM67" s="509" t="n"/>
      <c r="BN67" s="509" t="n"/>
      <c r="BO67" s="509" t="n"/>
      <c r="BP67" s="509" t="n"/>
    </row>
    <row r="68">
      <c r="A68" s="33" t="inlineStr">
        <is>
          <t>IPG Photonics Corporation equity</t>
        </is>
      </c>
      <c r="B68" s="145" t="n"/>
      <c r="C68" s="145" t="n"/>
      <c r="D68" s="145" t="n"/>
      <c r="E68" s="145" t="n"/>
      <c r="F68" s="145" t="n"/>
      <c r="G68" s="145" t="n"/>
      <c r="H68" s="145" t="n"/>
      <c r="I68" s="145" t="n"/>
      <c r="J68" s="145" t="n"/>
      <c r="K68" s="145" t="n"/>
      <c r="L68" s="145" t="n"/>
      <c r="M68" s="145" t="n"/>
      <c r="N68" s="509">
        <f>Reported!N148</f>
        <v/>
      </c>
      <c r="O68" s="509">
        <f>Reported!O148</f>
        <v/>
      </c>
      <c r="P68" s="509">
        <f>Reported!P148</f>
        <v/>
      </c>
      <c r="Q68" s="509">
        <f>Reported!Q148</f>
        <v/>
      </c>
      <c r="R68" s="509">
        <f>Reported!R148</f>
        <v/>
      </c>
      <c r="S68" s="509">
        <f>Reported!S148</f>
        <v/>
      </c>
      <c r="T68" s="509">
        <f>Reported!T148</f>
        <v/>
      </c>
      <c r="U68" s="509">
        <f>Reported!U148</f>
        <v/>
      </c>
      <c r="V68" s="509">
        <f>Reported!V148</f>
        <v/>
      </c>
      <c r="W68" s="509">
        <f>Reported!W148</f>
        <v/>
      </c>
      <c r="X68" s="509">
        <f>Reported!X148</f>
        <v/>
      </c>
      <c r="Y68" s="509">
        <f>Reported!Y148</f>
        <v/>
      </c>
      <c r="Z68" s="509">
        <f>Reported!Z148</f>
        <v/>
      </c>
      <c r="AA68" s="509">
        <f>Reported!AA148</f>
        <v/>
      </c>
      <c r="AB68" s="509">
        <f>Reported!AB148</f>
        <v/>
      </c>
      <c r="AC68" s="509">
        <f>Reported!AC148</f>
        <v/>
      </c>
      <c r="AD68" s="509">
        <f>Reported!AD148</f>
        <v/>
      </c>
      <c r="AE68" s="509">
        <f>Reported!AE148</f>
        <v/>
      </c>
      <c r="AF68" s="509">
        <f>Reported!AF148</f>
        <v/>
      </c>
      <c r="AG68" s="509">
        <f>Reported!AG148</f>
        <v/>
      </c>
      <c r="AH68" s="509">
        <f>Reported!AH148</f>
        <v/>
      </c>
      <c r="AI68" s="509">
        <f>Reported!AI148</f>
        <v/>
      </c>
      <c r="AJ68" s="509">
        <f>Reported!AJ148</f>
        <v/>
      </c>
      <c r="AK68" s="509">
        <f>Reported!AK148</f>
        <v/>
      </c>
      <c r="AL68" s="509">
        <f>Reported!AL148</f>
        <v/>
      </c>
      <c r="AM68" s="509">
        <f>Reported!AM148</f>
        <v/>
      </c>
      <c r="AN68" s="509">
        <f>Reported!AN148</f>
        <v/>
      </c>
      <c r="AO68" s="509">
        <f>Reported!AO148</f>
        <v/>
      </c>
      <c r="AP68" s="509">
        <f>Reported!AP148</f>
        <v/>
      </c>
      <c r="AQ68" s="509">
        <f>Reported!AQ148</f>
        <v/>
      </c>
      <c r="AR68" s="509">
        <f>Reported!AR148</f>
        <v/>
      </c>
      <c r="AS68" s="509">
        <f>Reported!AS148</f>
        <v/>
      </c>
      <c r="AT68" s="509">
        <f>Reported!AT148</f>
        <v/>
      </c>
      <c r="AU68" s="509">
        <f>Reported!AU148</f>
        <v/>
      </c>
      <c r="AV68" s="509">
        <f>Reported!AV148</f>
        <v/>
      </c>
      <c r="AW68" s="509">
        <f>Reported!AW148</f>
        <v/>
      </c>
      <c r="AX68" s="509">
        <f>Reported!AX148</f>
        <v/>
      </c>
      <c r="AY68" s="509">
        <f>Reported!AY148</f>
        <v/>
      </c>
      <c r="AZ68" s="509">
        <f>Reported!AZ148</f>
        <v/>
      </c>
      <c r="BA68" s="509">
        <f>Reported!BA148</f>
        <v/>
      </c>
      <c r="BB68" s="509">
        <f>Reported!BB148</f>
        <v/>
      </c>
      <c r="BC68" s="509">
        <f>Reported!BC148</f>
        <v/>
      </c>
      <c r="BD68" s="509">
        <f>Reported!BD148</f>
        <v/>
      </c>
      <c r="BE68" s="509">
        <f>Reported!BE148</f>
        <v/>
      </c>
      <c r="BF68" s="509">
        <f>Reported!BF148</f>
        <v/>
      </c>
      <c r="BG68" s="509">
        <f>Reported!BG148</f>
        <v/>
      </c>
      <c r="BH68" s="509">
        <f>Reported!BH148</f>
        <v/>
      </c>
      <c r="BI68" s="509">
        <f>Reported!BI148</f>
        <v/>
      </c>
      <c r="BJ68" s="509">
        <f>Reported!BJ148</f>
        <v/>
      </c>
      <c r="BK68" s="509">
        <f>Reported!BK148</f>
        <v/>
      </c>
      <c r="BL68" s="509">
        <f>Reported!BL148</f>
        <v/>
      </c>
      <c r="BM68" s="509">
        <f>Reported!BM148</f>
        <v/>
      </c>
      <c r="BN68" s="509">
        <f>Reported!BN148</f>
        <v/>
      </c>
      <c r="BO68" s="509">
        <f>Reported!BO148</f>
        <v/>
      </c>
      <c r="BP68" s="509">
        <f>Reported!BP148</f>
        <v/>
      </c>
      <c r="BQ68" s="509">
        <f>Reported!BQ148</f>
        <v/>
      </c>
      <c r="BR68" s="509">
        <f>Reported!BR148</f>
        <v/>
      </c>
      <c r="BS68" s="517">
        <f>Assumption!BS215</f>
        <v/>
      </c>
      <c r="BT68" s="517">
        <f>Assumption!BT215</f>
        <v/>
      </c>
      <c r="BU68" s="517">
        <f>Assumption!BU215</f>
        <v/>
      </c>
      <c r="BV68" s="517">
        <f>Assumption!BV215</f>
        <v/>
      </c>
      <c r="BW68" s="517">
        <f>Assumption!BW215</f>
        <v/>
      </c>
      <c r="BX68" s="517">
        <f>Assumption!BX215</f>
        <v/>
      </c>
      <c r="BY68" s="517">
        <f>Assumption!BY215</f>
        <v/>
      </c>
      <c r="BZ68" s="517">
        <f>Assumption!BZ215</f>
        <v/>
      </c>
      <c r="CA68" s="517">
        <f>Assumption!CA215</f>
        <v/>
      </c>
      <c r="CB68" s="517">
        <f>Assumption!CB215</f>
        <v/>
      </c>
      <c r="CC68" s="517">
        <f>Assumption!CC215</f>
        <v/>
      </c>
      <c r="CD68" s="517">
        <f>Assumption!CD215</f>
        <v/>
      </c>
      <c r="CE68" s="517">
        <f>Assumption!CE215</f>
        <v/>
      </c>
      <c r="CF68" s="517">
        <f>Assumption!CF215</f>
        <v/>
      </c>
      <c r="CG68" s="517">
        <f>Assumption!CG215</f>
        <v/>
      </c>
      <c r="CH68" s="517">
        <f>Assumption!CH215</f>
        <v/>
      </c>
      <c r="CI68" s="517">
        <f>Assumption!CI215</f>
        <v/>
      </c>
      <c r="CJ68" s="517">
        <f>Assumption!CJ215</f>
        <v/>
      </c>
      <c r="CK68" s="517">
        <f>Assumption!CK215</f>
        <v/>
      </c>
    </row>
    <row r="69">
      <c r="A69" s="33" t="inlineStr">
        <is>
          <t>Treasury stock, at cost</t>
        </is>
      </c>
      <c r="B69" s="145" t="n"/>
      <c r="C69" s="145" t="n"/>
      <c r="D69" s="145" t="n"/>
      <c r="E69" s="145" t="n"/>
      <c r="F69" s="145" t="n"/>
      <c r="G69" s="145" t="n"/>
      <c r="H69" s="145" t="n"/>
      <c r="I69" s="145" t="n"/>
      <c r="J69" s="145" t="n"/>
      <c r="K69" s="145" t="n"/>
      <c r="L69" s="145" t="n"/>
      <c r="M69" s="145" t="n"/>
      <c r="N69" s="509">
        <f>Reported!N149</f>
        <v/>
      </c>
      <c r="O69" s="509">
        <f>Reported!O149</f>
        <v/>
      </c>
      <c r="P69" s="509">
        <f>Reported!P149</f>
        <v/>
      </c>
      <c r="Q69" s="509">
        <f>Reported!Q149</f>
        <v/>
      </c>
      <c r="R69" s="509">
        <f>Reported!R149</f>
        <v/>
      </c>
      <c r="S69" s="509">
        <f>Reported!S149</f>
        <v/>
      </c>
      <c r="T69" s="509">
        <f>Reported!T149</f>
        <v/>
      </c>
      <c r="U69" s="509">
        <f>Reported!U149</f>
        <v/>
      </c>
      <c r="V69" s="509">
        <f>Reported!V149</f>
        <v/>
      </c>
      <c r="W69" s="509">
        <f>Reported!W149</f>
        <v/>
      </c>
      <c r="X69" s="509">
        <f>Reported!X149</f>
        <v/>
      </c>
      <c r="Y69" s="509">
        <f>Reported!Y149</f>
        <v/>
      </c>
      <c r="Z69" s="509">
        <f>Reported!Z149</f>
        <v/>
      </c>
      <c r="AA69" s="509">
        <f>Reported!AA149</f>
        <v/>
      </c>
      <c r="AB69" s="509">
        <f>Reported!AB149</f>
        <v/>
      </c>
      <c r="AC69" s="509">
        <f>Reported!AC149</f>
        <v/>
      </c>
      <c r="AD69" s="509">
        <f>Reported!AD149</f>
        <v/>
      </c>
      <c r="AE69" s="509">
        <f>Reported!AE149</f>
        <v/>
      </c>
      <c r="AF69" s="509">
        <f>Reported!AF149</f>
        <v/>
      </c>
      <c r="AG69" s="509">
        <f>Reported!AG149</f>
        <v/>
      </c>
      <c r="AH69" s="509">
        <f>Reported!AH149</f>
        <v/>
      </c>
      <c r="AI69" s="509">
        <f>Reported!AI149</f>
        <v/>
      </c>
      <c r="AJ69" s="509">
        <f>Reported!AJ149</f>
        <v/>
      </c>
      <c r="AK69" s="509">
        <f>Reported!AK149</f>
        <v/>
      </c>
      <c r="AL69" s="509">
        <f>Reported!AL149</f>
        <v/>
      </c>
      <c r="AM69" s="509">
        <f>Reported!AM149</f>
        <v/>
      </c>
      <c r="AN69" s="509">
        <f>Reported!AN149</f>
        <v/>
      </c>
      <c r="AO69" s="509">
        <f>Reported!AO149</f>
        <v/>
      </c>
      <c r="AP69" s="509">
        <f>Reported!AP149</f>
        <v/>
      </c>
      <c r="AQ69" s="509">
        <f>Reported!AQ149</f>
        <v/>
      </c>
      <c r="AR69" s="509">
        <f>Reported!AR149</f>
        <v/>
      </c>
      <c r="AS69" s="509">
        <f>Reported!AS149</f>
        <v/>
      </c>
      <c r="AT69" s="509">
        <f>Reported!AT149</f>
        <v/>
      </c>
      <c r="AU69" s="509">
        <f>Reported!AU149</f>
        <v/>
      </c>
      <c r="AV69" s="509">
        <f>Reported!AV149</f>
        <v/>
      </c>
      <c r="AW69" s="509">
        <f>Reported!AW149</f>
        <v/>
      </c>
      <c r="AX69" s="509">
        <f>Reported!AX149</f>
        <v/>
      </c>
      <c r="AY69" s="509">
        <f>Reported!AY149</f>
        <v/>
      </c>
      <c r="AZ69" s="509">
        <f>Reported!AZ149</f>
        <v/>
      </c>
      <c r="BA69" s="509">
        <f>Reported!BA149</f>
        <v/>
      </c>
      <c r="BB69" s="509">
        <f>Reported!BB149</f>
        <v/>
      </c>
      <c r="BC69" s="509">
        <f>Reported!BC149</f>
        <v/>
      </c>
      <c r="BD69" s="509">
        <f>Reported!BD149</f>
        <v/>
      </c>
      <c r="BE69" s="509">
        <f>Reported!BE149</f>
        <v/>
      </c>
      <c r="BF69" s="509">
        <f>Reported!BF149</f>
        <v/>
      </c>
      <c r="BG69" s="509">
        <f>Reported!BG149</f>
        <v/>
      </c>
      <c r="BH69" s="509">
        <f>Reported!BH149</f>
        <v/>
      </c>
      <c r="BI69" s="509">
        <f>Reported!BI149</f>
        <v/>
      </c>
      <c r="BJ69" s="509">
        <f>Reported!BJ149</f>
        <v/>
      </c>
      <c r="BK69" s="509">
        <f>Reported!BK149</f>
        <v/>
      </c>
      <c r="BL69" s="509">
        <f>Reported!BL149</f>
        <v/>
      </c>
      <c r="BM69" s="509">
        <f>Reported!BM149</f>
        <v/>
      </c>
      <c r="BN69" s="509">
        <f>Reported!BN149</f>
        <v/>
      </c>
      <c r="BO69" s="509">
        <f>Reported!BO149</f>
        <v/>
      </c>
      <c r="BP69" s="509">
        <f>Reported!BP149</f>
        <v/>
      </c>
      <c r="BQ69" s="509">
        <f>Reported!BQ149</f>
        <v/>
      </c>
      <c r="BR69" s="509">
        <f>Reported!BR149</f>
        <v/>
      </c>
      <c r="BS69" s="517">
        <f>Assumption!BS216</f>
        <v/>
      </c>
      <c r="BT69" s="517">
        <f>Assumption!BT216</f>
        <v/>
      </c>
      <c r="BU69" s="517">
        <f>Assumption!BU216</f>
        <v/>
      </c>
      <c r="BV69" s="517">
        <f>Assumption!BV216</f>
        <v/>
      </c>
      <c r="BW69" s="517">
        <f>Assumption!BW216</f>
        <v/>
      </c>
      <c r="BX69" s="517">
        <f>Assumption!BX216</f>
        <v/>
      </c>
      <c r="BY69" s="517">
        <f>Assumption!BY216</f>
        <v/>
      </c>
      <c r="BZ69" s="517">
        <f>Assumption!BZ216</f>
        <v/>
      </c>
      <c r="CA69" s="517">
        <f>Assumption!CA216</f>
        <v/>
      </c>
      <c r="CB69" s="517">
        <f>Assumption!CB216</f>
        <v/>
      </c>
      <c r="CC69" s="517">
        <f>Assumption!CC216</f>
        <v/>
      </c>
      <c r="CD69" s="517">
        <f>Assumption!CD216</f>
        <v/>
      </c>
      <c r="CE69" s="517">
        <f>Assumption!CE216</f>
        <v/>
      </c>
      <c r="CF69" s="517">
        <f>Assumption!CF216</f>
        <v/>
      </c>
      <c r="CG69" s="517">
        <f>Assumption!CG216</f>
        <v/>
      </c>
      <c r="CH69" s="517">
        <f>Assumption!CH216</f>
        <v/>
      </c>
      <c r="CI69" s="517">
        <f>Assumption!CI216</f>
        <v/>
      </c>
      <c r="CJ69" s="517">
        <f>Assumption!CJ216</f>
        <v/>
      </c>
      <c r="CK69" s="517">
        <f>Assumption!CK216</f>
        <v/>
      </c>
    </row>
    <row r="70">
      <c r="A70" s="33" t="inlineStr">
        <is>
          <t>Additional paid-in capital</t>
        </is>
      </c>
      <c r="B70" s="145" t="n"/>
      <c r="C70" s="145" t="n"/>
      <c r="D70" s="145" t="n"/>
      <c r="E70" s="145" t="n"/>
      <c r="F70" s="145" t="n"/>
      <c r="G70" s="145" t="n"/>
      <c r="H70" s="145" t="n"/>
      <c r="I70" s="145" t="n"/>
      <c r="J70" s="145" t="n"/>
      <c r="K70" s="145" t="n"/>
      <c r="L70" s="145" t="n"/>
      <c r="M70" s="145" t="n"/>
      <c r="N70" s="509">
        <f>Reported!N150</f>
        <v/>
      </c>
      <c r="O70" s="509">
        <f>Reported!O150</f>
        <v/>
      </c>
      <c r="P70" s="509">
        <f>Reported!P150</f>
        <v/>
      </c>
      <c r="Q70" s="509">
        <f>Reported!Q150</f>
        <v/>
      </c>
      <c r="R70" s="509">
        <f>Reported!R150</f>
        <v/>
      </c>
      <c r="S70" s="509">
        <f>Reported!S150</f>
        <v/>
      </c>
      <c r="T70" s="509">
        <f>Reported!T150</f>
        <v/>
      </c>
      <c r="U70" s="509">
        <f>Reported!U150</f>
        <v/>
      </c>
      <c r="V70" s="509">
        <f>Reported!V150</f>
        <v/>
      </c>
      <c r="W70" s="509">
        <f>Reported!W150</f>
        <v/>
      </c>
      <c r="X70" s="509">
        <f>Reported!X150</f>
        <v/>
      </c>
      <c r="Y70" s="509">
        <f>Reported!Y150</f>
        <v/>
      </c>
      <c r="Z70" s="509">
        <f>Reported!Z150</f>
        <v/>
      </c>
      <c r="AA70" s="509">
        <f>Reported!AA150</f>
        <v/>
      </c>
      <c r="AB70" s="509">
        <f>Reported!AB150</f>
        <v/>
      </c>
      <c r="AC70" s="509">
        <f>Reported!AC150</f>
        <v/>
      </c>
      <c r="AD70" s="509">
        <f>Reported!AD150</f>
        <v/>
      </c>
      <c r="AE70" s="509">
        <f>Reported!AE150</f>
        <v/>
      </c>
      <c r="AF70" s="509">
        <f>Reported!AF150</f>
        <v/>
      </c>
      <c r="AG70" s="509">
        <f>Reported!AG150</f>
        <v/>
      </c>
      <c r="AH70" s="509">
        <f>Reported!AH150</f>
        <v/>
      </c>
      <c r="AI70" s="509">
        <f>Reported!AI150</f>
        <v/>
      </c>
      <c r="AJ70" s="509">
        <f>Reported!AJ150</f>
        <v/>
      </c>
      <c r="AK70" s="509">
        <f>Reported!AK150</f>
        <v/>
      </c>
      <c r="AL70" s="509">
        <f>Reported!AL150</f>
        <v/>
      </c>
      <c r="AM70" s="509">
        <f>Reported!AM150</f>
        <v/>
      </c>
      <c r="AN70" s="509">
        <f>Reported!AN150</f>
        <v/>
      </c>
      <c r="AO70" s="509">
        <f>Reported!AO150</f>
        <v/>
      </c>
      <c r="AP70" s="509">
        <f>Reported!AP150</f>
        <v/>
      </c>
      <c r="AQ70" s="509">
        <f>Reported!AQ150</f>
        <v/>
      </c>
      <c r="AR70" s="509">
        <f>Reported!AR150</f>
        <v/>
      </c>
      <c r="AS70" s="509">
        <f>Reported!AS150</f>
        <v/>
      </c>
      <c r="AT70" s="509">
        <f>Reported!AT150</f>
        <v/>
      </c>
      <c r="AU70" s="509">
        <f>Reported!AU150</f>
        <v/>
      </c>
      <c r="AV70" s="509">
        <f>Reported!AV150</f>
        <v/>
      </c>
      <c r="AW70" s="509">
        <f>Reported!AW150</f>
        <v/>
      </c>
      <c r="AX70" s="509">
        <f>Reported!AX150</f>
        <v/>
      </c>
      <c r="AY70" s="509">
        <f>Reported!AY150</f>
        <v/>
      </c>
      <c r="AZ70" s="509">
        <f>Reported!AZ150</f>
        <v/>
      </c>
      <c r="BA70" s="509">
        <f>Reported!BA150</f>
        <v/>
      </c>
      <c r="BB70" s="509">
        <f>Reported!BB150</f>
        <v/>
      </c>
      <c r="BC70" s="509">
        <f>Reported!BC150</f>
        <v/>
      </c>
      <c r="BD70" s="509">
        <f>Reported!BD150</f>
        <v/>
      </c>
      <c r="BE70" s="509">
        <f>Reported!BE150</f>
        <v/>
      </c>
      <c r="BF70" s="509">
        <f>Reported!BF150</f>
        <v/>
      </c>
      <c r="BG70" s="509">
        <f>Reported!BG150</f>
        <v/>
      </c>
      <c r="BH70" s="509">
        <f>Reported!BH150</f>
        <v/>
      </c>
      <c r="BI70" s="509">
        <f>Reported!BI150</f>
        <v/>
      </c>
      <c r="BJ70" s="509">
        <f>Reported!BJ150</f>
        <v/>
      </c>
      <c r="BK70" s="509">
        <f>Reported!BK150</f>
        <v/>
      </c>
      <c r="BL70" s="509">
        <f>Reported!BL150</f>
        <v/>
      </c>
      <c r="BM70" s="509">
        <f>Reported!BM150</f>
        <v/>
      </c>
      <c r="BN70" s="509">
        <f>Reported!BN150</f>
        <v/>
      </c>
      <c r="BO70" s="509">
        <f>Reported!BO150</f>
        <v/>
      </c>
      <c r="BP70" s="509">
        <f>Reported!BP150</f>
        <v/>
      </c>
      <c r="BQ70" s="509">
        <f>Reported!BQ150</f>
        <v/>
      </c>
      <c r="BR70" s="509">
        <f>Reported!BR150</f>
        <v/>
      </c>
      <c r="BS70" s="517">
        <f>Assumption!BS217</f>
        <v/>
      </c>
      <c r="BT70" s="517">
        <f>Assumption!BT217</f>
        <v/>
      </c>
      <c r="BU70" s="517">
        <f>Assumption!BU217</f>
        <v/>
      </c>
      <c r="BV70" s="517">
        <f>Assumption!BV217</f>
        <v/>
      </c>
      <c r="BW70" s="517">
        <f>Assumption!BW217</f>
        <v/>
      </c>
      <c r="BX70" s="517">
        <f>Assumption!BX217</f>
        <v/>
      </c>
      <c r="BY70" s="517">
        <f>Assumption!BY217</f>
        <v/>
      </c>
      <c r="BZ70" s="517">
        <f>Assumption!BZ217</f>
        <v/>
      </c>
      <c r="CA70" s="517">
        <f>Assumption!CA217</f>
        <v/>
      </c>
      <c r="CB70" s="517">
        <f>Assumption!CB217</f>
        <v/>
      </c>
      <c r="CC70" s="517">
        <f>Assumption!CC217</f>
        <v/>
      </c>
      <c r="CD70" s="517">
        <f>Assumption!CD217</f>
        <v/>
      </c>
      <c r="CE70" s="517">
        <f>Assumption!CE217</f>
        <v/>
      </c>
      <c r="CF70" s="517">
        <f>Assumption!CF217</f>
        <v/>
      </c>
      <c r="CG70" s="517">
        <f>Assumption!CG217</f>
        <v/>
      </c>
      <c r="CH70" s="517">
        <f>Assumption!CH217</f>
        <v/>
      </c>
      <c r="CI70" s="517">
        <f>Assumption!CI217</f>
        <v/>
      </c>
      <c r="CJ70" s="517">
        <f>Assumption!CJ217</f>
        <v/>
      </c>
      <c r="CK70" s="517">
        <f>Assumption!CK217</f>
        <v/>
      </c>
    </row>
    <row r="71">
      <c r="A71" s="33" t="inlineStr">
        <is>
          <t>Retained earnings</t>
        </is>
      </c>
      <c r="B71" s="145" t="n"/>
      <c r="C71" s="145" t="n"/>
      <c r="D71" s="145" t="n"/>
      <c r="E71" s="145" t="n"/>
      <c r="F71" s="145" t="n"/>
      <c r="G71" s="145" t="n"/>
      <c r="H71" s="145" t="n"/>
      <c r="I71" s="145" t="n"/>
      <c r="J71" s="145" t="n"/>
      <c r="K71" s="145" t="n"/>
      <c r="L71" s="145" t="n"/>
      <c r="M71" s="145" t="n"/>
      <c r="N71" s="509">
        <f>Reported!N151</f>
        <v/>
      </c>
      <c r="O71" s="509">
        <f>Reported!O151</f>
        <v/>
      </c>
      <c r="P71" s="509">
        <f>Reported!P151</f>
        <v/>
      </c>
      <c r="Q71" s="509">
        <f>Reported!Q151</f>
        <v/>
      </c>
      <c r="R71" s="509">
        <f>Reported!R151</f>
        <v/>
      </c>
      <c r="S71" s="509">
        <f>Reported!S151</f>
        <v/>
      </c>
      <c r="T71" s="509">
        <f>Reported!T151</f>
        <v/>
      </c>
      <c r="U71" s="509">
        <f>Reported!U151</f>
        <v/>
      </c>
      <c r="V71" s="509">
        <f>Reported!V151</f>
        <v/>
      </c>
      <c r="W71" s="509">
        <f>Reported!W151</f>
        <v/>
      </c>
      <c r="X71" s="509">
        <f>Reported!X151</f>
        <v/>
      </c>
      <c r="Y71" s="509">
        <f>Reported!Y151</f>
        <v/>
      </c>
      <c r="Z71" s="509">
        <f>Reported!Z151</f>
        <v/>
      </c>
      <c r="AA71" s="509">
        <f>Reported!AA151</f>
        <v/>
      </c>
      <c r="AB71" s="509">
        <f>Reported!AB151</f>
        <v/>
      </c>
      <c r="AC71" s="509">
        <f>Reported!AC151</f>
        <v/>
      </c>
      <c r="AD71" s="509">
        <f>Reported!AD151</f>
        <v/>
      </c>
      <c r="AE71" s="509">
        <f>Reported!AE151</f>
        <v/>
      </c>
      <c r="AF71" s="509">
        <f>Reported!AF151</f>
        <v/>
      </c>
      <c r="AG71" s="509">
        <f>Reported!AG151</f>
        <v/>
      </c>
      <c r="AH71" s="509">
        <f>Reported!AH151</f>
        <v/>
      </c>
      <c r="AI71" s="509">
        <f>Reported!AI151</f>
        <v/>
      </c>
      <c r="AJ71" s="509">
        <f>Reported!AJ151</f>
        <v/>
      </c>
      <c r="AK71" s="509">
        <f>Reported!AK151</f>
        <v/>
      </c>
      <c r="AL71" s="509">
        <f>Reported!AL151</f>
        <v/>
      </c>
      <c r="AM71" s="509">
        <f>Reported!AM151</f>
        <v/>
      </c>
      <c r="AN71" s="509">
        <f>Reported!AN151</f>
        <v/>
      </c>
      <c r="AO71" s="509">
        <f>Reported!AO151</f>
        <v/>
      </c>
      <c r="AP71" s="509">
        <f>Reported!AP151</f>
        <v/>
      </c>
      <c r="AQ71" s="509">
        <f>Reported!AQ151</f>
        <v/>
      </c>
      <c r="AR71" s="509">
        <f>Reported!AR151</f>
        <v/>
      </c>
      <c r="AS71" s="509">
        <f>Reported!AS151</f>
        <v/>
      </c>
      <c r="AT71" s="509">
        <f>Reported!AT151</f>
        <v/>
      </c>
      <c r="AU71" s="509">
        <f>Reported!AU151</f>
        <v/>
      </c>
      <c r="AV71" s="509">
        <f>Reported!AV151</f>
        <v/>
      </c>
      <c r="AW71" s="509">
        <f>Reported!AW151</f>
        <v/>
      </c>
      <c r="AX71" s="509">
        <f>Reported!AX151</f>
        <v/>
      </c>
      <c r="AY71" s="509">
        <f>Reported!AY151</f>
        <v/>
      </c>
      <c r="AZ71" s="509">
        <f>Reported!AZ151</f>
        <v/>
      </c>
      <c r="BA71" s="509">
        <f>Reported!BA151</f>
        <v/>
      </c>
      <c r="BB71" s="509">
        <f>Reported!BB151</f>
        <v/>
      </c>
      <c r="BC71" s="509">
        <f>Reported!BC151</f>
        <v/>
      </c>
      <c r="BD71" s="509">
        <f>Reported!BD151</f>
        <v/>
      </c>
      <c r="BE71" s="509">
        <f>Reported!BE151</f>
        <v/>
      </c>
      <c r="BF71" s="509">
        <f>Reported!BF151</f>
        <v/>
      </c>
      <c r="BG71" s="509">
        <f>Reported!BG151</f>
        <v/>
      </c>
      <c r="BH71" s="509">
        <f>Reported!BH151</f>
        <v/>
      </c>
      <c r="BI71" s="509">
        <f>Reported!BI151</f>
        <v/>
      </c>
      <c r="BJ71" s="509">
        <f>Reported!BJ151</f>
        <v/>
      </c>
      <c r="BK71" s="509">
        <f>Reported!BK151</f>
        <v/>
      </c>
      <c r="BL71" s="509">
        <f>Reported!BL151</f>
        <v/>
      </c>
      <c r="BM71" s="509">
        <f>Reported!BM151</f>
        <v/>
      </c>
      <c r="BN71" s="509">
        <f>Reported!BN151</f>
        <v/>
      </c>
      <c r="BO71" s="509">
        <f>Reported!BO151</f>
        <v/>
      </c>
      <c r="BP71" s="509">
        <f>Reported!BP151</f>
        <v/>
      </c>
      <c r="BQ71" s="509">
        <f>Reported!BQ151</f>
        <v/>
      </c>
      <c r="BR71" s="509">
        <f>Reported!BR151</f>
        <v/>
      </c>
      <c r="BS71" s="517">
        <f>Assumption!BS224</f>
        <v/>
      </c>
      <c r="BT71" s="517">
        <f>Assumption!BT224</f>
        <v/>
      </c>
      <c r="BU71" s="517">
        <f>Assumption!BU224</f>
        <v/>
      </c>
      <c r="BV71" s="517">
        <f>Assumption!BV224</f>
        <v/>
      </c>
      <c r="BW71" s="517">
        <f>Assumption!BW224</f>
        <v/>
      </c>
      <c r="BX71" s="517">
        <f>Assumption!BX224</f>
        <v/>
      </c>
      <c r="BY71" s="517">
        <f>Assumption!BY224</f>
        <v/>
      </c>
      <c r="BZ71" s="517">
        <f>Assumption!BZ224</f>
        <v/>
      </c>
      <c r="CA71" s="517">
        <f>Assumption!CA224</f>
        <v/>
      </c>
      <c r="CB71" s="517">
        <f>Assumption!CB224</f>
        <v/>
      </c>
      <c r="CC71" s="517">
        <f>Assumption!CC224</f>
        <v/>
      </c>
      <c r="CD71" s="517">
        <f>Assumption!CD224</f>
        <v/>
      </c>
      <c r="CE71" s="517">
        <f>Assumption!CE224</f>
        <v/>
      </c>
      <c r="CF71" s="517">
        <f>Assumption!CF224</f>
        <v/>
      </c>
      <c r="CG71" s="517">
        <f>Assumption!CG224</f>
        <v/>
      </c>
      <c r="CH71" s="517">
        <f>Assumption!CH224</f>
        <v/>
      </c>
      <c r="CI71" s="517">
        <f>Assumption!CI224</f>
        <v/>
      </c>
      <c r="CJ71" s="517">
        <f>Assumption!CJ224</f>
        <v/>
      </c>
      <c r="CK71" s="517">
        <f>Assumption!CK224</f>
        <v/>
      </c>
    </row>
    <row r="72">
      <c r="A72" s="33" t="inlineStr">
        <is>
          <t>Accumulated other comprehensive loss</t>
        </is>
      </c>
      <c r="B72" s="145" t="n"/>
      <c r="C72" s="145" t="n"/>
      <c r="D72" s="145" t="n"/>
      <c r="E72" s="145" t="n"/>
      <c r="F72" s="145" t="n"/>
      <c r="G72" s="145" t="n"/>
      <c r="H72" s="145" t="n"/>
      <c r="I72" s="145" t="n"/>
      <c r="J72" s="145" t="n"/>
      <c r="K72" s="145" t="n"/>
      <c r="L72" s="145" t="n"/>
      <c r="M72" s="145" t="n"/>
      <c r="N72" s="509">
        <f>Reported!N152</f>
        <v/>
      </c>
      <c r="O72" s="509">
        <f>Reported!O152</f>
        <v/>
      </c>
      <c r="P72" s="509">
        <f>Reported!P152</f>
        <v/>
      </c>
      <c r="Q72" s="509">
        <f>Reported!Q152</f>
        <v/>
      </c>
      <c r="R72" s="509">
        <f>Reported!R152</f>
        <v/>
      </c>
      <c r="S72" s="509">
        <f>Reported!S152</f>
        <v/>
      </c>
      <c r="T72" s="509">
        <f>Reported!T152</f>
        <v/>
      </c>
      <c r="U72" s="509">
        <f>Reported!U152</f>
        <v/>
      </c>
      <c r="V72" s="509">
        <f>Reported!V152</f>
        <v/>
      </c>
      <c r="W72" s="509">
        <f>Reported!W152</f>
        <v/>
      </c>
      <c r="X72" s="509">
        <f>Reported!X152</f>
        <v/>
      </c>
      <c r="Y72" s="509">
        <f>Reported!Y152</f>
        <v/>
      </c>
      <c r="Z72" s="509">
        <f>Reported!Z152</f>
        <v/>
      </c>
      <c r="AA72" s="509">
        <f>Reported!AA152</f>
        <v/>
      </c>
      <c r="AB72" s="509">
        <f>Reported!AB152</f>
        <v/>
      </c>
      <c r="AC72" s="509">
        <f>Reported!AC152</f>
        <v/>
      </c>
      <c r="AD72" s="509">
        <f>Reported!AD152</f>
        <v/>
      </c>
      <c r="AE72" s="509">
        <f>Reported!AE152</f>
        <v/>
      </c>
      <c r="AF72" s="509">
        <f>Reported!AF152</f>
        <v/>
      </c>
      <c r="AG72" s="509">
        <f>Reported!AG152</f>
        <v/>
      </c>
      <c r="AH72" s="509">
        <f>Reported!AH152</f>
        <v/>
      </c>
      <c r="AI72" s="509">
        <f>Reported!AI152</f>
        <v/>
      </c>
      <c r="AJ72" s="509">
        <f>Reported!AJ152</f>
        <v/>
      </c>
      <c r="AK72" s="509">
        <f>Reported!AK152</f>
        <v/>
      </c>
      <c r="AL72" s="509">
        <f>Reported!AL152</f>
        <v/>
      </c>
      <c r="AM72" s="509">
        <f>Reported!AM152</f>
        <v/>
      </c>
      <c r="AN72" s="509">
        <f>Reported!AN152</f>
        <v/>
      </c>
      <c r="AO72" s="509">
        <f>Reported!AO152</f>
        <v/>
      </c>
      <c r="AP72" s="509">
        <f>Reported!AP152</f>
        <v/>
      </c>
      <c r="AQ72" s="509">
        <f>Reported!AQ152</f>
        <v/>
      </c>
      <c r="AR72" s="509">
        <f>Reported!AR152</f>
        <v/>
      </c>
      <c r="AS72" s="509">
        <f>Reported!AS152</f>
        <v/>
      </c>
      <c r="AT72" s="509">
        <f>Reported!AT152</f>
        <v/>
      </c>
      <c r="AU72" s="509">
        <f>Reported!AU152</f>
        <v/>
      </c>
      <c r="AV72" s="509">
        <f>Reported!AV152</f>
        <v/>
      </c>
      <c r="AW72" s="509">
        <f>Reported!AW152</f>
        <v/>
      </c>
      <c r="AX72" s="509">
        <f>Reported!AX152</f>
        <v/>
      </c>
      <c r="AY72" s="509">
        <f>Reported!AY152</f>
        <v/>
      </c>
      <c r="AZ72" s="509">
        <f>Reported!AZ152</f>
        <v/>
      </c>
      <c r="BA72" s="509">
        <f>Reported!BA152</f>
        <v/>
      </c>
      <c r="BB72" s="509">
        <f>Reported!BB152</f>
        <v/>
      </c>
      <c r="BC72" s="509">
        <f>Reported!BC152</f>
        <v/>
      </c>
      <c r="BD72" s="509">
        <f>Reported!BD152</f>
        <v/>
      </c>
      <c r="BE72" s="509">
        <f>Reported!BE152</f>
        <v/>
      </c>
      <c r="BF72" s="509">
        <f>Reported!BF152</f>
        <v/>
      </c>
      <c r="BG72" s="509">
        <f>Reported!BG152</f>
        <v/>
      </c>
      <c r="BH72" s="509">
        <f>Reported!BH152</f>
        <v/>
      </c>
      <c r="BI72" s="509">
        <f>Reported!BI152</f>
        <v/>
      </c>
      <c r="BJ72" s="509">
        <f>Reported!BJ152</f>
        <v/>
      </c>
      <c r="BK72" s="509">
        <f>Reported!BK152</f>
        <v/>
      </c>
      <c r="BL72" s="509">
        <f>Reported!BL152</f>
        <v/>
      </c>
      <c r="BM72" s="509">
        <f>Reported!BM152</f>
        <v/>
      </c>
      <c r="BN72" s="509">
        <f>Reported!BN152</f>
        <v/>
      </c>
      <c r="BO72" s="509">
        <f>Reported!BO152</f>
        <v/>
      </c>
      <c r="BP72" s="509">
        <f>Reported!BP152</f>
        <v/>
      </c>
      <c r="BQ72" s="509">
        <f>Reported!BQ152</f>
        <v/>
      </c>
      <c r="BR72" s="509">
        <f>Reported!BR152</f>
        <v/>
      </c>
      <c r="BS72" s="517">
        <f>Assumption!BS226</f>
        <v/>
      </c>
      <c r="BT72" s="517">
        <f>Assumption!BT226</f>
        <v/>
      </c>
      <c r="BU72" s="517">
        <f>Assumption!BU226</f>
        <v/>
      </c>
      <c r="BV72" s="517">
        <f>Assumption!BV226</f>
        <v/>
      </c>
      <c r="BW72" s="517">
        <f>Assumption!BW226</f>
        <v/>
      </c>
      <c r="BX72" s="517">
        <f>Assumption!BX226</f>
        <v/>
      </c>
      <c r="BY72" s="517">
        <f>Assumption!BY226</f>
        <v/>
      </c>
      <c r="BZ72" s="517">
        <f>Assumption!BZ226</f>
        <v/>
      </c>
      <c r="CA72" s="517">
        <f>Assumption!CA226</f>
        <v/>
      </c>
      <c r="CB72" s="517">
        <f>Assumption!CB226</f>
        <v/>
      </c>
      <c r="CC72" s="517">
        <f>Assumption!CC226</f>
        <v/>
      </c>
      <c r="CD72" s="517">
        <f>Assumption!CD226</f>
        <v/>
      </c>
      <c r="CE72" s="517">
        <f>Assumption!CE226</f>
        <v/>
      </c>
      <c r="CF72" s="517">
        <f>Assumption!CF226</f>
        <v/>
      </c>
      <c r="CG72" s="517">
        <f>Assumption!CG226</f>
        <v/>
      </c>
      <c r="CH72" s="517">
        <f>Assumption!CH226</f>
        <v/>
      </c>
      <c r="CI72" s="517">
        <f>Assumption!CI226</f>
        <v/>
      </c>
      <c r="CJ72" s="517">
        <f>Assumption!CJ226</f>
        <v/>
      </c>
      <c r="CK72" s="517">
        <f>Assumption!CK226</f>
        <v/>
      </c>
    </row>
    <row r="73">
      <c r="A73" s="74" t="inlineStr">
        <is>
          <t>Total IPG Photonics Corporation equity</t>
        </is>
      </c>
      <c r="B73" s="145" t="n"/>
      <c r="C73" s="145" t="n"/>
      <c r="D73" s="145" t="n"/>
      <c r="E73" s="145" t="n"/>
      <c r="F73" s="145" t="n"/>
      <c r="G73" s="145" t="n"/>
      <c r="H73" s="145" t="n"/>
      <c r="I73" s="145" t="n"/>
      <c r="J73" s="145" t="n"/>
      <c r="K73" s="145" t="n"/>
      <c r="L73" s="145" t="n"/>
      <c r="M73" s="145" t="n"/>
      <c r="N73" s="509">
        <f>Reported!N153</f>
        <v/>
      </c>
      <c r="O73" s="509">
        <f>Reported!O153</f>
        <v/>
      </c>
      <c r="P73" s="509">
        <f>Reported!P153</f>
        <v/>
      </c>
      <c r="Q73" s="509">
        <f>Reported!Q153</f>
        <v/>
      </c>
      <c r="R73" s="509">
        <f>Reported!R153</f>
        <v/>
      </c>
      <c r="S73" s="509">
        <f>Reported!S153</f>
        <v/>
      </c>
      <c r="T73" s="509">
        <f>Reported!T153</f>
        <v/>
      </c>
      <c r="U73" s="509">
        <f>Reported!U153</f>
        <v/>
      </c>
      <c r="V73" s="509">
        <f>Reported!V153</f>
        <v/>
      </c>
      <c r="W73" s="509">
        <f>Reported!W153</f>
        <v/>
      </c>
      <c r="X73" s="509">
        <f>Reported!X153</f>
        <v/>
      </c>
      <c r="Y73" s="509">
        <f>Reported!Y153</f>
        <v/>
      </c>
      <c r="Z73" s="509">
        <f>Reported!Z153</f>
        <v/>
      </c>
      <c r="AA73" s="509">
        <f>Reported!AA153</f>
        <v/>
      </c>
      <c r="AB73" s="509">
        <f>Reported!AB153</f>
        <v/>
      </c>
      <c r="AC73" s="509">
        <f>Reported!AC153</f>
        <v/>
      </c>
      <c r="AD73" s="509">
        <f>Reported!AD153</f>
        <v/>
      </c>
      <c r="AE73" s="509">
        <f>Reported!AE153</f>
        <v/>
      </c>
      <c r="AF73" s="509">
        <f>Reported!AF153</f>
        <v/>
      </c>
      <c r="AG73" s="509">
        <f>Reported!AG153</f>
        <v/>
      </c>
      <c r="AH73" s="509">
        <f>Reported!AH153</f>
        <v/>
      </c>
      <c r="AI73" s="509">
        <f>Reported!AI153</f>
        <v/>
      </c>
      <c r="AJ73" s="509">
        <f>Reported!AJ153</f>
        <v/>
      </c>
      <c r="AK73" s="509">
        <f>Reported!AK153</f>
        <v/>
      </c>
      <c r="AL73" s="509">
        <f>Reported!AL153</f>
        <v/>
      </c>
      <c r="AM73" s="509">
        <f>Reported!AM153</f>
        <v/>
      </c>
      <c r="AN73" s="509">
        <f>Reported!AN153</f>
        <v/>
      </c>
      <c r="AO73" s="509">
        <f>Reported!AO153</f>
        <v/>
      </c>
      <c r="AP73" s="509">
        <f>Reported!AP153</f>
        <v/>
      </c>
      <c r="AQ73" s="509">
        <f>Reported!AQ153</f>
        <v/>
      </c>
      <c r="AR73" s="509">
        <f>Reported!AR153</f>
        <v/>
      </c>
      <c r="AS73" s="509">
        <f>Reported!AS153</f>
        <v/>
      </c>
      <c r="AT73" s="509">
        <f>Reported!AT153</f>
        <v/>
      </c>
      <c r="AU73" s="509">
        <f>Reported!AU153</f>
        <v/>
      </c>
      <c r="AV73" s="509">
        <f>Reported!AV153</f>
        <v/>
      </c>
      <c r="AW73" s="509">
        <f>Reported!AW153</f>
        <v/>
      </c>
      <c r="AX73" s="509">
        <f>Reported!AX153</f>
        <v/>
      </c>
      <c r="AY73" s="509">
        <f>Reported!AY153</f>
        <v/>
      </c>
      <c r="AZ73" s="509">
        <f>Reported!AZ153</f>
        <v/>
      </c>
      <c r="BA73" s="509">
        <f>Reported!BA153</f>
        <v/>
      </c>
      <c r="BB73" s="509">
        <f>Reported!BB153</f>
        <v/>
      </c>
      <c r="BC73" s="509">
        <f>Reported!BC153</f>
        <v/>
      </c>
      <c r="BD73" s="509">
        <f>Reported!BD153</f>
        <v/>
      </c>
      <c r="BE73" s="509">
        <f>Reported!BE153</f>
        <v/>
      </c>
      <c r="BF73" s="509">
        <f>Reported!BF153</f>
        <v/>
      </c>
      <c r="BG73" s="509">
        <f>Reported!BG153</f>
        <v/>
      </c>
      <c r="BH73" s="509">
        <f>Reported!BH153</f>
        <v/>
      </c>
      <c r="BI73" s="509">
        <f>Reported!BI153</f>
        <v/>
      </c>
      <c r="BJ73" s="509">
        <f>Reported!BJ153</f>
        <v/>
      </c>
      <c r="BK73" s="509">
        <f>Reported!BK153</f>
        <v/>
      </c>
      <c r="BL73" s="509">
        <f>Reported!BL153</f>
        <v/>
      </c>
      <c r="BM73" s="509">
        <f>Reported!BM153</f>
        <v/>
      </c>
      <c r="BN73" s="509">
        <f>Reported!BN153</f>
        <v/>
      </c>
      <c r="BO73" s="509">
        <f>Reported!BO153</f>
        <v/>
      </c>
      <c r="BP73" s="509">
        <f>Reported!BP153</f>
        <v/>
      </c>
      <c r="BQ73" s="509">
        <f>Reported!BQ153</f>
        <v/>
      </c>
      <c r="BR73" s="509">
        <f>Reported!BR153</f>
        <v/>
      </c>
      <c r="BS73" s="517">
        <f>SUM(BS68:BS72)</f>
        <v/>
      </c>
      <c r="BT73" s="517">
        <f>SUM(BT68:BT72)</f>
        <v/>
      </c>
      <c r="BU73" s="517">
        <f>SUM(BU68:BU72)</f>
        <v/>
      </c>
      <c r="BV73" s="517">
        <f>SUM(BV68:BV72)</f>
        <v/>
      </c>
      <c r="BW73" s="517">
        <f>SUM(BW68:BW72)</f>
        <v/>
      </c>
      <c r="BX73" s="517">
        <f>SUM(BX68:BX72)</f>
        <v/>
      </c>
      <c r="BY73" s="517">
        <f>SUM(BY68:BY72)</f>
        <v/>
      </c>
      <c r="BZ73" s="517">
        <f>SUM(BZ68:BZ72)</f>
        <v/>
      </c>
      <c r="CA73" s="517">
        <f>SUM(CA68:CA72)</f>
        <v/>
      </c>
      <c r="CB73" s="517">
        <f>SUM(CB68:CB72)</f>
        <v/>
      </c>
      <c r="CC73" s="517">
        <f>SUM(CC68:CC72)</f>
        <v/>
      </c>
      <c r="CD73" s="517">
        <f>SUM(CD68:CD72)</f>
        <v/>
      </c>
      <c r="CE73" s="517">
        <f>SUM(CE68:CE72)</f>
        <v/>
      </c>
      <c r="CF73" s="517">
        <f>SUM(CF68:CF72)</f>
        <v/>
      </c>
      <c r="CG73" s="517">
        <f>SUM(CG68:CG72)</f>
        <v/>
      </c>
      <c r="CH73" s="517">
        <f>SUM(CH68:CH72)</f>
        <v/>
      </c>
      <c r="CI73" s="517">
        <f>SUM(CI68:CI72)</f>
        <v/>
      </c>
      <c r="CJ73" s="517">
        <f>SUM(CJ68:CJ72)</f>
        <v/>
      </c>
      <c r="CK73" s="517">
        <f>SUM(CK68:CK72)</f>
        <v/>
      </c>
    </row>
    <row r="74">
      <c r="A74" s="74" t="inlineStr">
        <is>
          <t>Noncontrolling interests</t>
        </is>
      </c>
      <c r="B74" s="145" t="n"/>
      <c r="C74" s="145" t="n"/>
      <c r="D74" s="145" t="n"/>
      <c r="E74" s="145" t="n"/>
      <c r="F74" s="145" t="n"/>
      <c r="G74" s="145" t="n"/>
      <c r="H74" s="145" t="n"/>
      <c r="I74" s="145" t="n"/>
      <c r="J74" s="145" t="n"/>
      <c r="K74" s="145" t="n"/>
      <c r="L74" s="145" t="n"/>
      <c r="M74" s="145" t="n"/>
      <c r="N74" s="509">
        <f>Reported!N154</f>
        <v/>
      </c>
      <c r="O74" s="509">
        <f>Reported!O154</f>
        <v/>
      </c>
      <c r="P74" s="509">
        <f>Reported!P154</f>
        <v/>
      </c>
      <c r="Q74" s="509">
        <f>Reported!Q154</f>
        <v/>
      </c>
      <c r="R74" s="509">
        <f>Reported!R154</f>
        <v/>
      </c>
      <c r="S74" s="509">
        <f>Reported!S154</f>
        <v/>
      </c>
      <c r="T74" s="509">
        <f>Reported!T154</f>
        <v/>
      </c>
      <c r="U74" s="509">
        <f>Reported!U154</f>
        <v/>
      </c>
      <c r="V74" s="509">
        <f>Reported!V154</f>
        <v/>
      </c>
      <c r="W74" s="509">
        <f>Reported!W154</f>
        <v/>
      </c>
      <c r="X74" s="509">
        <f>Reported!X154</f>
        <v/>
      </c>
      <c r="Y74" s="509">
        <f>Reported!Y154</f>
        <v/>
      </c>
      <c r="Z74" s="509">
        <f>Reported!Z154</f>
        <v/>
      </c>
      <c r="AA74" s="509">
        <f>Reported!AA154</f>
        <v/>
      </c>
      <c r="AB74" s="509">
        <f>Reported!AB154</f>
        <v/>
      </c>
      <c r="AC74" s="509">
        <f>Reported!AC154</f>
        <v/>
      </c>
      <c r="AD74" s="509">
        <f>Reported!AD154</f>
        <v/>
      </c>
      <c r="AE74" s="509">
        <f>Reported!AE154</f>
        <v/>
      </c>
      <c r="AF74" s="509">
        <f>Reported!AF154</f>
        <v/>
      </c>
      <c r="AG74" s="509">
        <f>Reported!AG154</f>
        <v/>
      </c>
      <c r="AH74" s="509">
        <f>Reported!AH154</f>
        <v/>
      </c>
      <c r="AI74" s="509">
        <f>Reported!AI154</f>
        <v/>
      </c>
      <c r="AJ74" s="509">
        <f>Reported!AJ154</f>
        <v/>
      </c>
      <c r="AK74" s="509">
        <f>Reported!AK154</f>
        <v/>
      </c>
      <c r="AL74" s="509">
        <f>Reported!AL154</f>
        <v/>
      </c>
      <c r="AM74" s="509">
        <f>Reported!AM154</f>
        <v/>
      </c>
      <c r="AN74" s="509">
        <f>Reported!AN154</f>
        <v/>
      </c>
      <c r="AO74" s="509">
        <f>Reported!AO154</f>
        <v/>
      </c>
      <c r="AP74" s="509">
        <f>Reported!AP154</f>
        <v/>
      </c>
      <c r="AQ74" s="509">
        <f>Reported!AQ154</f>
        <v/>
      </c>
      <c r="AR74" s="509">
        <f>Reported!AR154</f>
        <v/>
      </c>
      <c r="AS74" s="509">
        <f>Reported!AS154</f>
        <v/>
      </c>
      <c r="AT74" s="509">
        <f>Reported!AT154</f>
        <v/>
      </c>
      <c r="AU74" s="509">
        <f>Reported!AU154</f>
        <v/>
      </c>
      <c r="AV74" s="509">
        <f>Reported!AV154</f>
        <v/>
      </c>
      <c r="AW74" s="509">
        <f>Reported!AW154</f>
        <v/>
      </c>
      <c r="AX74" s="509">
        <f>Reported!AX154</f>
        <v/>
      </c>
      <c r="AY74" s="509">
        <f>Reported!AY154</f>
        <v/>
      </c>
      <c r="AZ74" s="509">
        <f>Reported!AZ154</f>
        <v/>
      </c>
      <c r="BA74" s="509">
        <f>Reported!BA154</f>
        <v/>
      </c>
      <c r="BB74" s="509">
        <f>Reported!BB154</f>
        <v/>
      </c>
      <c r="BC74" s="509">
        <f>Reported!BC154</f>
        <v/>
      </c>
      <c r="BD74" s="509">
        <f>Reported!BD154</f>
        <v/>
      </c>
      <c r="BE74" s="509">
        <f>Reported!BE154</f>
        <v/>
      </c>
      <c r="BF74" s="509">
        <f>Reported!BF154</f>
        <v/>
      </c>
      <c r="BG74" s="509">
        <f>Reported!BG154</f>
        <v/>
      </c>
      <c r="BH74" s="509">
        <f>Reported!BH154</f>
        <v/>
      </c>
      <c r="BI74" s="509">
        <f>Reported!BI154</f>
        <v/>
      </c>
      <c r="BJ74" s="509">
        <f>Reported!BJ154</f>
        <v/>
      </c>
      <c r="BK74" s="509">
        <f>Reported!BK154</f>
        <v/>
      </c>
      <c r="BL74" s="509">
        <f>Reported!BL154</f>
        <v/>
      </c>
      <c r="BM74" s="509">
        <f>Reported!BM154</f>
        <v/>
      </c>
      <c r="BN74" s="509">
        <f>Reported!BN154</f>
        <v/>
      </c>
      <c r="BO74" s="509">
        <f>Reported!BO154</f>
        <v/>
      </c>
      <c r="BP74" s="509">
        <f>Reported!BP154</f>
        <v/>
      </c>
      <c r="BQ74" s="509">
        <f>Reported!BQ154</f>
        <v/>
      </c>
      <c r="BR74" s="509">
        <f>Reported!BR154</f>
        <v/>
      </c>
      <c r="BS74" s="517">
        <f>Assumption!BS228</f>
        <v/>
      </c>
      <c r="BT74" s="517">
        <f>Assumption!BT228</f>
        <v/>
      </c>
      <c r="BU74" s="517">
        <f>Assumption!BU228</f>
        <v/>
      </c>
      <c r="BV74" s="517">
        <f>Assumption!BV228</f>
        <v/>
      </c>
      <c r="BW74" s="517">
        <f>Assumption!BW228</f>
        <v/>
      </c>
      <c r="BX74" s="517">
        <f>Assumption!BX228</f>
        <v/>
      </c>
      <c r="BY74" s="517">
        <f>Assumption!BY228</f>
        <v/>
      </c>
      <c r="BZ74" s="517">
        <f>Assumption!BZ228</f>
        <v/>
      </c>
      <c r="CA74" s="517">
        <f>Assumption!CA228</f>
        <v/>
      </c>
      <c r="CB74" s="517">
        <f>Assumption!CB228</f>
        <v/>
      </c>
      <c r="CC74" s="517">
        <f>Assumption!CC228</f>
        <v/>
      </c>
      <c r="CD74" s="517">
        <f>Assumption!CD228</f>
        <v/>
      </c>
      <c r="CE74" s="517">
        <f>Assumption!CE228</f>
        <v/>
      </c>
      <c r="CF74" s="517">
        <f>Assumption!CF228</f>
        <v/>
      </c>
      <c r="CG74" s="517">
        <f>Assumption!CG228</f>
        <v/>
      </c>
      <c r="CH74" s="517">
        <f>Assumption!CH228</f>
        <v/>
      </c>
      <c r="CI74" s="517">
        <f>Assumption!CI228</f>
        <v/>
      </c>
      <c r="CJ74" s="517">
        <f>Assumption!CJ228</f>
        <v/>
      </c>
      <c r="CK74" s="517">
        <f>Assumption!CK228</f>
        <v/>
      </c>
    </row>
    <row r="75">
      <c r="A75" s="22" t="inlineStr">
        <is>
          <t>Total equity</t>
        </is>
      </c>
      <c r="B75" s="133" t="n"/>
      <c r="C75" s="133" t="n"/>
      <c r="D75" s="133" t="n"/>
      <c r="E75" s="133" t="n"/>
      <c r="F75" s="133" t="n"/>
      <c r="G75" s="133" t="n"/>
      <c r="H75" s="133" t="n"/>
      <c r="I75" s="133" t="n"/>
      <c r="J75" s="133" t="n"/>
      <c r="K75" s="133" t="n"/>
      <c r="L75" s="133" t="n"/>
      <c r="M75" s="133" t="n"/>
      <c r="N75" s="671">
        <f>Reported!N155</f>
        <v/>
      </c>
      <c r="O75" s="671">
        <f>Reported!O155</f>
        <v/>
      </c>
      <c r="P75" s="671">
        <f>Reported!P155</f>
        <v/>
      </c>
      <c r="Q75" s="671">
        <f>Reported!Q155</f>
        <v/>
      </c>
      <c r="R75" s="671">
        <f>Reported!R155</f>
        <v/>
      </c>
      <c r="S75" s="671">
        <f>Reported!S155</f>
        <v/>
      </c>
      <c r="T75" s="671">
        <f>Reported!T155</f>
        <v/>
      </c>
      <c r="U75" s="671">
        <f>Reported!U155</f>
        <v/>
      </c>
      <c r="V75" s="671">
        <f>Reported!V155</f>
        <v/>
      </c>
      <c r="W75" s="671">
        <f>Reported!W155</f>
        <v/>
      </c>
      <c r="X75" s="671">
        <f>Reported!X155</f>
        <v/>
      </c>
      <c r="Y75" s="671">
        <f>Reported!Y155</f>
        <v/>
      </c>
      <c r="Z75" s="671">
        <f>Reported!Z155</f>
        <v/>
      </c>
      <c r="AA75" s="671">
        <f>Reported!AA155</f>
        <v/>
      </c>
      <c r="AB75" s="671">
        <f>Reported!AB155</f>
        <v/>
      </c>
      <c r="AC75" s="671">
        <f>Reported!AC155</f>
        <v/>
      </c>
      <c r="AD75" s="671">
        <f>Reported!AD155</f>
        <v/>
      </c>
      <c r="AE75" s="671">
        <f>Reported!AE155</f>
        <v/>
      </c>
      <c r="AF75" s="671">
        <f>Reported!AF155</f>
        <v/>
      </c>
      <c r="AG75" s="671">
        <f>Reported!AG155</f>
        <v/>
      </c>
      <c r="AH75" s="671">
        <f>Reported!AH155</f>
        <v/>
      </c>
      <c r="AI75" s="671">
        <f>Reported!AI155</f>
        <v/>
      </c>
      <c r="AJ75" s="671">
        <f>Reported!AJ155</f>
        <v/>
      </c>
      <c r="AK75" s="671">
        <f>Reported!AK155</f>
        <v/>
      </c>
      <c r="AL75" s="671">
        <f>Reported!AL155</f>
        <v/>
      </c>
      <c r="AM75" s="671">
        <f>Reported!AM155</f>
        <v/>
      </c>
      <c r="AN75" s="671">
        <f>Reported!AN155</f>
        <v/>
      </c>
      <c r="AO75" s="671">
        <f>Reported!AO155</f>
        <v/>
      </c>
      <c r="AP75" s="671">
        <f>Reported!AP155</f>
        <v/>
      </c>
      <c r="AQ75" s="671">
        <f>Reported!AQ155</f>
        <v/>
      </c>
      <c r="AR75" s="671">
        <f>Reported!AR155</f>
        <v/>
      </c>
      <c r="AS75" s="671">
        <f>Reported!AS155</f>
        <v/>
      </c>
      <c r="AT75" s="671">
        <f>Reported!AT155</f>
        <v/>
      </c>
      <c r="AU75" s="671">
        <f>Reported!AU155</f>
        <v/>
      </c>
      <c r="AV75" s="671">
        <f>Reported!AV155</f>
        <v/>
      </c>
      <c r="AW75" s="671">
        <f>Reported!AW155</f>
        <v/>
      </c>
      <c r="AX75" s="671">
        <f>Reported!AX155</f>
        <v/>
      </c>
      <c r="AY75" s="671">
        <f>Reported!AY155</f>
        <v/>
      </c>
      <c r="AZ75" s="671">
        <f>Reported!AZ155</f>
        <v/>
      </c>
      <c r="BA75" s="671">
        <f>Reported!BA155</f>
        <v/>
      </c>
      <c r="BB75" s="671">
        <f>Reported!BB155</f>
        <v/>
      </c>
      <c r="BC75" s="671">
        <f>Reported!BC155</f>
        <v/>
      </c>
      <c r="BD75" s="671">
        <f>Reported!BD155</f>
        <v/>
      </c>
      <c r="BE75" s="671">
        <f>Reported!BE155</f>
        <v/>
      </c>
      <c r="BF75" s="671">
        <f>Reported!BF155</f>
        <v/>
      </c>
      <c r="BG75" s="671">
        <f>Reported!BG155</f>
        <v/>
      </c>
      <c r="BH75" s="671">
        <f>Reported!BH155</f>
        <v/>
      </c>
      <c r="BI75" s="671">
        <f>Reported!BI155</f>
        <v/>
      </c>
      <c r="BJ75" s="671">
        <f>Reported!BJ155</f>
        <v/>
      </c>
      <c r="BK75" s="671">
        <f>Reported!BK155</f>
        <v/>
      </c>
      <c r="BL75" s="671">
        <f>Reported!BL155</f>
        <v/>
      </c>
      <c r="BM75" s="671">
        <f>Reported!BM155</f>
        <v/>
      </c>
      <c r="BN75" s="671">
        <f>Reported!BN155</f>
        <v/>
      </c>
      <c r="BO75" s="671">
        <f>Reported!BO155</f>
        <v/>
      </c>
      <c r="BP75" s="671">
        <f>Reported!BP155</f>
        <v/>
      </c>
      <c r="BQ75" s="671">
        <f>Reported!BQ155</f>
        <v/>
      </c>
      <c r="BR75" s="671">
        <f>Reported!BR155</f>
        <v/>
      </c>
      <c r="BS75" s="519">
        <f>SUM(BS73:BS74)</f>
        <v/>
      </c>
      <c r="BT75" s="519">
        <f>SUM(BT73:BT74)</f>
        <v/>
      </c>
      <c r="BU75" s="519">
        <f>SUM(BU73:BU74)</f>
        <v/>
      </c>
      <c r="BV75" s="519">
        <f>SUM(BV73:BV74)</f>
        <v/>
      </c>
      <c r="BW75" s="519">
        <f>SUM(BW73:BW74)</f>
        <v/>
      </c>
      <c r="BX75" s="519">
        <f>SUM(BX73:BX74)</f>
        <v/>
      </c>
      <c r="BY75" s="519">
        <f>SUM(BY73:BY74)</f>
        <v/>
      </c>
      <c r="BZ75" s="519">
        <f>SUM(BZ73:BZ74)</f>
        <v/>
      </c>
      <c r="CA75" s="519">
        <f>SUM(CA73:CA74)</f>
        <v/>
      </c>
      <c r="CB75" s="519">
        <f>SUM(CB73:CB74)</f>
        <v/>
      </c>
      <c r="CC75" s="519">
        <f>SUM(CC73:CC74)</f>
        <v/>
      </c>
      <c r="CD75" s="519">
        <f>SUM(CD73:CD74)</f>
        <v/>
      </c>
      <c r="CE75" s="519">
        <f>SUM(CE73:CE74)</f>
        <v/>
      </c>
      <c r="CF75" s="519">
        <f>SUM(CF73:CF74)</f>
        <v/>
      </c>
      <c r="CG75" s="519">
        <f>SUM(CG73:CG74)</f>
        <v/>
      </c>
      <c r="CH75" s="519">
        <f>SUM(CH73:CH74)</f>
        <v/>
      </c>
      <c r="CI75" s="519">
        <f>SUM(CI73:CI74)</f>
        <v/>
      </c>
      <c r="CJ75" s="519">
        <f>SUM(CJ73:CJ74)</f>
        <v/>
      </c>
      <c r="CK75" s="519">
        <f>SUM(CK73:CK74)</f>
        <v/>
      </c>
    </row>
    <row r="76">
      <c r="A76" s="22" t="inlineStr">
        <is>
          <t>Total equity and liabillities</t>
        </is>
      </c>
      <c r="B76" s="133" t="n"/>
      <c r="C76" s="133" t="n"/>
      <c r="D76" s="133" t="n"/>
      <c r="E76" s="133" t="n"/>
      <c r="F76" s="133" t="n"/>
      <c r="G76" s="133" t="n"/>
      <c r="H76" s="133" t="n"/>
      <c r="I76" s="133" t="n"/>
      <c r="J76" s="133" t="n"/>
      <c r="K76" s="133" t="n"/>
      <c r="L76" s="133" t="n"/>
      <c r="M76" s="133" t="n"/>
      <c r="N76" s="671">
        <f>Reported!N156</f>
        <v/>
      </c>
      <c r="O76" s="671">
        <f>Reported!O156</f>
        <v/>
      </c>
      <c r="P76" s="671">
        <f>Reported!P156</f>
        <v/>
      </c>
      <c r="Q76" s="671">
        <f>Reported!Q156</f>
        <v/>
      </c>
      <c r="R76" s="671">
        <f>Reported!R156</f>
        <v/>
      </c>
      <c r="S76" s="671">
        <f>Reported!S156</f>
        <v/>
      </c>
      <c r="T76" s="671">
        <f>Reported!T156</f>
        <v/>
      </c>
      <c r="U76" s="671">
        <f>Reported!U156</f>
        <v/>
      </c>
      <c r="V76" s="671">
        <f>Reported!V156</f>
        <v/>
      </c>
      <c r="W76" s="671">
        <f>Reported!W156</f>
        <v/>
      </c>
      <c r="X76" s="671">
        <f>Reported!X156</f>
        <v/>
      </c>
      <c r="Y76" s="671">
        <f>Reported!Y156</f>
        <v/>
      </c>
      <c r="Z76" s="671">
        <f>Reported!Z156</f>
        <v/>
      </c>
      <c r="AA76" s="671">
        <f>Reported!AA156</f>
        <v/>
      </c>
      <c r="AB76" s="671">
        <f>Reported!AB156</f>
        <v/>
      </c>
      <c r="AC76" s="671">
        <f>Reported!AC156</f>
        <v/>
      </c>
      <c r="AD76" s="671">
        <f>Reported!AD156</f>
        <v/>
      </c>
      <c r="AE76" s="671">
        <f>Reported!AE156</f>
        <v/>
      </c>
      <c r="AF76" s="671">
        <f>Reported!AF156</f>
        <v/>
      </c>
      <c r="AG76" s="671">
        <f>Reported!AG156</f>
        <v/>
      </c>
      <c r="AH76" s="671">
        <f>Reported!AH156</f>
        <v/>
      </c>
      <c r="AI76" s="671">
        <f>Reported!AI156</f>
        <v/>
      </c>
      <c r="AJ76" s="671">
        <f>Reported!AJ156</f>
        <v/>
      </c>
      <c r="AK76" s="671">
        <f>Reported!AK156</f>
        <v/>
      </c>
      <c r="AL76" s="671">
        <f>Reported!AL156</f>
        <v/>
      </c>
      <c r="AM76" s="671">
        <f>Reported!AM156</f>
        <v/>
      </c>
      <c r="AN76" s="671">
        <f>Reported!AN156</f>
        <v/>
      </c>
      <c r="AO76" s="671">
        <f>Reported!AO156</f>
        <v/>
      </c>
      <c r="AP76" s="671">
        <f>Reported!AP156</f>
        <v/>
      </c>
      <c r="AQ76" s="671">
        <f>Reported!AQ156</f>
        <v/>
      </c>
      <c r="AR76" s="671">
        <f>Reported!AR156</f>
        <v/>
      </c>
      <c r="AS76" s="671">
        <f>Reported!AS156</f>
        <v/>
      </c>
      <c r="AT76" s="671">
        <f>Reported!AT156</f>
        <v/>
      </c>
      <c r="AU76" s="671">
        <f>Reported!AU156</f>
        <v/>
      </c>
      <c r="AV76" s="671">
        <f>Reported!AV156</f>
        <v/>
      </c>
      <c r="AW76" s="671">
        <f>Reported!AW156</f>
        <v/>
      </c>
      <c r="AX76" s="671">
        <f>Reported!AX156</f>
        <v/>
      </c>
      <c r="AY76" s="671">
        <f>Reported!AY156</f>
        <v/>
      </c>
      <c r="AZ76" s="671">
        <f>Reported!AZ156</f>
        <v/>
      </c>
      <c r="BA76" s="671">
        <f>Reported!BA156</f>
        <v/>
      </c>
      <c r="BB76" s="671">
        <f>Reported!BB156</f>
        <v/>
      </c>
      <c r="BC76" s="671">
        <f>Reported!BC156</f>
        <v/>
      </c>
      <c r="BD76" s="671">
        <f>Reported!BD156</f>
        <v/>
      </c>
      <c r="BE76" s="671">
        <f>Reported!BE156</f>
        <v/>
      </c>
      <c r="BF76" s="671">
        <f>Reported!BF156</f>
        <v/>
      </c>
      <c r="BG76" s="671">
        <f>Reported!BG156</f>
        <v/>
      </c>
      <c r="BH76" s="671">
        <f>Reported!BH156</f>
        <v/>
      </c>
      <c r="BI76" s="671">
        <f>Reported!BI156</f>
        <v/>
      </c>
      <c r="BJ76" s="671">
        <f>Reported!BJ156</f>
        <v/>
      </c>
      <c r="BK76" s="671">
        <f>Reported!BK156</f>
        <v/>
      </c>
      <c r="BL76" s="671">
        <f>Reported!BL156</f>
        <v/>
      </c>
      <c r="BM76" s="671">
        <f>Reported!BM156</f>
        <v/>
      </c>
      <c r="BN76" s="671">
        <f>Reported!BN156</f>
        <v/>
      </c>
      <c r="BO76" s="671">
        <f>Reported!BO156</f>
        <v/>
      </c>
      <c r="BP76" s="671">
        <f>Reported!BP156</f>
        <v/>
      </c>
      <c r="BQ76" s="671">
        <f>Reported!BQ156</f>
        <v/>
      </c>
      <c r="BR76" s="671">
        <f>Reported!BR156</f>
        <v/>
      </c>
      <c r="BS76" s="519">
        <f>BS66+BS75</f>
        <v/>
      </c>
      <c r="BT76" s="519">
        <f>BT66+BT75</f>
        <v/>
      </c>
      <c r="BU76" s="519">
        <f>BU66+BU75</f>
        <v/>
      </c>
      <c r="BV76" s="519">
        <f>BV66+BV75</f>
        <v/>
      </c>
      <c r="BW76" s="519">
        <f>BW66+BW75</f>
        <v/>
      </c>
      <c r="BX76" s="519">
        <f>BX66+BX75</f>
        <v/>
      </c>
      <c r="BY76" s="519">
        <f>BY66+BY75</f>
        <v/>
      </c>
      <c r="BZ76" s="519">
        <f>BZ66+BZ75</f>
        <v/>
      </c>
      <c r="CA76" s="519">
        <f>CA66+CA75</f>
        <v/>
      </c>
      <c r="CB76" s="519">
        <f>CB66+CB75</f>
        <v/>
      </c>
      <c r="CC76" s="519">
        <f>CC66+CC75</f>
        <v/>
      </c>
      <c r="CD76" s="519">
        <f>CD66+CD75</f>
        <v/>
      </c>
      <c r="CE76" s="519">
        <f>CE66+CE75</f>
        <v/>
      </c>
      <c r="CF76" s="519">
        <f>CF66+CF75</f>
        <v/>
      </c>
      <c r="CG76" s="519">
        <f>CG66+CG75</f>
        <v/>
      </c>
      <c r="CH76" s="519">
        <f>CH66+CH75</f>
        <v/>
      </c>
      <c r="CI76" s="519">
        <f>CI66+CI75</f>
        <v/>
      </c>
      <c r="CJ76" s="519">
        <f>CJ66+CJ75</f>
        <v/>
      </c>
      <c r="CK76" s="519">
        <f>CK66+CK75</f>
        <v/>
      </c>
    </row>
    <row r="77">
      <c r="A77" s="22" t="n"/>
      <c r="B77" s="145" t="n"/>
      <c r="C77" s="145" t="n"/>
      <c r="D77" s="145" t="n"/>
      <c r="E77" s="145" t="n"/>
      <c r="F77" s="145" t="n"/>
      <c r="G77" s="145" t="n"/>
      <c r="H77" s="145" t="n"/>
      <c r="I77" s="145" t="n"/>
      <c r="J77" s="145" t="n"/>
      <c r="K77" s="145" t="n"/>
      <c r="L77" s="145" t="n"/>
      <c r="M77" s="145" t="n"/>
      <c r="N77" s="145" t="n"/>
      <c r="O77" s="145" t="n"/>
      <c r="P77" s="145" t="n"/>
      <c r="Q77" s="145" t="n"/>
      <c r="R77" s="145" t="n"/>
      <c r="S77" s="145" t="n"/>
      <c r="T77" s="145" t="n"/>
      <c r="U77" s="145" t="n"/>
      <c r="V77" s="145" t="n"/>
      <c r="W77" s="145" t="n"/>
      <c r="X77" s="145" t="n"/>
      <c r="Y77" s="145" t="n"/>
      <c r="Z77" s="145" t="n"/>
      <c r="AA77" s="145" t="n"/>
      <c r="AB77" s="145" t="n"/>
      <c r="AC77" s="145" t="n"/>
      <c r="AD77" s="145" t="n"/>
      <c r="AE77" s="145" t="n"/>
      <c r="AF77" s="145" t="n"/>
      <c r="AG77" s="145" t="n"/>
      <c r="AH77" s="145" t="n"/>
      <c r="AI77" s="145" t="n"/>
      <c r="AJ77" s="145" t="n"/>
      <c r="AK77" s="145" t="n"/>
      <c r="AL77" s="145" t="n"/>
      <c r="AM77" s="145" t="n"/>
      <c r="AN77" s="145" t="n"/>
      <c r="AO77" s="145" t="n"/>
      <c r="AP77" s="145" t="n"/>
      <c r="AQ77" s="145" t="n"/>
      <c r="AR77" s="145" t="n"/>
    </row>
    <row r="78">
      <c r="A78" s="455" t="inlineStr">
        <is>
          <t>Check</t>
        </is>
      </c>
      <c r="B78" s="400">
        <f>SUM(B44:B50)-B51</f>
        <v/>
      </c>
      <c r="C78" s="400">
        <f>SUM(C44:C50)-C51</f>
        <v/>
      </c>
      <c r="D78" s="400">
        <f>SUM(D44:D50)-D51</f>
        <v/>
      </c>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400">
        <f>SUM(X44:X50)-X51</f>
        <v/>
      </c>
      <c r="Y78" s="400">
        <f>SUM(Y44:Y50)-Y51</f>
        <v/>
      </c>
      <c r="Z78" s="400">
        <f>SUM(Z44:Z50)-Z51</f>
        <v/>
      </c>
      <c r="AA78" s="400">
        <f>SUM(AA44:AA50)-AA51</f>
        <v/>
      </c>
      <c r="AB78" s="400">
        <f>SUM(AB44:AB50)-AB51</f>
        <v/>
      </c>
      <c r="AC78" s="400">
        <f>SUM(AC44:AC50)-AC51</f>
        <v/>
      </c>
      <c r="AD78" s="400">
        <f>SUM(AD44:AD50)-AD51</f>
        <v/>
      </c>
      <c r="AE78" s="400">
        <f>SUM(AE44:AE50)-AE51</f>
        <v/>
      </c>
      <c r="AF78" s="400">
        <f>SUM(AF44:AF50)-AF51</f>
        <v/>
      </c>
      <c r="AG78" s="400">
        <f>SUM(AG44:AG50)-AG51</f>
        <v/>
      </c>
      <c r="AH78" s="400">
        <f>SUM(AH44:AH50)-AH51</f>
        <v/>
      </c>
      <c r="AI78" s="400">
        <f>SUM(AI44:AI50)-AI51</f>
        <v/>
      </c>
      <c r="AJ78" s="400">
        <f>SUM(AJ44:AJ50)-AJ51</f>
        <v/>
      </c>
      <c r="AK78" s="400">
        <f>SUM(AK44:AK50)-AK51</f>
        <v/>
      </c>
      <c r="AL78" s="400">
        <f>SUM(AL44:AL50)-AL51</f>
        <v/>
      </c>
      <c r="AM78" s="400">
        <f>SUM(AM44:AM50)-AM51</f>
        <v/>
      </c>
      <c r="AN78" s="400">
        <f>SUM(AN44:AN50)-AN51</f>
        <v/>
      </c>
      <c r="AO78" s="400">
        <f>SUM(AO44:AO50)-AO51</f>
        <v/>
      </c>
      <c r="AP78" s="400">
        <f>SUM(AP44:AP50)-AP51</f>
        <v/>
      </c>
      <c r="AQ78" s="400">
        <f>SUM(AQ44:AQ50)-AQ51</f>
        <v/>
      </c>
      <c r="AR78" s="400">
        <f>SUM(AR44:AR50)-AR51</f>
        <v/>
      </c>
      <c r="AS78" s="400">
        <f>SUM(AS44:AS50)-AS51</f>
        <v/>
      </c>
      <c r="AT78" s="400">
        <f>SUM(AT44:AT50)-AT51</f>
        <v/>
      </c>
      <c r="AU78" s="400">
        <f>SUM(AU44:AU50)-AU51</f>
        <v/>
      </c>
      <c r="AV78" s="400">
        <f>SUM(AV44:AV50)-AV51</f>
        <v/>
      </c>
      <c r="AW78" s="400">
        <f>SUM(AW44:AW50)-AW51</f>
        <v/>
      </c>
      <c r="AX78" s="400">
        <f>SUM(AX44:AX50)-AX51</f>
        <v/>
      </c>
      <c r="AY78" s="400">
        <f>SUM(AY44:AY50)-AY51</f>
        <v/>
      </c>
      <c r="AZ78" s="400">
        <f>SUM(AZ44:AZ50)-AZ51</f>
        <v/>
      </c>
      <c r="BA78" s="400">
        <f>SUM(BA44:BA50)-BA51</f>
        <v/>
      </c>
      <c r="BB78" s="400">
        <f>SUM(BB44:BB50)-BB51</f>
        <v/>
      </c>
      <c r="BC78" s="400">
        <f>SUM(BC44:BC50)-BC51</f>
        <v/>
      </c>
      <c r="BD78" s="400">
        <f>SUM(BD44:BD50)-BD51</f>
        <v/>
      </c>
      <c r="BE78" s="400">
        <f>SUM(BE44:BE50)-BE51</f>
        <v/>
      </c>
      <c r="BF78" s="400">
        <f>SUM(BF44:BF50)-BF51</f>
        <v/>
      </c>
      <c r="BG78" s="400">
        <f>SUM(BG44:BG50)-BG51</f>
        <v/>
      </c>
      <c r="BH78" s="400">
        <f>SUM(BH44:BH50)-BH51</f>
        <v/>
      </c>
      <c r="BI78" s="400">
        <f>SUM(BI44:BI50)-BI51</f>
        <v/>
      </c>
      <c r="BJ78" s="400">
        <f>SUM(BJ44:BJ50)-BJ51</f>
        <v/>
      </c>
      <c r="BK78" s="400">
        <f>SUM(BK44:BK50)-BK51</f>
        <v/>
      </c>
      <c r="BL78" s="400">
        <f>SUM(BL44:BL50)-BL51</f>
        <v/>
      </c>
      <c r="BM78" s="400">
        <f>SUM(BM44:BM50)-BM51</f>
        <v/>
      </c>
      <c r="BN78" s="400">
        <f>SUM(BN44:BN50)-BN51</f>
        <v/>
      </c>
      <c r="BO78" s="400">
        <f>SUM(BO44:BO50)-BO51</f>
        <v/>
      </c>
      <c r="BP78" s="400">
        <f>SUM(BP44:BP50)-BP51</f>
        <v/>
      </c>
      <c r="BQ78" s="400">
        <f>SUM(BQ44:BQ50)-BQ51</f>
        <v/>
      </c>
      <c r="BR78" s="400">
        <f>SUM(BR44:BR50)-BR51</f>
        <v/>
      </c>
      <c r="BS78" s="400">
        <f>SUM(BS44:BS50)-BS51</f>
        <v/>
      </c>
      <c r="BT78" s="400">
        <f>SUM(BT44:BT50)-BT51</f>
        <v/>
      </c>
      <c r="BU78" s="400">
        <f>SUM(BU44:BU50)-BU51</f>
        <v/>
      </c>
      <c r="BV78" s="400">
        <f>SUM(BV44:BV50)-BV51</f>
        <v/>
      </c>
      <c r="BW78" s="400">
        <f>SUM(BW44:BW50)-BW51</f>
        <v/>
      </c>
      <c r="BX78" s="400">
        <f>SUM(BX44:BX50)-BX51</f>
        <v/>
      </c>
      <c r="BY78" s="400">
        <f>SUM(BY44:BY50)-BY51</f>
        <v/>
      </c>
      <c r="BZ78" s="400">
        <f>SUM(BZ44:BZ50)-BZ51</f>
        <v/>
      </c>
      <c r="CA78" s="400">
        <f>SUM(CA44:CA50)-CA51</f>
        <v/>
      </c>
      <c r="CB78" s="400">
        <f>SUM(CB44:CB50)-CB51</f>
        <v/>
      </c>
      <c r="CC78" s="400">
        <f>SUM(CC44:CC50)-CC51</f>
        <v/>
      </c>
      <c r="CD78" s="400">
        <f>SUM(CD44:CD50)-CD51</f>
        <v/>
      </c>
      <c r="CE78" s="400">
        <f>SUM(CE44:CE50)-CE51</f>
        <v/>
      </c>
      <c r="CF78" s="400">
        <f>SUM(CF44:CF50)-CF51</f>
        <v/>
      </c>
      <c r="CG78" s="400">
        <f>SUM(CG44:CG50)-CG51</f>
        <v/>
      </c>
      <c r="CH78" s="400">
        <f>SUM(CH44:CH50)-CH51</f>
        <v/>
      </c>
      <c r="CI78" s="400">
        <f>SUM(CI44:CI50)-CI51</f>
        <v/>
      </c>
      <c r="CJ78" s="400">
        <f>SUM(CJ44:CJ50)-CJ51</f>
        <v/>
      </c>
      <c r="CK78" s="400">
        <f>SUM(CK44:CK50)-CK51</f>
        <v/>
      </c>
    </row>
    <row r="79">
      <c r="A79" s="455">
        <f>A78</f>
        <v/>
      </c>
      <c r="B79" s="400">
        <f>SUM(B51:B55)-B56</f>
        <v/>
      </c>
      <c r="C79" s="400">
        <f>SUM(C51:C55)-C56</f>
        <v/>
      </c>
      <c r="D79" s="400">
        <f>SUM(D51:D55)-D56</f>
        <v/>
      </c>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400">
        <f>SUM(X51:X55)-X56</f>
        <v/>
      </c>
      <c r="Y79" s="400">
        <f>SUM(Y51:Y55)-Y56</f>
        <v/>
      </c>
      <c r="Z79" s="400">
        <f>SUM(Z51:Z55)-Z56</f>
        <v/>
      </c>
      <c r="AA79" s="400">
        <f>SUM(AA51:AA55)-AA56</f>
        <v/>
      </c>
      <c r="AB79" s="400">
        <f>SUM(AB51:AB55)-AB56</f>
        <v/>
      </c>
      <c r="AC79" s="400">
        <f>SUM(AC51:AC55)-AC56</f>
        <v/>
      </c>
      <c r="AD79" s="400">
        <f>SUM(AD51:AD55)-AD56</f>
        <v/>
      </c>
      <c r="AE79" s="400">
        <f>SUM(AE51:AE55)-AE56</f>
        <v/>
      </c>
      <c r="AF79" s="400">
        <f>SUM(AF51:AF55)-AF56</f>
        <v/>
      </c>
      <c r="AG79" s="400">
        <f>SUM(AG51:AG55)-AG56</f>
        <v/>
      </c>
      <c r="AH79" s="400">
        <f>SUM(AH51:AH55)-AH56</f>
        <v/>
      </c>
      <c r="AI79" s="400">
        <f>SUM(AI51:AI55)-AI56</f>
        <v/>
      </c>
      <c r="AJ79" s="400">
        <f>SUM(AJ51:AJ55)-AJ56</f>
        <v/>
      </c>
      <c r="AK79" s="400">
        <f>SUM(AK51:AK55)-AK56</f>
        <v/>
      </c>
      <c r="AL79" s="400">
        <f>SUM(AL51:AL55)-AL56</f>
        <v/>
      </c>
      <c r="AM79" s="400">
        <f>SUM(AM51:AM55)-AM56</f>
        <v/>
      </c>
      <c r="AN79" s="400">
        <f>SUM(AN51:AN55)-AN56</f>
        <v/>
      </c>
      <c r="AO79" s="400">
        <f>SUM(AO51:AO55)-AO56</f>
        <v/>
      </c>
      <c r="AP79" s="400">
        <f>SUM(AP51:AP55)-AP56</f>
        <v/>
      </c>
      <c r="AQ79" s="400">
        <f>SUM(AQ51:AQ55)-AQ56</f>
        <v/>
      </c>
      <c r="AR79" s="400">
        <f>SUM(AR51:AR55)-AR56</f>
        <v/>
      </c>
      <c r="AS79" s="400">
        <f>SUM(AS51:AS55)-AS56</f>
        <v/>
      </c>
      <c r="AT79" s="400">
        <f>SUM(AT51:AT55)-AT56</f>
        <v/>
      </c>
      <c r="AU79" s="400">
        <f>SUM(AU51:AU55)-AU56</f>
        <v/>
      </c>
      <c r="AV79" s="400">
        <f>SUM(AV51:AV55)-AV56</f>
        <v/>
      </c>
      <c r="AW79" s="400">
        <f>SUM(AW51:AW55)-AW56</f>
        <v/>
      </c>
      <c r="AX79" s="400">
        <f>SUM(AX51:AX55)-AX56</f>
        <v/>
      </c>
      <c r="AY79" s="400">
        <f>SUM(AY51:AY55)-AY56</f>
        <v/>
      </c>
      <c r="AZ79" s="400">
        <f>SUM(AZ51:AZ55)-AZ56</f>
        <v/>
      </c>
      <c r="BA79" s="400">
        <f>SUM(BA51:BA55)-BA56</f>
        <v/>
      </c>
      <c r="BB79" s="400">
        <f>SUM(BB51:BB55)-BB56</f>
        <v/>
      </c>
      <c r="BC79" s="400">
        <f>SUM(BC51:BC55)-BC56</f>
        <v/>
      </c>
      <c r="BD79" s="400">
        <f>SUM(BD51:BD55)-BD56</f>
        <v/>
      </c>
      <c r="BE79" s="400">
        <f>SUM(BE51:BE55)-BE56</f>
        <v/>
      </c>
      <c r="BF79" s="400">
        <f>SUM(BF51:BF55)-BF56</f>
        <v/>
      </c>
      <c r="BG79" s="400">
        <f>SUM(BG51:BG55)-BG56</f>
        <v/>
      </c>
      <c r="BH79" s="400">
        <f>SUM(BH51:BH55)-BH56</f>
        <v/>
      </c>
      <c r="BI79" s="400">
        <f>SUM(BI51:BI55)-BI56</f>
        <v/>
      </c>
      <c r="BJ79" s="400">
        <f>SUM(BJ51:BJ55)-BJ56</f>
        <v/>
      </c>
      <c r="BK79" s="400">
        <f>SUM(BK51:BK55)-BK56</f>
        <v/>
      </c>
      <c r="BL79" s="400">
        <f>SUM(BL51:BL55)-BL56</f>
        <v/>
      </c>
      <c r="BM79" s="400">
        <f>SUM(BM51:BM55)-BM56</f>
        <v/>
      </c>
      <c r="BN79" s="400">
        <f>SUM(BN51:BN55)-BN56</f>
        <v/>
      </c>
      <c r="BO79" s="400">
        <f>SUM(BO51:BO55)-BO56</f>
        <v/>
      </c>
      <c r="BP79" s="400">
        <f>SUM(BP51:BP55)-BP56</f>
        <v/>
      </c>
      <c r="BQ79" s="400">
        <f>SUM(BQ51:BQ55)-BQ56</f>
        <v/>
      </c>
      <c r="BR79" s="400">
        <f>SUM(BR51:BR55)-BR56</f>
        <v/>
      </c>
      <c r="BS79" s="400">
        <f>SUM(BS51:BS55)-BS56</f>
        <v/>
      </c>
      <c r="BT79" s="400">
        <f>SUM(BT51:BT55)-BT56</f>
        <v/>
      </c>
      <c r="BU79" s="400">
        <f>SUM(BU51:BU55)-BU56</f>
        <v/>
      </c>
      <c r="BV79" s="400">
        <f>SUM(BV51:BV55)-BV56</f>
        <v/>
      </c>
      <c r="BW79" s="400">
        <f>SUM(BW51:BW55)-BW56</f>
        <v/>
      </c>
      <c r="BX79" s="400">
        <f>SUM(BX51:BX55)-BX56</f>
        <v/>
      </c>
      <c r="BY79" s="400">
        <f>SUM(BY51:BY55)-BY56</f>
        <v/>
      </c>
      <c r="BZ79" s="400">
        <f>SUM(BZ51:BZ55)-BZ56</f>
        <v/>
      </c>
      <c r="CA79" s="400">
        <f>SUM(CA51:CA55)-CA56</f>
        <v/>
      </c>
      <c r="CB79" s="400">
        <f>SUM(CB51:CB55)-CB56</f>
        <v/>
      </c>
      <c r="CC79" s="400">
        <f>SUM(CC51:CC55)-CC56</f>
        <v/>
      </c>
      <c r="CD79" s="400">
        <f>SUM(CD51:CD55)-CD56</f>
        <v/>
      </c>
      <c r="CE79" s="400">
        <f>SUM(CE51:CE55)-CE56</f>
        <v/>
      </c>
      <c r="CF79" s="400">
        <f>SUM(CF51:CF55)-CF56</f>
        <v/>
      </c>
      <c r="CG79" s="400">
        <f>SUM(CG51:CG55)-CG56</f>
        <v/>
      </c>
      <c r="CH79" s="400">
        <f>SUM(CH51:CH55)-CH56</f>
        <v/>
      </c>
      <c r="CI79" s="400">
        <f>SUM(CI51:CI55)-CI56</f>
        <v/>
      </c>
      <c r="CJ79" s="400">
        <f>SUM(CJ51:CJ55)-CJ56</f>
        <v/>
      </c>
      <c r="CK79" s="400">
        <f>SUM(CK51:CK55)-CK56</f>
        <v/>
      </c>
    </row>
    <row r="80">
      <c r="A80" s="455">
        <f>A79</f>
        <v/>
      </c>
      <c r="B80" s="400">
        <f>SUM(B58:B62)-B63</f>
        <v/>
      </c>
      <c r="C80" s="400">
        <f>SUM(C58:C62)-C63</f>
        <v/>
      </c>
      <c r="D80" s="400">
        <f>SUM(D58:D62)-D63</f>
        <v/>
      </c>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400">
        <f>SUM(X58:X62)-X63</f>
        <v/>
      </c>
      <c r="Y80" s="400">
        <f>SUM(Y58:Y62)-Y63</f>
        <v/>
      </c>
      <c r="Z80" s="400">
        <f>SUM(Z58:Z62)-Z63</f>
        <v/>
      </c>
      <c r="AA80" s="400">
        <f>SUM(AA58:AA62)-AA63</f>
        <v/>
      </c>
      <c r="AB80" s="400">
        <f>SUM(AB58:AB62)-AB63</f>
        <v/>
      </c>
      <c r="AC80" s="400">
        <f>SUM(AC58:AC62)-AC63</f>
        <v/>
      </c>
      <c r="AD80" s="400">
        <f>SUM(AD58:AD62)-AD63</f>
        <v/>
      </c>
      <c r="AE80" s="400">
        <f>SUM(AE58:AE62)-AE63</f>
        <v/>
      </c>
      <c r="AF80" s="400">
        <f>SUM(AF58:AF62)-AF63</f>
        <v/>
      </c>
      <c r="AG80" s="400">
        <f>SUM(AG58:AG62)-AG63</f>
        <v/>
      </c>
      <c r="AH80" s="400">
        <f>SUM(AH58:AH62)-AH63</f>
        <v/>
      </c>
      <c r="AI80" s="400">
        <f>SUM(AI58:AI62)-AI63</f>
        <v/>
      </c>
      <c r="AJ80" s="400">
        <f>SUM(AJ58:AJ62)-AJ63</f>
        <v/>
      </c>
      <c r="AK80" s="400">
        <f>SUM(AK58:AK62)-AK63</f>
        <v/>
      </c>
      <c r="AL80" s="400">
        <f>SUM(AL58:AL62)-AL63</f>
        <v/>
      </c>
      <c r="AM80" s="400">
        <f>SUM(AM58:AM62)-AM63</f>
        <v/>
      </c>
      <c r="AN80" s="400">
        <f>SUM(AN58:AN62)-AN63</f>
        <v/>
      </c>
      <c r="AO80" s="400">
        <f>SUM(AO58:AO62)-AO63</f>
        <v/>
      </c>
      <c r="AP80" s="400">
        <f>SUM(AP58:AP62)-AP63</f>
        <v/>
      </c>
      <c r="AQ80" s="400">
        <f>SUM(AQ58:AQ62)-AQ63</f>
        <v/>
      </c>
      <c r="AR80" s="400">
        <f>SUM(AR58:AR62)-AR63</f>
        <v/>
      </c>
      <c r="AS80" s="400">
        <f>SUM(AS58:AS62)-AS63</f>
        <v/>
      </c>
      <c r="AT80" s="400">
        <f>SUM(AT58:AT62)-AT63</f>
        <v/>
      </c>
      <c r="AU80" s="400">
        <f>SUM(AU58:AU62)-AU63</f>
        <v/>
      </c>
      <c r="AV80" s="400">
        <f>SUM(AV58:AV62)-AV63</f>
        <v/>
      </c>
      <c r="AW80" s="400">
        <f>SUM(AW58:AW62)-AW63</f>
        <v/>
      </c>
      <c r="AX80" s="400">
        <f>SUM(AX58:AX62)-AX63</f>
        <v/>
      </c>
      <c r="AY80" s="400">
        <f>SUM(AY58:AY62)-AY63</f>
        <v/>
      </c>
      <c r="AZ80" s="400">
        <f>SUM(AZ58:AZ62)-AZ63</f>
        <v/>
      </c>
      <c r="BA80" s="400">
        <f>SUM(BA58:BA62)-BA63</f>
        <v/>
      </c>
      <c r="BB80" s="400">
        <f>SUM(BB58:BB62)-BB63</f>
        <v/>
      </c>
      <c r="BC80" s="400">
        <f>SUM(BC58:BC62)-BC63</f>
        <v/>
      </c>
      <c r="BD80" s="400">
        <f>SUM(BD58:BD62)-BD63</f>
        <v/>
      </c>
      <c r="BE80" s="400">
        <f>SUM(BE58:BE62)-BE63</f>
        <v/>
      </c>
      <c r="BF80" s="400">
        <f>SUM(BF58:BF62)-BF63</f>
        <v/>
      </c>
      <c r="BG80" s="400">
        <f>SUM(BG58:BG62)-BG63</f>
        <v/>
      </c>
      <c r="BH80" s="400">
        <f>SUM(BH58:BH62)-BH63</f>
        <v/>
      </c>
      <c r="BI80" s="400">
        <f>SUM(BI58:BI62)-BI63</f>
        <v/>
      </c>
      <c r="BJ80" s="400">
        <f>SUM(BJ58:BJ62)-BJ63</f>
        <v/>
      </c>
      <c r="BK80" s="400">
        <f>SUM(BK58:BK62)-BK63</f>
        <v/>
      </c>
      <c r="BL80" s="400">
        <f>SUM(BL58:BL62)-BL63</f>
        <v/>
      </c>
      <c r="BM80" s="400">
        <f>SUM(BM58:BM62)-BM63</f>
        <v/>
      </c>
      <c r="BN80" s="400">
        <f>SUM(BN58:BN62)-BN63</f>
        <v/>
      </c>
      <c r="BO80" s="400">
        <f>SUM(BO58:BO62)-BO63</f>
        <v/>
      </c>
      <c r="BP80" s="400">
        <f>SUM(BP58:BP62)-BP63</f>
        <v/>
      </c>
      <c r="BQ80" s="400">
        <f>SUM(BQ58:BQ62)-BQ63</f>
        <v/>
      </c>
      <c r="BR80" s="400">
        <f>SUM(BR58:BR62)-BR63</f>
        <v/>
      </c>
      <c r="BS80" s="400">
        <f>SUM(BS58:BS62)-BS63</f>
        <v/>
      </c>
      <c r="BT80" s="400">
        <f>SUM(BT58:BT62)-BT63</f>
        <v/>
      </c>
      <c r="BU80" s="400">
        <f>SUM(BU58:BU62)-BU63</f>
        <v/>
      </c>
      <c r="BV80" s="400">
        <f>SUM(BV58:BV62)-BV63</f>
        <v/>
      </c>
      <c r="BW80" s="400">
        <f>SUM(BW58:BW62)-BW63</f>
        <v/>
      </c>
      <c r="BX80" s="400">
        <f>SUM(BX58:BX62)-BX63</f>
        <v/>
      </c>
      <c r="BY80" s="400">
        <f>SUM(BY58:BY62)-BY63</f>
        <v/>
      </c>
      <c r="BZ80" s="400">
        <f>SUM(BZ58:BZ62)-BZ63</f>
        <v/>
      </c>
      <c r="CA80" s="400">
        <f>SUM(CA58:CA62)-CA63</f>
        <v/>
      </c>
      <c r="CB80" s="400">
        <f>SUM(CB58:CB62)-CB63</f>
        <v/>
      </c>
      <c r="CC80" s="400">
        <f>SUM(CC58:CC62)-CC63</f>
        <v/>
      </c>
      <c r="CD80" s="400">
        <f>SUM(CD58:CD62)-CD63</f>
        <v/>
      </c>
      <c r="CE80" s="400">
        <f>SUM(CE58:CE62)-CE63</f>
        <v/>
      </c>
      <c r="CF80" s="400">
        <f>SUM(CF58:CF62)-CF63</f>
        <v/>
      </c>
      <c r="CG80" s="400">
        <f>SUM(CG58:CG62)-CG63</f>
        <v/>
      </c>
      <c r="CH80" s="400">
        <f>SUM(CH58:CH62)-CH63</f>
        <v/>
      </c>
      <c r="CI80" s="400">
        <f>SUM(CI58:CI62)-CI63</f>
        <v/>
      </c>
      <c r="CJ80" s="400">
        <f>SUM(CJ58:CJ62)-CJ63</f>
        <v/>
      </c>
      <c r="CK80" s="400">
        <f>SUM(CK58:CK62)-CK63</f>
        <v/>
      </c>
    </row>
    <row r="81">
      <c r="A81" s="455">
        <f>A80</f>
        <v/>
      </c>
      <c r="B81" s="400">
        <f>SUM(B63:B65)-B66</f>
        <v/>
      </c>
      <c r="C81" s="400">
        <f>SUM(C63:C65)-C66</f>
        <v/>
      </c>
      <c r="D81" s="400">
        <f>SUM(D63:D65)-D66</f>
        <v/>
      </c>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400">
        <f>SUM(X63:X65)-X66</f>
        <v/>
      </c>
      <c r="Y81" s="400">
        <f>SUM(Y63:Y65)-Y66</f>
        <v/>
      </c>
      <c r="Z81" s="400">
        <f>SUM(Z63:Z65)-Z66</f>
        <v/>
      </c>
      <c r="AA81" s="400">
        <f>SUM(AA63:AA65)-AA66</f>
        <v/>
      </c>
      <c r="AB81" s="400">
        <f>SUM(AB63:AB65)-AB66</f>
        <v/>
      </c>
      <c r="AC81" s="400">
        <f>SUM(AC63:AC65)-AC66</f>
        <v/>
      </c>
      <c r="AD81" s="400">
        <f>SUM(AD63:AD65)-AD66</f>
        <v/>
      </c>
      <c r="AE81" s="400">
        <f>SUM(AE63:AE65)-AE66</f>
        <v/>
      </c>
      <c r="AF81" s="400">
        <f>SUM(AF63:AF65)-AF66</f>
        <v/>
      </c>
      <c r="AG81" s="400">
        <f>SUM(AG63:AG65)-AG66</f>
        <v/>
      </c>
      <c r="AH81" s="400">
        <f>SUM(AH63:AH65)-AH66</f>
        <v/>
      </c>
      <c r="AI81" s="400">
        <f>SUM(AI63:AI65)-AI66</f>
        <v/>
      </c>
      <c r="AJ81" s="400">
        <f>SUM(AJ63:AJ65)-AJ66</f>
        <v/>
      </c>
      <c r="AK81" s="400">
        <f>SUM(AK63:AK65)-AK66</f>
        <v/>
      </c>
      <c r="AL81" s="400">
        <f>SUM(AL63:AL65)-AL66</f>
        <v/>
      </c>
      <c r="AM81" s="400">
        <f>SUM(AM63:AM65)-AM66</f>
        <v/>
      </c>
      <c r="AN81" s="400">
        <f>SUM(AN63:AN65)-AN66</f>
        <v/>
      </c>
      <c r="AO81" s="400">
        <f>SUM(AO63:AO65)-AO66</f>
        <v/>
      </c>
      <c r="AP81" s="400">
        <f>SUM(AP63:AP65)-AP66</f>
        <v/>
      </c>
      <c r="AQ81" s="400">
        <f>SUM(AQ63:AQ65)-AQ66</f>
        <v/>
      </c>
      <c r="AR81" s="400">
        <f>SUM(AR63:AR65)-AR66</f>
        <v/>
      </c>
      <c r="AS81" s="400">
        <f>SUM(AS63:AS65)-AS66</f>
        <v/>
      </c>
      <c r="AT81" s="400">
        <f>SUM(AT63:AT65)-AT66</f>
        <v/>
      </c>
      <c r="AU81" s="400">
        <f>SUM(AU63:AU65)-AU66</f>
        <v/>
      </c>
      <c r="AV81" s="400">
        <f>SUM(AV63:AV65)-AV66</f>
        <v/>
      </c>
      <c r="AW81" s="400">
        <f>SUM(AW63:AW65)-AW66</f>
        <v/>
      </c>
      <c r="AX81" s="400">
        <f>SUM(AX63:AX65)-AX66</f>
        <v/>
      </c>
      <c r="AY81" s="400">
        <f>SUM(AY63:AY65)-AY66</f>
        <v/>
      </c>
      <c r="AZ81" s="400">
        <f>SUM(AZ63:AZ65)-AZ66</f>
        <v/>
      </c>
      <c r="BA81" s="400">
        <f>SUM(BA63:BA65)-BA66</f>
        <v/>
      </c>
      <c r="BB81" s="400">
        <f>SUM(BB63:BB65)-BB66</f>
        <v/>
      </c>
      <c r="BC81" s="400">
        <f>SUM(BC63:BC65)-BC66</f>
        <v/>
      </c>
      <c r="BD81" s="400">
        <f>SUM(BD63:BD65)-BD66</f>
        <v/>
      </c>
      <c r="BE81" s="400">
        <f>SUM(BE63:BE65)-BE66</f>
        <v/>
      </c>
      <c r="BF81" s="400">
        <f>SUM(BF63:BF65)-BF66</f>
        <v/>
      </c>
      <c r="BG81" s="400">
        <f>SUM(BG63:BG65)-BG66</f>
        <v/>
      </c>
      <c r="BH81" s="400">
        <f>SUM(BH63:BH65)-BH66</f>
        <v/>
      </c>
      <c r="BI81" s="400">
        <f>SUM(BI63:BI65)-BI66</f>
        <v/>
      </c>
      <c r="BJ81" s="400">
        <f>SUM(BJ63:BJ65)-BJ66</f>
        <v/>
      </c>
      <c r="BK81" s="400">
        <f>SUM(BK63:BK65)-BK66</f>
        <v/>
      </c>
      <c r="BL81" s="400">
        <f>SUM(BL63:BL65)-BL66</f>
        <v/>
      </c>
      <c r="BM81" s="400">
        <f>SUM(BM63:BM65)-BM66</f>
        <v/>
      </c>
      <c r="BN81" s="400">
        <f>SUM(BN63:BN65)-BN66</f>
        <v/>
      </c>
      <c r="BO81" s="400">
        <f>SUM(BO63:BO65)-BO66</f>
        <v/>
      </c>
      <c r="BP81" s="400">
        <f>SUM(BP63:BP65)-BP66</f>
        <v/>
      </c>
      <c r="BQ81" s="400">
        <f>SUM(BQ63:BQ65)-BQ66</f>
        <v/>
      </c>
      <c r="BR81" s="400">
        <f>SUM(BR63:BR65)-BR66</f>
        <v/>
      </c>
      <c r="BS81" s="400">
        <f>SUM(BS63:BS65)-BS66</f>
        <v/>
      </c>
      <c r="BT81" s="400">
        <f>SUM(BT63:BT65)-BT66</f>
        <v/>
      </c>
      <c r="BU81" s="400">
        <f>SUM(BU63:BU65)-BU66</f>
        <v/>
      </c>
      <c r="BV81" s="400">
        <f>SUM(BV63:BV65)-BV66</f>
        <v/>
      </c>
      <c r="BW81" s="400">
        <f>SUM(BW63:BW65)-BW66</f>
        <v/>
      </c>
      <c r="BX81" s="400">
        <f>SUM(BX63:BX65)-BX66</f>
        <v/>
      </c>
      <c r="BY81" s="400">
        <f>SUM(BY63:BY65)-BY66</f>
        <v/>
      </c>
      <c r="BZ81" s="400">
        <f>SUM(BZ63:BZ65)-BZ66</f>
        <v/>
      </c>
      <c r="CA81" s="400">
        <f>SUM(CA63:CA65)-CA66</f>
        <v/>
      </c>
      <c r="CB81" s="400">
        <f>SUM(CB63:CB65)-CB66</f>
        <v/>
      </c>
      <c r="CC81" s="400">
        <f>SUM(CC63:CC65)-CC66</f>
        <v/>
      </c>
      <c r="CD81" s="400">
        <f>SUM(CD63:CD65)-CD66</f>
        <v/>
      </c>
      <c r="CE81" s="400">
        <f>SUM(CE63:CE65)-CE66</f>
        <v/>
      </c>
      <c r="CF81" s="400">
        <f>SUM(CF63:CF65)-CF66</f>
        <v/>
      </c>
      <c r="CG81" s="400">
        <f>SUM(CG63:CG65)-CG66</f>
        <v/>
      </c>
      <c r="CH81" s="400">
        <f>SUM(CH63:CH65)-CH66</f>
        <v/>
      </c>
      <c r="CI81" s="400">
        <f>SUM(CI63:CI65)-CI66</f>
        <v/>
      </c>
      <c r="CJ81" s="400">
        <f>SUM(CJ63:CJ65)-CJ66</f>
        <v/>
      </c>
      <c r="CK81" s="400">
        <f>SUM(CK63:CK65)-CK66</f>
        <v/>
      </c>
    </row>
    <row r="82">
      <c r="A82" s="455">
        <f>A81</f>
        <v/>
      </c>
      <c r="B82" s="400">
        <f>SUM(B68:B72)+B74-B75</f>
        <v/>
      </c>
      <c r="C82" s="400">
        <f>SUM(C68:C72)+C74-C75</f>
        <v/>
      </c>
      <c r="D82" s="400">
        <f>SUM(D68:D72)+D74-D75</f>
        <v/>
      </c>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400">
        <f>SUM(X68:X72)+X74-X75</f>
        <v/>
      </c>
      <c r="Y82" s="400">
        <f>SUM(Y68:Y72)+Y74-Y75</f>
        <v/>
      </c>
      <c r="Z82" s="400">
        <f>SUM(Z68:Z72)+Z74-Z75</f>
        <v/>
      </c>
      <c r="AA82" s="400">
        <f>SUM(AA68:AA72)+AA74-AA75</f>
        <v/>
      </c>
      <c r="AB82" s="400">
        <f>SUM(AB68:AB72)+AB74-AB75</f>
        <v/>
      </c>
      <c r="AC82" s="400">
        <f>SUM(AC68:AC72)+AC74-AC75</f>
        <v/>
      </c>
      <c r="AD82" s="400">
        <f>SUM(AD68:AD72)+AD74-AD75</f>
        <v/>
      </c>
      <c r="AE82" s="400">
        <f>SUM(AE68:AE72)+AE74-AE75</f>
        <v/>
      </c>
      <c r="AF82" s="400">
        <f>SUM(AF68:AF72)+AF74-AF75</f>
        <v/>
      </c>
      <c r="AG82" s="400">
        <f>SUM(AG68:AG72)+AG74-AG75</f>
        <v/>
      </c>
      <c r="AH82" s="400">
        <f>SUM(AH68:AH72)+AH74-AH75</f>
        <v/>
      </c>
      <c r="AI82" s="400">
        <f>SUM(AI68:AI72)+AI74-AI75</f>
        <v/>
      </c>
      <c r="AJ82" s="400">
        <f>SUM(AJ68:AJ72)+AJ74-AJ75</f>
        <v/>
      </c>
      <c r="AK82" s="400">
        <f>SUM(AK68:AK72)+AK74-AK75</f>
        <v/>
      </c>
      <c r="AL82" s="400">
        <f>SUM(AL68:AL72)+AL74-AL75</f>
        <v/>
      </c>
      <c r="AM82" s="400">
        <f>SUM(AM68:AM72)+AM74-AM75</f>
        <v/>
      </c>
      <c r="AN82" s="400">
        <f>SUM(AN68:AN72)+AN74-AN75</f>
        <v/>
      </c>
      <c r="AO82" s="400">
        <f>SUM(AO68:AO72)+AO74-AO75</f>
        <v/>
      </c>
      <c r="AP82" s="400">
        <f>SUM(AP68:AP72)+AP74-AP75</f>
        <v/>
      </c>
      <c r="AQ82" s="400">
        <f>SUM(AQ68:AQ72)+AQ74-AQ75</f>
        <v/>
      </c>
      <c r="AR82" s="400">
        <f>SUM(AR68:AR72)+AR74-AR75</f>
        <v/>
      </c>
      <c r="AS82" s="400">
        <f>SUM(AS68:AS72)+AS74-AS75</f>
        <v/>
      </c>
      <c r="AT82" s="400">
        <f>SUM(AT68:AT72)+AT74-AT75</f>
        <v/>
      </c>
      <c r="AU82" s="400">
        <f>SUM(AU68:AU72)+AU74-AU75</f>
        <v/>
      </c>
      <c r="AV82" s="400">
        <f>SUM(AV68:AV72)+AV74-AV75</f>
        <v/>
      </c>
      <c r="AW82" s="400">
        <f>SUM(AW68:AW72)+AW74-AW75</f>
        <v/>
      </c>
      <c r="AX82" s="400">
        <f>SUM(AX68:AX72)+AX74-AX75</f>
        <v/>
      </c>
      <c r="AY82" s="400">
        <f>SUM(AY68:AY72)+AY74-AY75</f>
        <v/>
      </c>
      <c r="AZ82" s="400">
        <f>SUM(AZ68:AZ72)+AZ74-AZ75</f>
        <v/>
      </c>
      <c r="BA82" s="400">
        <f>SUM(BA68:BA72)+BA74-BA75</f>
        <v/>
      </c>
      <c r="BB82" s="400">
        <f>SUM(BB68:BB72)+BB74-BB75</f>
        <v/>
      </c>
      <c r="BC82" s="400">
        <f>SUM(BC68:BC72)+BC74-BC75</f>
        <v/>
      </c>
      <c r="BD82" s="400">
        <f>SUM(BD68:BD72)+BD74-BD75</f>
        <v/>
      </c>
      <c r="BE82" s="400">
        <f>SUM(BE68:BE72)+BE74-BE75</f>
        <v/>
      </c>
      <c r="BF82" s="400">
        <f>SUM(BF68:BF72)+BF74-BF75</f>
        <v/>
      </c>
      <c r="BG82" s="400">
        <f>SUM(BG68:BG72)+BG74-BG75</f>
        <v/>
      </c>
      <c r="BH82" s="400">
        <f>SUM(BH68:BH72)+BH74-BH75</f>
        <v/>
      </c>
      <c r="BI82" s="400">
        <f>SUM(BI68:BI72)+BI74-BI75</f>
        <v/>
      </c>
      <c r="BJ82" s="400">
        <f>SUM(BJ68:BJ72)+BJ74-BJ75</f>
        <v/>
      </c>
      <c r="BK82" s="400">
        <f>SUM(BK68:BK72)+BK74-BK75</f>
        <v/>
      </c>
      <c r="BL82" s="400">
        <f>SUM(BL68:BL72)+BL74-BL75</f>
        <v/>
      </c>
      <c r="BM82" s="400">
        <f>SUM(BM68:BM72)+BM74-BM75</f>
        <v/>
      </c>
      <c r="BN82" s="400">
        <f>SUM(BN68:BN72)+BN74-BN75</f>
        <v/>
      </c>
      <c r="BO82" s="400">
        <f>SUM(BO68:BO72)+BO74-BO75</f>
        <v/>
      </c>
      <c r="BP82" s="400">
        <f>SUM(BP68:BP72)+BP74-BP75</f>
        <v/>
      </c>
      <c r="BQ82" s="400">
        <f>SUM(BQ68:BQ72)+BQ74-BQ75</f>
        <v/>
      </c>
      <c r="BR82" s="400">
        <f>SUM(BR68:BR72)+BR74-BR75</f>
        <v/>
      </c>
      <c r="BS82" s="400">
        <f>SUM(BS68:BS72)+BS74-BS75</f>
        <v/>
      </c>
      <c r="BT82" s="400">
        <f>SUM(BT68:BT72)+BT74-BT75</f>
        <v/>
      </c>
      <c r="BU82" s="400">
        <f>SUM(BU68:BU72)+BU74-BU75</f>
        <v/>
      </c>
      <c r="BV82" s="400">
        <f>SUM(BV68:BV72)+BV74-BV75</f>
        <v/>
      </c>
      <c r="BW82" s="400">
        <f>SUM(BW68:BW72)+BW74-BW75</f>
        <v/>
      </c>
      <c r="BX82" s="400">
        <f>SUM(BX68:BX72)+BX74-BX75</f>
        <v/>
      </c>
      <c r="BY82" s="400">
        <f>SUM(BY68:BY72)+BY74-BY75</f>
        <v/>
      </c>
      <c r="BZ82" s="400">
        <f>SUM(BZ68:BZ72)+BZ74-BZ75</f>
        <v/>
      </c>
      <c r="CA82" s="400">
        <f>SUM(CA68:CA72)+CA74-CA75</f>
        <v/>
      </c>
      <c r="CB82" s="400">
        <f>SUM(CB68:CB72)+CB74-CB75</f>
        <v/>
      </c>
      <c r="CC82" s="400">
        <f>SUM(CC68:CC72)+CC74-CC75</f>
        <v/>
      </c>
      <c r="CD82" s="400">
        <f>SUM(CD68:CD72)+CD74-CD75</f>
        <v/>
      </c>
      <c r="CE82" s="400">
        <f>SUM(CE68:CE72)+CE74-CE75</f>
        <v/>
      </c>
      <c r="CF82" s="400">
        <f>SUM(CF68:CF72)+CF74-CF75</f>
        <v/>
      </c>
      <c r="CG82" s="400">
        <f>SUM(CG68:CG72)+CG74-CG75</f>
        <v/>
      </c>
      <c r="CH82" s="400">
        <f>SUM(CH68:CH72)+CH74-CH75</f>
        <v/>
      </c>
      <c r="CI82" s="400">
        <f>SUM(CI68:CI72)+CI74-CI75</f>
        <v/>
      </c>
      <c r="CJ82" s="400">
        <f>SUM(CJ68:CJ72)+CJ74-CJ75</f>
        <v/>
      </c>
      <c r="CK82" s="400">
        <f>SUM(CK68:CK72)+CK74-CK75</f>
        <v/>
      </c>
    </row>
    <row r="83">
      <c r="A83" s="455">
        <f>A82</f>
        <v/>
      </c>
      <c r="B83" s="400">
        <f>B56-B66-B75</f>
        <v/>
      </c>
      <c r="C83" s="400">
        <f>C56-C66-C75</f>
        <v/>
      </c>
      <c r="D83" s="400">
        <f>D56-D66-D75</f>
        <v/>
      </c>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400">
        <f>X56-X66-X75</f>
        <v/>
      </c>
      <c r="Y83" s="400">
        <f>Y56-Y66-Y75</f>
        <v/>
      </c>
      <c r="Z83" s="400">
        <f>Z56-Z66-Z75</f>
        <v/>
      </c>
      <c r="AA83" s="400">
        <f>AA56-AA66-AA75</f>
        <v/>
      </c>
      <c r="AB83" s="400">
        <f>AB56-AB66-AB75</f>
        <v/>
      </c>
      <c r="AC83" s="400">
        <f>AC56-AC66-AC75</f>
        <v/>
      </c>
      <c r="AD83" s="400">
        <f>AD56-AD66-AD75</f>
        <v/>
      </c>
      <c r="AE83" s="400">
        <f>AE56-AE66-AE75</f>
        <v/>
      </c>
      <c r="AF83" s="400">
        <f>AF56-AF66-AF75</f>
        <v/>
      </c>
      <c r="AG83" s="400">
        <f>AG56-AG66-AG75</f>
        <v/>
      </c>
      <c r="AH83" s="400">
        <f>AH56-AH66-AH75</f>
        <v/>
      </c>
      <c r="AI83" s="400">
        <f>AI56-AI66-AI75</f>
        <v/>
      </c>
      <c r="AJ83" s="400">
        <f>AJ56-AJ66-AJ75</f>
        <v/>
      </c>
      <c r="AK83" s="400">
        <f>AK56-AK66-AK75</f>
        <v/>
      </c>
      <c r="AL83" s="400">
        <f>AL56-AL66-AL75</f>
        <v/>
      </c>
      <c r="AM83" s="400">
        <f>AM56-AM66-AM75</f>
        <v/>
      </c>
      <c r="AN83" s="400">
        <f>AN56-AN66-AN75</f>
        <v/>
      </c>
      <c r="AO83" s="400">
        <f>AO56-AO66-AO75</f>
        <v/>
      </c>
      <c r="AP83" s="400">
        <f>AP56-AP66-AP75</f>
        <v/>
      </c>
      <c r="AQ83" s="400">
        <f>AQ56-AQ66-AQ75</f>
        <v/>
      </c>
      <c r="AR83" s="400">
        <f>AR56-AR66-AR75</f>
        <v/>
      </c>
      <c r="AS83" s="400">
        <f>AS56-AS66-AS75</f>
        <v/>
      </c>
      <c r="AT83" s="400">
        <f>AT56-AT66-AT75</f>
        <v/>
      </c>
      <c r="AU83" s="400">
        <f>AU56-AU66-AU75</f>
        <v/>
      </c>
      <c r="AV83" s="400">
        <f>AV56-AV66-AV75</f>
        <v/>
      </c>
      <c r="AW83" s="400">
        <f>AW56-AW66-AW75</f>
        <v/>
      </c>
      <c r="AX83" s="400">
        <f>AX56-AX66-AX75</f>
        <v/>
      </c>
      <c r="AY83" s="400">
        <f>AY56-AY66-AY75</f>
        <v/>
      </c>
      <c r="AZ83" s="400">
        <f>AZ56-AZ66-AZ75</f>
        <v/>
      </c>
      <c r="BA83" s="400">
        <f>BA56-BA66-BA75</f>
        <v/>
      </c>
      <c r="BB83" s="400">
        <f>BB56-BB66-BB75</f>
        <v/>
      </c>
      <c r="BC83" s="400">
        <f>BC56-BC66-BC75</f>
        <v/>
      </c>
      <c r="BD83" s="400">
        <f>BD56-BD66-BD75</f>
        <v/>
      </c>
      <c r="BE83" s="400">
        <f>BE56-BE66-BE75</f>
        <v/>
      </c>
      <c r="BF83" s="400">
        <f>BF56-BF66-BF75</f>
        <v/>
      </c>
      <c r="BG83" s="400">
        <f>BG56-BG66-BG75</f>
        <v/>
      </c>
      <c r="BH83" s="400">
        <f>BH56-BH66-BH75</f>
        <v/>
      </c>
      <c r="BI83" s="400">
        <f>BI56-BI66-BI75</f>
        <v/>
      </c>
      <c r="BJ83" s="400">
        <f>BJ56-BJ66-BJ75</f>
        <v/>
      </c>
      <c r="BK83" s="400">
        <f>BK56-BK66-BK75</f>
        <v/>
      </c>
      <c r="BL83" s="400">
        <f>BL56-BL66-BL75</f>
        <v/>
      </c>
      <c r="BM83" s="400">
        <f>BM56-BM66-BM75</f>
        <v/>
      </c>
      <c r="BN83" s="400">
        <f>BN56-BN66-BN75</f>
        <v/>
      </c>
      <c r="BO83" s="400">
        <f>BO56-BO66-BO75</f>
        <v/>
      </c>
      <c r="BP83" s="400">
        <f>BP56-BP66-BP75</f>
        <v/>
      </c>
      <c r="BQ83" s="400">
        <f>BQ56-BQ66-BQ75</f>
        <v/>
      </c>
      <c r="BR83" s="400">
        <f>BR56-BR66-BR75</f>
        <v/>
      </c>
      <c r="BS83" s="400">
        <f>BS56-BS66-BS75</f>
        <v/>
      </c>
      <c r="BT83" s="400">
        <f>BT56-BT66-BT75</f>
        <v/>
      </c>
      <c r="BU83" s="400">
        <f>BU56-BU66-BU75</f>
        <v/>
      </c>
      <c r="BV83" s="400">
        <f>BV56-BV66-BV75</f>
        <v/>
      </c>
      <c r="BW83" s="400">
        <f>BW56-BW66-BW75</f>
        <v/>
      </c>
      <c r="BX83" s="400">
        <f>BX56-BX66-BX75</f>
        <v/>
      </c>
      <c r="BY83" s="400">
        <f>BY56-BY66-BY75</f>
        <v/>
      </c>
      <c r="BZ83" s="400">
        <f>BZ56-BZ66-BZ75</f>
        <v/>
      </c>
      <c r="CA83" s="400">
        <f>CA56-CA66-CA75</f>
        <v/>
      </c>
      <c r="CB83" s="400">
        <f>CB56-CB66-CB75</f>
        <v/>
      </c>
      <c r="CC83" s="400">
        <f>CC56-CC66-CC75</f>
        <v/>
      </c>
      <c r="CD83" s="400">
        <f>CD56-CD66-CD75</f>
        <v/>
      </c>
      <c r="CE83" s="400">
        <f>CE56-CE66-CE75</f>
        <v/>
      </c>
      <c r="CF83" s="400">
        <f>CF56-CF66-CF75</f>
        <v/>
      </c>
      <c r="CG83" s="400">
        <f>CG56-CG66-CG75</f>
        <v/>
      </c>
      <c r="CH83" s="400">
        <f>CH56-CH66-CH75</f>
        <v/>
      </c>
      <c r="CI83" s="400">
        <f>CI56-CI66-CI75</f>
        <v/>
      </c>
      <c r="CJ83" s="400">
        <f>CJ56-CJ66-CJ75</f>
        <v/>
      </c>
      <c r="CK83" s="400">
        <f>CK56-CK66-CK75</f>
        <v/>
      </c>
    </row>
    <row r="84">
      <c r="A84" s="455" t="n"/>
      <c r="B84" s="400" t="n"/>
      <c r="C84" s="400" t="n"/>
      <c r="D84" s="400" t="n"/>
      <c r="E84" s="400" t="n"/>
      <c r="F84" s="400" t="n"/>
      <c r="G84" s="400" t="n"/>
      <c r="H84" s="400" t="n"/>
      <c r="I84" s="400" t="n"/>
      <c r="J84" s="400" t="n"/>
      <c r="K84" s="400" t="n"/>
      <c r="L84" s="400" t="n"/>
      <c r="M84" s="400" t="n"/>
      <c r="N84" s="400" t="n"/>
      <c r="O84" s="400" t="n"/>
      <c r="P84" s="400" t="n"/>
      <c r="Q84" s="400" t="n"/>
      <c r="R84" s="400" t="n"/>
      <c r="S84" s="400" t="n"/>
      <c r="T84" s="400" t="n"/>
      <c r="U84" s="400" t="n"/>
      <c r="V84" s="400" t="n"/>
      <c r="W84" s="400" t="n"/>
      <c r="X84" s="400" t="n"/>
      <c r="Y84" s="400" t="n"/>
      <c r="Z84" s="400" t="n"/>
      <c r="AA84" s="400" t="n"/>
      <c r="AB84" s="400" t="n"/>
      <c r="AC84" s="400" t="n"/>
      <c r="AD84" s="400" t="n"/>
      <c r="AE84" s="400" t="n"/>
      <c r="AF84" s="400" t="n"/>
      <c r="AG84" s="400" t="n"/>
      <c r="AH84" s="400" t="n"/>
      <c r="AI84" s="400" t="n"/>
      <c r="AJ84" s="400" t="n"/>
      <c r="AK84" s="400" t="n"/>
      <c r="AL84" s="400" t="n"/>
      <c r="AM84" s="400" t="n"/>
      <c r="AN84" s="400" t="n"/>
      <c r="AO84" s="400" t="n"/>
      <c r="AP84" s="400" t="n"/>
      <c r="AQ84" s="400" t="n"/>
      <c r="AR84" s="400" t="n"/>
    </row>
    <row r="85">
      <c r="A85" s="455" t="n"/>
      <c r="B85" s="400" t="n"/>
      <c r="C85" s="400" t="n"/>
      <c r="D85" s="400" t="n"/>
      <c r="E85" s="400" t="n"/>
      <c r="F85" s="400" t="n"/>
      <c r="G85" s="400" t="n"/>
      <c r="H85" s="400" t="n"/>
      <c r="I85" s="400" t="n"/>
      <c r="J85" s="400" t="n"/>
      <c r="K85" s="400" t="n"/>
      <c r="L85" s="400" t="n"/>
      <c r="M85" s="400" t="n"/>
      <c r="N85" s="400" t="n"/>
      <c r="O85" s="400" t="n"/>
      <c r="P85" s="400" t="n"/>
      <c r="Q85" s="400" t="n"/>
      <c r="R85" s="400" t="n"/>
      <c r="S85" s="400" t="n"/>
      <c r="T85" s="400" t="n"/>
      <c r="U85" s="400" t="n"/>
      <c r="V85" s="400" t="n"/>
      <c r="W85" s="400" t="n"/>
      <c r="X85" s="400" t="n"/>
      <c r="Y85" s="400" t="n"/>
      <c r="Z85" s="400" t="n"/>
      <c r="AA85" s="400" t="n"/>
      <c r="AB85" s="400" t="n"/>
      <c r="AC85" s="400" t="n"/>
      <c r="AD85" s="400" t="n"/>
      <c r="AE85" s="400" t="n"/>
      <c r="AF85" s="400" t="n"/>
      <c r="AG85" s="400" t="n"/>
      <c r="AH85" s="400" t="n"/>
      <c r="AI85" s="400" t="n"/>
      <c r="AJ85" s="400" t="n"/>
      <c r="AK85" s="400" t="n"/>
      <c r="AL85" s="400" t="n"/>
      <c r="AM85" s="400" t="n"/>
      <c r="AN85" s="400" t="n"/>
      <c r="AO85" s="400" t="n"/>
      <c r="AP85" s="400" t="n"/>
      <c r="AQ85" s="400" t="n"/>
      <c r="AR85" s="400" t="n"/>
    </row>
    <row r="86">
      <c r="A86" s="455" t="n"/>
      <c r="B86" s="400" t="n"/>
      <c r="C86" s="400" t="n"/>
      <c r="D86" s="400" t="n"/>
      <c r="E86" s="400" t="n"/>
      <c r="F86" s="400" t="n"/>
      <c r="G86" s="400" t="n"/>
      <c r="H86" s="400" t="n"/>
      <c r="I86" s="400" t="n"/>
      <c r="J86" s="400" t="n"/>
      <c r="K86" s="400" t="n"/>
      <c r="L86" s="400" t="n"/>
      <c r="M86" s="400" t="n"/>
      <c r="N86" s="400" t="n"/>
      <c r="O86" s="400" t="n"/>
      <c r="P86" s="400" t="n"/>
      <c r="Q86" s="400" t="n"/>
      <c r="R86" s="400" t="n"/>
      <c r="S86" s="400" t="n"/>
      <c r="T86" s="400" t="n"/>
      <c r="U86" s="400" t="n"/>
      <c r="V86" s="400" t="n"/>
      <c r="W86" s="400" t="n"/>
      <c r="X86" s="400" t="n"/>
      <c r="Y86" s="400" t="n"/>
      <c r="Z86" s="400" t="n"/>
      <c r="AA86" s="400" t="n"/>
      <c r="AB86" s="400" t="n"/>
      <c r="AC86" s="400" t="n"/>
      <c r="AD86" s="400" t="n"/>
      <c r="AE86" s="400" t="n"/>
      <c r="AF86" s="400" t="n"/>
      <c r="AG86" s="400" t="n"/>
      <c r="AH86" s="400" t="n"/>
      <c r="AI86" s="400" t="n"/>
      <c r="AJ86" s="400" t="n"/>
      <c r="AK86" s="400" t="n"/>
      <c r="AL86" s="400" t="n"/>
      <c r="AM86" s="400" t="n"/>
      <c r="AN86" s="400" t="n"/>
      <c r="AO86" s="400" t="n"/>
      <c r="AP86" s="400" t="n"/>
      <c r="AQ86" s="400" t="n"/>
      <c r="AR86" s="400" t="n"/>
      <c r="AS86" s="517" t="n"/>
    </row>
    <row r="87">
      <c r="B87" s="145" t="n"/>
      <c r="C87" s="145" t="n"/>
      <c r="D87" s="145" t="n"/>
      <c r="E87" s="145" t="n"/>
      <c r="F87" s="145" t="n"/>
      <c r="G87" s="145" t="n"/>
      <c r="H87" s="145" t="n"/>
      <c r="I87" s="145" t="n"/>
      <c r="J87" s="145" t="n"/>
      <c r="K87" s="145" t="n"/>
      <c r="L87" s="145" t="n"/>
      <c r="M87" s="145" t="n"/>
      <c r="N87" s="145" t="n"/>
      <c r="O87" s="145" t="n"/>
      <c r="P87" s="145" t="n"/>
      <c r="Q87" s="145" t="n"/>
      <c r="R87" s="145" t="n"/>
      <c r="S87" s="145" t="n"/>
      <c r="T87" s="145" t="n"/>
      <c r="U87" s="145" t="n"/>
      <c r="V87" s="145" t="n"/>
      <c r="W87" s="145" t="n"/>
      <c r="X87" s="145" t="n"/>
      <c r="Y87" s="145" t="n"/>
      <c r="Z87" s="145" t="n"/>
      <c r="AA87" s="145" t="n"/>
      <c r="AB87" s="145" t="n"/>
      <c r="AC87" s="145" t="n"/>
      <c r="AD87" s="145" t="n"/>
      <c r="AE87" s="145" t="n"/>
    </row>
    <row r="88">
      <c r="A88" s="81" t="inlineStr">
        <is>
          <t>CONSOLIDATED CASH FLOW STATEMENT (in '000 USD)</t>
        </is>
      </c>
      <c r="B88" s="145" t="n"/>
      <c r="C88" s="145" t="n"/>
      <c r="D88" s="145" t="n"/>
      <c r="E88" s="145" t="n"/>
      <c r="F88" s="145" t="n"/>
      <c r="G88" s="145" t="n"/>
      <c r="H88" s="145" t="n"/>
      <c r="I88" s="145" t="n"/>
      <c r="J88" s="145" t="n"/>
      <c r="K88" s="145" t="n"/>
      <c r="L88" s="145" t="n"/>
      <c r="M88" s="145" t="n"/>
      <c r="N88" s="145" t="n"/>
      <c r="O88" s="145" t="n"/>
      <c r="P88" s="145" t="n"/>
      <c r="Q88" s="145" t="n"/>
      <c r="R88" s="145" t="n"/>
      <c r="S88" s="145" t="n"/>
      <c r="T88" s="145" t="n"/>
      <c r="U88" s="145" t="n"/>
      <c r="V88" s="145" t="n"/>
      <c r="W88" s="145" t="n"/>
      <c r="X88" s="145" t="n"/>
      <c r="Y88" s="145" t="n"/>
      <c r="Z88" s="145" t="n"/>
      <c r="AA88" s="145" t="n"/>
      <c r="AB88" s="145" t="n"/>
      <c r="AC88" s="145" t="n"/>
      <c r="AD88" s="145" t="n"/>
      <c r="AE88" s="145" t="n"/>
      <c r="AF88" s="20" t="n"/>
      <c r="AG88" s="20" t="n"/>
      <c r="AH88" s="20" t="n"/>
      <c r="AI88" s="20" t="n"/>
      <c r="AJ88" s="20" t="n"/>
      <c r="AK88" s="20" t="n"/>
      <c r="AL88" s="20" t="n"/>
      <c r="AM88" s="20" t="n"/>
      <c r="AN88" s="20" t="n"/>
      <c r="AO88" s="20" t="n"/>
      <c r="AP88" s="20" t="n"/>
      <c r="AQ88" s="20" t="n"/>
      <c r="AR88" s="20" t="n"/>
    </row>
    <row r="89">
      <c r="B89" s="145" t="n"/>
      <c r="C89" s="145" t="n"/>
      <c r="D89" s="145" t="n"/>
      <c r="E89" s="145" t="n"/>
      <c r="F89" s="145" t="n"/>
      <c r="G89" s="145" t="n"/>
      <c r="H89" s="145" t="n"/>
      <c r="I89" s="145" t="n"/>
      <c r="J89" s="145" t="n"/>
      <c r="K89" s="145" t="n"/>
      <c r="L89" s="145" t="n"/>
      <c r="M89" s="145" t="n"/>
      <c r="N89" s="145" t="n"/>
      <c r="O89" s="145" t="n"/>
      <c r="P89" s="145" t="n"/>
      <c r="Q89" s="145" t="n"/>
      <c r="R89" s="145" t="n"/>
      <c r="S89" s="145" t="n"/>
      <c r="T89" s="145" t="n"/>
      <c r="U89" s="145" t="n"/>
      <c r="V89" s="145" t="n"/>
      <c r="W89" s="145" t="n"/>
      <c r="X89" s="145" t="n"/>
      <c r="Y89" s="145" t="n"/>
      <c r="Z89" s="145" t="n"/>
      <c r="AA89" s="145" t="n"/>
      <c r="AB89" s="145" t="n"/>
      <c r="AC89" s="145" t="n"/>
      <c r="AD89" s="145" t="n"/>
      <c r="AE89" s="145" t="n"/>
    </row>
    <row r="90">
      <c r="A90" s="22" t="inlineStr">
        <is>
          <t>CASH FLOWS FROM OPERATING ACTIVITIES:</t>
        </is>
      </c>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c r="AG90" s="22" t="n"/>
      <c r="AH90" s="22" t="n"/>
      <c r="AI90" s="22" t="n"/>
      <c r="AJ90" s="22" t="n"/>
      <c r="AK90" s="22" t="n"/>
      <c r="AL90" s="22" t="n"/>
      <c r="AM90" s="22" t="n"/>
      <c r="AN90" s="22" t="n"/>
      <c r="AO90" s="22" t="n"/>
      <c r="AP90" s="22" t="n"/>
      <c r="AQ90" s="22" t="n"/>
      <c r="AR90" s="22" t="n"/>
    </row>
    <row r="91">
      <c r="A91" s="74" t="inlineStr">
        <is>
          <t>Net income</t>
        </is>
      </c>
      <c r="B91" s="145" t="n"/>
      <c r="C91" s="145" t="n"/>
      <c r="D91" s="145" t="n"/>
      <c r="E91" s="145" t="n"/>
      <c r="F91" s="145" t="n"/>
      <c r="G91" s="145" t="n"/>
      <c r="H91" s="145" t="n"/>
      <c r="I91" s="145" t="n"/>
      <c r="J91" s="145" t="n"/>
      <c r="K91" s="145" t="n"/>
      <c r="L91" s="145" t="n"/>
      <c r="M91" s="145" t="n"/>
      <c r="N91" s="509">
        <f>IF(N$2=1,Reported!N171,Reported!N171-Reported!M171)</f>
        <v/>
      </c>
      <c r="O91" s="509">
        <f>IF(O$2=1,Reported!O171,Reported!O171-Reported!N171)</f>
        <v/>
      </c>
      <c r="P91" s="509">
        <f>IF(P$2=1,Reported!P171,Reported!P171-Reported!O171)</f>
        <v/>
      </c>
      <c r="Q91" s="509">
        <f>IF(Q$2=1,Reported!Q171,Reported!Q171-Reported!P171)</f>
        <v/>
      </c>
      <c r="R91" s="509">
        <f>IF(R$2=1,Reported!R171,Reported!R171-Reported!Q171)</f>
        <v/>
      </c>
      <c r="S91" s="509">
        <f>IF(S$2=1,Reported!S171,Reported!S171-Reported!R171)</f>
        <v/>
      </c>
      <c r="T91" s="509">
        <f>IF(T$2=1,Reported!T171,Reported!T171-Reported!S171)</f>
        <v/>
      </c>
      <c r="U91" s="509">
        <f>IF(U$2=1,Reported!U171,Reported!U171-Reported!T171)</f>
        <v/>
      </c>
      <c r="V91" s="509">
        <f>IF(V$2=1,Reported!V171,Reported!V171-Reported!U171)</f>
        <v/>
      </c>
      <c r="W91" s="509">
        <f>IF(W$2=1,Reported!W171,Reported!W171-Reported!V171)</f>
        <v/>
      </c>
      <c r="X91" s="509">
        <f>IF(X$2=1,Reported!X171,Reported!X171-Reported!W171)</f>
        <v/>
      </c>
      <c r="Y91" s="509">
        <f>IF(Y$2=1,Reported!Y171,Reported!Y171-Reported!X171)</f>
        <v/>
      </c>
      <c r="Z91" s="509">
        <f>IF(Z$2=1,Reported!Z171,Reported!Z171-Reported!Y171)</f>
        <v/>
      </c>
      <c r="AA91" s="509">
        <f>IF(AA$2=1,Reported!AA171,Reported!AA171-Reported!Z171)</f>
        <v/>
      </c>
      <c r="AB91" s="509">
        <f>IF(AB$2=1,Reported!AB171,Reported!AB171-Reported!AA171)</f>
        <v/>
      </c>
      <c r="AC91" s="509">
        <f>IF(AC$2=1,Reported!AC171,Reported!AC171-Reported!AB171)</f>
        <v/>
      </c>
      <c r="AD91" s="509">
        <f>IF(AD$2=1,Reported!AD171,Reported!AD171-Reported!AC171)</f>
        <v/>
      </c>
      <c r="AE91" s="509">
        <f>IF(AE$2=1,Reported!AE171,Reported!AE171-Reported!AD171)</f>
        <v/>
      </c>
      <c r="AF91" s="509">
        <f>IF(AF$2=1,Reported!AF171,Reported!AF171-Reported!AE171)</f>
        <v/>
      </c>
      <c r="AG91" s="509">
        <f>IF(AG$2=1,Reported!AG171,Reported!AG171-Reported!AF171)</f>
        <v/>
      </c>
      <c r="AH91" s="509">
        <f>IF(AH$2=1,Reported!AH171,Reported!AH171-Reported!AG171)</f>
        <v/>
      </c>
      <c r="AI91" s="509">
        <f>IF(AI$2=1,Reported!AI171,Reported!AI171-Reported!AH171)</f>
        <v/>
      </c>
      <c r="AJ91" s="509">
        <f>IF(AJ$2=1,Reported!AJ171,Reported!AJ171-Reported!AI171)</f>
        <v/>
      </c>
      <c r="AK91" s="509">
        <f>IF(AK$2=1,Reported!AK171,Reported!AK171-Reported!AJ171)</f>
        <v/>
      </c>
      <c r="AL91" s="509">
        <f>IF(AL$2=1,Reported!AL171,Reported!AL171-Reported!AK171)</f>
        <v/>
      </c>
      <c r="AM91" s="509">
        <f>IF(AM$2=1,Reported!AM171,Reported!AM171-Reported!AL171)</f>
        <v/>
      </c>
      <c r="AN91" s="509">
        <f>IF(AN$2=1,Reported!AN171,Reported!AN171-Reported!AM171)</f>
        <v/>
      </c>
      <c r="AO91" s="509">
        <f>IF(AO$2=1,Reported!AO171,Reported!AO171-Reported!AN171)</f>
        <v/>
      </c>
      <c r="AP91" s="509">
        <f>IF(AP$2=1,Reported!AP171,Reported!AP171-Reported!AO171)</f>
        <v/>
      </c>
      <c r="AQ91" s="509">
        <f>IF(AQ$2=1,Reported!AQ171,Reported!AQ171-Reported!AP171)</f>
        <v/>
      </c>
      <c r="AR91" s="509">
        <f>IF(AR$2=1,Reported!AR171,Reported!AR171-Reported!AQ171)</f>
        <v/>
      </c>
      <c r="AS91" s="509">
        <f>IF(AS$2=1,Reported!AS171,Reported!AS171-Reported!AR171)</f>
        <v/>
      </c>
      <c r="AT91" s="509">
        <f>IF(AT$2=1,Reported!AT171,Reported!AT171-Reported!AS171)</f>
        <v/>
      </c>
      <c r="AU91" s="509">
        <f>IF(AU$2=1,Reported!AU171,Reported!AU171-Reported!AT171)</f>
        <v/>
      </c>
      <c r="AV91" s="509">
        <f>IF(AV$2=1,Reported!AV171,Reported!AV171-Reported!AU171)</f>
        <v/>
      </c>
      <c r="AW91" s="509">
        <f>IF(AW$2=1,Reported!AW171,Reported!AW171-Reported!AV171)</f>
        <v/>
      </c>
      <c r="AX91" s="509">
        <f>IF(AX$2=1,Reported!AX171,Reported!AX171-Reported!AW171)</f>
        <v/>
      </c>
      <c r="AY91" s="509">
        <f>IF(AY$2=1,Reported!AY171,Reported!AY171-Reported!AX171)</f>
        <v/>
      </c>
      <c r="AZ91" s="509">
        <f>IF(AZ$2=1,Reported!AZ171,Reported!AZ171-Reported!AY171)</f>
        <v/>
      </c>
      <c r="BA91" s="509">
        <f>IF(BA$2=1,Reported!BA171,Reported!BA171-Reported!AZ171)</f>
        <v/>
      </c>
      <c r="BB91" s="509">
        <f>IF(BB$2=1,Reported!BB171,Reported!BB171-Reported!BA171)</f>
        <v/>
      </c>
      <c r="BC91" s="509">
        <f>IF(BC$2=1,Reported!BC171,Reported!BC171-Reported!BB171)</f>
        <v/>
      </c>
      <c r="BD91" s="509">
        <f>IF(BD$2=1,Reported!BD171,Reported!BD171-Reported!BC171)</f>
        <v/>
      </c>
      <c r="BE91" s="509">
        <f>IF(BE$2=1,Reported!BE171,Reported!BE171-Reported!BD171)</f>
        <v/>
      </c>
      <c r="BF91" s="509">
        <f>IF(BF$2=1,Reported!BF171,Reported!BF171-Reported!BE171)</f>
        <v/>
      </c>
      <c r="BG91" s="509">
        <f>IF(BG$2=1,Reported!BG171,Reported!BG171-Reported!BF171)</f>
        <v/>
      </c>
      <c r="BH91" s="509">
        <f>IF(BH$2=1,Reported!BH171,Reported!BH171-Reported!BG171)</f>
        <v/>
      </c>
      <c r="BI91" s="509">
        <f>IF(BI$2=1,Reported!BI171,Reported!BI171-Reported!BH171)</f>
        <v/>
      </c>
      <c r="BJ91" s="509">
        <f>IF(BJ$2=1,Reported!BJ171,Reported!BJ171-Reported!BI171)</f>
        <v/>
      </c>
      <c r="BK91" s="509">
        <f>IF(BK$2=1,Reported!BK171,Reported!BK171-Reported!BJ171)</f>
        <v/>
      </c>
      <c r="BL91" s="509">
        <f>IF(BL$2=1,Reported!BL171,Reported!BL171-Reported!BK171)</f>
        <v/>
      </c>
      <c r="BM91" s="509">
        <f>IF(BM$2=1,Reported!BM171,Reported!BM171-Reported!BL171)</f>
        <v/>
      </c>
      <c r="BN91" s="509">
        <f>IF(BN$2=1,Reported!BN171,Reported!BN171-Reported!BM171)</f>
        <v/>
      </c>
      <c r="BO91" s="509">
        <f>IF(BO$2=1,Reported!BO171,Reported!BO171-Reported!BN171)</f>
        <v/>
      </c>
      <c r="BP91" s="509">
        <f>IF(BP$2=1,Reported!BP171,Reported!BP171-Reported!BO171)</f>
        <v/>
      </c>
      <c r="BQ91" s="509">
        <f>IF(BQ$2=1,Reported!BQ171,Reported!BQ171-Reported!BP171)</f>
        <v/>
      </c>
      <c r="BR91" s="509">
        <f>IF(BR$2=1,Reported!BR171,Reported!BR171-Reported!BQ171)</f>
        <v/>
      </c>
      <c r="BS91" s="517">
        <f>BS25</f>
        <v/>
      </c>
      <c r="BT91" s="517">
        <f>BT25</f>
        <v/>
      </c>
      <c r="BU91" s="517">
        <f>BU25</f>
        <v/>
      </c>
      <c r="BV91" s="517">
        <f>BV25</f>
        <v/>
      </c>
      <c r="BW91" s="517">
        <f>BW25</f>
        <v/>
      </c>
      <c r="BX91" s="517">
        <f>BX25</f>
        <v/>
      </c>
      <c r="BY91" s="517">
        <f>BY25</f>
        <v/>
      </c>
      <c r="BZ91" s="517">
        <f>BZ25</f>
        <v/>
      </c>
      <c r="CA91" s="517">
        <f>CA25</f>
        <v/>
      </c>
      <c r="CB91" s="517">
        <f>CB25</f>
        <v/>
      </c>
      <c r="CC91" s="517">
        <f>CC25</f>
        <v/>
      </c>
      <c r="CD91" s="517">
        <f>CD25</f>
        <v/>
      </c>
      <c r="CE91" s="517">
        <f>CE25</f>
        <v/>
      </c>
      <c r="CF91" s="517">
        <f>CF25</f>
        <v/>
      </c>
      <c r="CG91" s="517">
        <f>CG25</f>
        <v/>
      </c>
      <c r="CH91" s="517">
        <f>CH25</f>
        <v/>
      </c>
      <c r="CI91" s="517">
        <f>CI25</f>
        <v/>
      </c>
      <c r="CJ91" s="517">
        <f>CJ25</f>
        <v/>
      </c>
      <c r="CK91" s="517">
        <f>CK25</f>
        <v/>
      </c>
    </row>
    <row r="92">
      <c r="A92" s="74" t="inlineStr">
        <is>
          <t>Adjustment of non-cash items:</t>
        </is>
      </c>
      <c r="B92" s="145" t="n"/>
      <c r="C92" s="145" t="n"/>
      <c r="D92" s="145" t="n"/>
      <c r="E92" s="145" t="n"/>
      <c r="F92" s="145" t="n"/>
      <c r="G92" s="145" t="n"/>
      <c r="H92" s="145" t="n"/>
      <c r="I92" s="145" t="n"/>
      <c r="J92" s="145" t="n"/>
      <c r="K92" s="145" t="n"/>
      <c r="L92" s="145" t="n"/>
      <c r="M92" s="145" t="n"/>
      <c r="N92" s="509" t="n"/>
      <c r="O92" s="509" t="n"/>
      <c r="P92" s="509" t="n"/>
      <c r="Q92" s="509" t="n"/>
      <c r="R92" s="509" t="n"/>
      <c r="S92" s="509" t="n"/>
      <c r="T92" s="509" t="n"/>
      <c r="U92" s="509" t="n"/>
      <c r="V92" s="509" t="n"/>
      <c r="W92" s="509" t="n"/>
      <c r="X92" s="509" t="n"/>
      <c r="Y92" s="509" t="n"/>
      <c r="Z92" s="509" t="n"/>
      <c r="AA92" s="509" t="n"/>
      <c r="AB92" s="509" t="n"/>
      <c r="AC92" s="509" t="n"/>
      <c r="AD92" s="509" t="n"/>
      <c r="AE92" s="509" t="n"/>
      <c r="AF92" s="509" t="n"/>
      <c r="AG92" s="509" t="n"/>
      <c r="AH92" s="509" t="n"/>
      <c r="AI92" s="509" t="n"/>
      <c r="AJ92" s="509" t="n"/>
      <c r="AK92" s="509" t="n"/>
      <c r="AL92" s="509" t="n"/>
      <c r="AM92" s="509" t="n"/>
      <c r="AN92" s="509" t="n"/>
      <c r="AO92" s="509" t="n"/>
      <c r="AP92" s="509" t="n"/>
      <c r="AQ92" s="509" t="n"/>
      <c r="AR92" s="509" t="n"/>
      <c r="AS92" s="509" t="n"/>
      <c r="AT92" s="509" t="n"/>
      <c r="AU92" s="509" t="n"/>
      <c r="AV92" s="509" t="n"/>
      <c r="AW92" s="509" t="n"/>
      <c r="AX92" s="509" t="n"/>
      <c r="AY92" s="509" t="n"/>
      <c r="AZ92" s="509" t="n"/>
      <c r="BA92" s="509" t="n"/>
      <c r="BB92" s="509" t="n"/>
      <c r="BC92" s="509" t="n"/>
      <c r="BD92" s="509" t="n"/>
      <c r="BE92" s="509" t="n"/>
      <c r="BF92" s="509" t="n"/>
      <c r="BG92" s="509" t="n"/>
      <c r="BH92" s="509" t="n"/>
      <c r="BI92" s="509" t="n"/>
      <c r="BJ92" s="509" t="n"/>
      <c r="BK92" s="509" t="n"/>
      <c r="BL92" s="509" t="n"/>
      <c r="BM92" s="509" t="n"/>
      <c r="BN92" s="509" t="n"/>
      <c r="BO92" s="509" t="n"/>
      <c r="BP92" s="509" t="n"/>
      <c r="BQ92" s="509" t="n"/>
      <c r="BR92" s="509" t="n"/>
    </row>
    <row r="93">
      <c r="A93" s="33" t="inlineStr">
        <is>
          <t>Depreciation and amortization</t>
        </is>
      </c>
      <c r="B93" s="145" t="n"/>
      <c r="C93" s="145" t="n"/>
      <c r="D93" s="145" t="n"/>
      <c r="E93" s="145" t="n"/>
      <c r="F93" s="145" t="n"/>
      <c r="G93" s="145" t="n"/>
      <c r="H93" s="145" t="n"/>
      <c r="I93" s="145" t="n"/>
      <c r="J93" s="145" t="n"/>
      <c r="K93" s="145" t="n"/>
      <c r="L93" s="145" t="n"/>
      <c r="M93" s="145" t="n"/>
      <c r="N93" s="509">
        <f>IF(N$2=1,Reported!N173,Reported!N173-Reported!M173)</f>
        <v/>
      </c>
      <c r="O93" s="509">
        <f>IF(O$2=1,Reported!O173,Reported!O173-Reported!N173)</f>
        <v/>
      </c>
      <c r="P93" s="509">
        <f>IF(P$2=1,Reported!P173,Reported!P173-Reported!O173)</f>
        <v/>
      </c>
      <c r="Q93" s="509">
        <f>IF(Q$2=1,Reported!Q173,Reported!Q173-Reported!P173)</f>
        <v/>
      </c>
      <c r="R93" s="509">
        <f>IF(R$2=1,Reported!R173,Reported!R173-Reported!Q173)</f>
        <v/>
      </c>
      <c r="S93" s="509">
        <f>IF(S$2=1,Reported!S173,Reported!S173-Reported!R173)</f>
        <v/>
      </c>
      <c r="T93" s="509">
        <f>IF(T$2=1,Reported!T173,Reported!T173-Reported!S173)</f>
        <v/>
      </c>
      <c r="U93" s="509">
        <f>IF(U$2=1,Reported!U173,Reported!U173-Reported!T173)</f>
        <v/>
      </c>
      <c r="V93" s="509">
        <f>IF(V$2=1,Reported!V173,Reported!V173-Reported!U173)</f>
        <v/>
      </c>
      <c r="W93" s="509">
        <f>IF(W$2=1,Reported!W173,Reported!W173-Reported!V173)</f>
        <v/>
      </c>
      <c r="X93" s="509">
        <f>IF(X$2=1,Reported!X173,Reported!X173-Reported!W173)</f>
        <v/>
      </c>
      <c r="Y93" s="509">
        <f>IF(Y$2=1,Reported!Y173,Reported!Y173-Reported!X173)</f>
        <v/>
      </c>
      <c r="Z93" s="509">
        <f>IF(Z$2=1,Reported!Z173,Reported!Z173-Reported!Y173)</f>
        <v/>
      </c>
      <c r="AA93" s="509">
        <f>IF(AA$2=1,Reported!AA173,Reported!AA173-Reported!Z173)</f>
        <v/>
      </c>
      <c r="AB93" s="509">
        <f>IF(AB$2=1,Reported!AB173,Reported!AB173-Reported!AA173)</f>
        <v/>
      </c>
      <c r="AC93" s="509">
        <f>IF(AC$2=1,Reported!AC173,Reported!AC173-Reported!AB173)</f>
        <v/>
      </c>
      <c r="AD93" s="509">
        <f>IF(AD$2=1,Reported!AD173,Reported!AD173-Reported!AC173)</f>
        <v/>
      </c>
      <c r="AE93" s="509">
        <f>IF(AE$2=1,Reported!AE173,Reported!AE173-Reported!AD173)</f>
        <v/>
      </c>
      <c r="AF93" s="509">
        <f>IF(AF$2=1,Reported!AF173,Reported!AF173-Reported!AE173)</f>
        <v/>
      </c>
      <c r="AG93" s="509">
        <f>IF(AG$2=1,Reported!AG173,Reported!AG173-Reported!AF173)</f>
        <v/>
      </c>
      <c r="AH93" s="509">
        <f>IF(AH$2=1,Reported!AH173,Reported!AH173-Reported!AG173)</f>
        <v/>
      </c>
      <c r="AI93" s="509">
        <f>IF(AI$2=1,Reported!AI173,Reported!AI173-Reported!AH173)</f>
        <v/>
      </c>
      <c r="AJ93" s="509">
        <f>IF(AJ$2=1,Reported!AJ173,Reported!AJ173-Reported!AI173)</f>
        <v/>
      </c>
      <c r="AK93" s="509">
        <f>IF(AK$2=1,Reported!AK173,Reported!AK173-Reported!AJ173)</f>
        <v/>
      </c>
      <c r="AL93" s="509">
        <f>IF(AL$2=1,Reported!AL173,Reported!AL173-Reported!AK173)</f>
        <v/>
      </c>
      <c r="AM93" s="509">
        <f>IF(AM$2=1,Reported!AM173,Reported!AM173-Reported!AL173)</f>
        <v/>
      </c>
      <c r="AN93" s="509">
        <f>IF(AN$2=1,Reported!AN173,Reported!AN173-Reported!AM173)</f>
        <v/>
      </c>
      <c r="AO93" s="509">
        <f>IF(AO$2=1,Reported!AO173,Reported!AO173-Reported!AN173)</f>
        <v/>
      </c>
      <c r="AP93" s="509">
        <f>IF(AP$2=1,Reported!AP173,Reported!AP173-Reported!AO173)</f>
        <v/>
      </c>
      <c r="AQ93" s="509">
        <f>IF(AQ$2=1,Reported!AQ173,Reported!AQ173-Reported!AP173)</f>
        <v/>
      </c>
      <c r="AR93" s="509">
        <f>IF(AR$2=1,Reported!AR173,Reported!AR173-Reported!AQ173)</f>
        <v/>
      </c>
      <c r="AS93" s="509">
        <f>IF(AS$2=1,Reported!AS173,Reported!AS173-Reported!AR173)</f>
        <v/>
      </c>
      <c r="AT93" s="509">
        <f>IF(AT$2=1,Reported!AT173,Reported!AT173-Reported!AS173)</f>
        <v/>
      </c>
      <c r="AU93" s="509">
        <f>IF(AU$2=1,Reported!AU173,Reported!AU173-Reported!AT173)</f>
        <v/>
      </c>
      <c r="AV93" s="509">
        <f>IF(AV$2=1,Reported!AV173,Reported!AV173-Reported!AU173)</f>
        <v/>
      </c>
      <c r="AW93" s="509">
        <f>IF(AW$2=1,Reported!AW173,Reported!AW173-Reported!AV173)</f>
        <v/>
      </c>
      <c r="AX93" s="509">
        <f>IF(AX$2=1,Reported!AX173,Reported!AX173-Reported!AW173)</f>
        <v/>
      </c>
      <c r="AY93" s="509">
        <f>IF(AY$2=1,Reported!AY173,Reported!AY173-Reported!AX173)</f>
        <v/>
      </c>
      <c r="AZ93" s="509">
        <f>IF(AZ$2=1,Reported!AZ173,Reported!AZ173-Reported!AY173)</f>
        <v/>
      </c>
      <c r="BA93" s="509">
        <f>IF(BA$2=1,Reported!BA173,Reported!BA173-Reported!AZ173)</f>
        <v/>
      </c>
      <c r="BB93" s="509">
        <f>IF(BB$2=1,Reported!BB173,Reported!BB173-Reported!BA173)</f>
        <v/>
      </c>
      <c r="BC93" s="509">
        <f>IF(BC$2=1,Reported!BC173,Reported!BC173-Reported!BB173)</f>
        <v/>
      </c>
      <c r="BD93" s="509">
        <f>IF(BD$2=1,Reported!BD173,Reported!BD173-Reported!BC173)</f>
        <v/>
      </c>
      <c r="BE93" s="509">
        <f>IF(BE$2=1,Reported!BE173,Reported!BE173-Reported!BD173)</f>
        <v/>
      </c>
      <c r="BF93" s="509">
        <f>IF(BF$2=1,Reported!BF173,Reported!BF173-Reported!BE173)</f>
        <v/>
      </c>
      <c r="BG93" s="509">
        <f>IF(BG$2=1,Reported!BG173,Reported!BG173-Reported!BF173)</f>
        <v/>
      </c>
      <c r="BH93" s="509">
        <f>IF(BH$2=1,Reported!BH173,Reported!BH173-Reported!BG173)</f>
        <v/>
      </c>
      <c r="BI93" s="509">
        <f>IF(BI$2=1,Reported!BI173,Reported!BI173-Reported!BH173)</f>
        <v/>
      </c>
      <c r="BJ93" s="509">
        <f>IF(BJ$2=1,Reported!BJ173,Reported!BJ173-Reported!BI173)</f>
        <v/>
      </c>
      <c r="BK93" s="509">
        <f>IF(BK$2=1,Reported!BK173,Reported!BK173-Reported!BJ173)</f>
        <v/>
      </c>
      <c r="BL93" s="509">
        <f>IF(BL$2=1,Reported!BL173,Reported!BL173-Reported!BK173)</f>
        <v/>
      </c>
      <c r="BM93" s="509">
        <f>IF(BM$2=1,Reported!BM173,Reported!BM173-Reported!BL173)</f>
        <v/>
      </c>
      <c r="BN93" s="509">
        <f>IF(BN$2=1,Reported!BN173,Reported!BN173-Reported!BM173)</f>
        <v/>
      </c>
      <c r="BO93" s="509">
        <f>IF(BO$2=1,Reported!BO173,Reported!BO173-Reported!BN173)</f>
        <v/>
      </c>
      <c r="BP93" s="509">
        <f>IF(BP$2=1,Reported!BP173,Reported!BP173-Reported!BO173)</f>
        <v/>
      </c>
      <c r="BQ93" s="509">
        <f>IF(BQ$2=1,Reported!BQ173,Reported!BQ173-Reported!BP173)</f>
        <v/>
      </c>
      <c r="BR93" s="509">
        <f>IF(BR$2=1,Reported!BR173,Reported!BR173-Reported!BQ173)</f>
        <v/>
      </c>
      <c r="BS93" s="517">
        <f>Assumption!BS182</f>
        <v/>
      </c>
      <c r="BT93" s="517">
        <f>Assumption!BT182</f>
        <v/>
      </c>
      <c r="BU93" s="517">
        <f>Assumption!BU182</f>
        <v/>
      </c>
      <c r="BV93" s="517">
        <f>Assumption!BV182</f>
        <v/>
      </c>
      <c r="BW93" s="517">
        <f>Assumption!BW182</f>
        <v/>
      </c>
      <c r="BX93" s="517">
        <f>Assumption!BX182</f>
        <v/>
      </c>
      <c r="BY93" s="517">
        <f>Assumption!BY182</f>
        <v/>
      </c>
      <c r="BZ93" s="517">
        <f>Assumption!BZ182</f>
        <v/>
      </c>
      <c r="CA93" s="517">
        <f>Assumption!CA182</f>
        <v/>
      </c>
      <c r="CB93" s="517">
        <f>Assumption!CB182</f>
        <v/>
      </c>
      <c r="CC93" s="517">
        <f>Assumption!CC182</f>
        <v/>
      </c>
      <c r="CD93" s="517">
        <f>Assumption!CD182</f>
        <v/>
      </c>
      <c r="CE93" s="517">
        <f>Assumption!CE182</f>
        <v/>
      </c>
      <c r="CF93" s="517">
        <f>Assumption!CF182</f>
        <v/>
      </c>
      <c r="CG93" s="517">
        <f>Assumption!CG182</f>
        <v/>
      </c>
      <c r="CH93" s="517">
        <f>Assumption!CH182</f>
        <v/>
      </c>
      <c r="CI93" s="517">
        <f>Assumption!CI182</f>
        <v/>
      </c>
      <c r="CJ93" s="517">
        <f>Assumption!CJ182</f>
        <v/>
      </c>
      <c r="CK93" s="517">
        <f>Assumption!CK182</f>
        <v/>
      </c>
    </row>
    <row r="94">
      <c r="A94" s="33" t="inlineStr">
        <is>
          <t>Provisions for inventory, warranty and bad debt</t>
        </is>
      </c>
      <c r="B94" s="145" t="n"/>
      <c r="C94" s="145" t="n"/>
      <c r="D94" s="145" t="n"/>
      <c r="E94" s="145" t="n"/>
      <c r="F94" s="145" t="n"/>
      <c r="G94" s="145" t="n"/>
      <c r="H94" s="145" t="n"/>
      <c r="I94" s="145" t="n"/>
      <c r="J94" s="145" t="n"/>
      <c r="K94" s="145" t="n"/>
      <c r="L94" s="145" t="n"/>
      <c r="M94" s="145" t="n"/>
      <c r="N94" s="509">
        <f>IF(N$2=1,Reported!N178,Reported!N178-Reported!M178)</f>
        <v/>
      </c>
      <c r="O94" s="509">
        <f>IF(O$2=1,Reported!O178,Reported!O178-Reported!N178)</f>
        <v/>
      </c>
      <c r="P94" s="509">
        <f>IF(P$2=1,Reported!P178,Reported!P178-Reported!O178)</f>
        <v/>
      </c>
      <c r="Q94" s="509">
        <f>IF(Q$2=1,Reported!Q178,Reported!Q178-Reported!P178)</f>
        <v/>
      </c>
      <c r="R94" s="509">
        <f>IF(R$2=1,Reported!R178,Reported!R178-Reported!Q178)</f>
        <v/>
      </c>
      <c r="S94" s="509">
        <f>IF(S$2=1,Reported!S178,Reported!S178-Reported!R178)</f>
        <v/>
      </c>
      <c r="T94" s="509">
        <f>IF(T$2=1,Reported!T178,Reported!T178-Reported!S178)</f>
        <v/>
      </c>
      <c r="U94" s="509">
        <f>IF(U$2=1,Reported!U178,Reported!U178-Reported!T178)</f>
        <v/>
      </c>
      <c r="V94" s="509">
        <f>IF(V$2=1,Reported!V178,Reported!V178-Reported!U178)</f>
        <v/>
      </c>
      <c r="W94" s="509">
        <f>IF(W$2=1,Reported!W178,Reported!W178-Reported!V178)</f>
        <v/>
      </c>
      <c r="X94" s="509">
        <f>IF(X$2=1,Reported!X178,Reported!X178-Reported!W178)</f>
        <v/>
      </c>
      <c r="Y94" s="509">
        <f>IF(Y$2=1,Reported!Y178,Reported!Y178-Reported!X178)</f>
        <v/>
      </c>
      <c r="Z94" s="509">
        <f>IF(Z$2=1,Reported!Z178,Reported!Z178-Reported!Y178)</f>
        <v/>
      </c>
      <c r="AA94" s="509">
        <f>IF(AA$2=1,Reported!AA178,Reported!AA178-Reported!Z178)</f>
        <v/>
      </c>
      <c r="AB94" s="509">
        <f>IF(AB$2=1,Reported!AB178,Reported!AB178-Reported!AA178)</f>
        <v/>
      </c>
      <c r="AC94" s="509">
        <f>IF(AC$2=1,Reported!AC178,Reported!AC178-Reported!AB178)</f>
        <v/>
      </c>
      <c r="AD94" s="509">
        <f>IF(AD$2=1,Reported!AD178,Reported!AD178-Reported!AC178)</f>
        <v/>
      </c>
      <c r="AE94" s="509">
        <f>IF(AE$2=1,Reported!AE178,Reported!AE178-Reported!AD178)</f>
        <v/>
      </c>
      <c r="AF94" s="509">
        <f>IF(AF$2=1,Reported!AF178,Reported!AF178-Reported!AE178)</f>
        <v/>
      </c>
      <c r="AG94" s="509">
        <f>IF(AG$2=1,Reported!AG178,Reported!AG178-Reported!AF178)</f>
        <v/>
      </c>
      <c r="AH94" s="509">
        <f>IF(AH$2=1,Reported!AH178,Reported!AH178-Reported!AG178)</f>
        <v/>
      </c>
      <c r="AI94" s="509">
        <f>IF(AI$2=1,Reported!AI178,Reported!AI178-Reported!AH178)</f>
        <v/>
      </c>
      <c r="AJ94" s="509">
        <f>IF(AJ$2=1,Reported!AJ178,Reported!AJ178-Reported!AI178)</f>
        <v/>
      </c>
      <c r="AK94" s="509">
        <f>IF(AK$2=1,Reported!AK178,Reported!AK178-Reported!AJ178)</f>
        <v/>
      </c>
      <c r="AL94" s="509">
        <f>IF(AL$2=1,Reported!AL178,Reported!AL178-Reported!AK178)</f>
        <v/>
      </c>
      <c r="AM94" s="509">
        <f>IF(AM$2=1,Reported!AM178,Reported!AM178-Reported!AL178)</f>
        <v/>
      </c>
      <c r="AN94" s="509">
        <f>IF(AN$2=1,Reported!AN178,Reported!AN178-Reported!AM178)</f>
        <v/>
      </c>
      <c r="AO94" s="509">
        <f>IF(AO$2=1,Reported!AO178,Reported!AO178-Reported!AN178)</f>
        <v/>
      </c>
      <c r="AP94" s="509">
        <f>IF(AP$2=1,Reported!AP178,Reported!AP178-Reported!AO178)</f>
        <v/>
      </c>
      <c r="AQ94" s="509">
        <f>IF(AQ$2=1,Reported!AQ178,Reported!AQ178-Reported!AP178)</f>
        <v/>
      </c>
      <c r="AR94" s="509">
        <f>IF(AR$2=1,Reported!AR178,Reported!AR178-Reported!AQ178)</f>
        <v/>
      </c>
      <c r="AS94" s="509">
        <f>IF(AS$2=1,Reported!AS178,Reported!AS178-Reported!AR178)</f>
        <v/>
      </c>
      <c r="AT94" s="509">
        <f>IF(AT$2=1,Reported!AT178,Reported!AT178-Reported!AS178)</f>
        <v/>
      </c>
      <c r="AU94" s="509">
        <f>IF(AU$2=1,Reported!AU178,Reported!AU178-Reported!AT178)</f>
        <v/>
      </c>
      <c r="AV94" s="509">
        <f>IF(AV$2=1,Reported!AV178,Reported!AV178-Reported!AU178)</f>
        <v/>
      </c>
      <c r="AW94" s="509">
        <f>IF(AW$2=1,Reported!AW178,Reported!AW178-Reported!AV178)</f>
        <v/>
      </c>
      <c r="AX94" s="509">
        <f>IF(AX$2=1,Reported!AX178,Reported!AX178-Reported!AW178)</f>
        <v/>
      </c>
      <c r="AY94" s="509">
        <f>IF(AY$2=1,Reported!AY178,Reported!AY178-Reported!AX178)</f>
        <v/>
      </c>
      <c r="AZ94" s="509">
        <f>IF(AZ$2=1,Reported!AZ178,Reported!AZ178-Reported!AY178)</f>
        <v/>
      </c>
      <c r="BA94" s="509">
        <f>IF(BA$2=1,Reported!BA178,Reported!BA178-Reported!AZ178)</f>
        <v/>
      </c>
      <c r="BB94" s="509">
        <f>IF(BB$2=1,Reported!BB178,Reported!BB178-Reported!BA178)</f>
        <v/>
      </c>
      <c r="BC94" s="509">
        <f>IF(BC$2=1,Reported!BC178,Reported!BC178-Reported!BB178)</f>
        <v/>
      </c>
      <c r="BD94" s="509">
        <f>IF(BD$2=1,Reported!BD178,Reported!BD178-Reported!BC178)</f>
        <v/>
      </c>
      <c r="BE94" s="509">
        <f>IF(BE$2=1,Reported!BE178,Reported!BE178-Reported!BD178)</f>
        <v/>
      </c>
      <c r="BF94" s="509">
        <f>IF(BF$2=1,Reported!BF178,Reported!BF178-Reported!BE178)</f>
        <v/>
      </c>
      <c r="BG94" s="509">
        <f>IF(BG$2=1,Reported!BG178,Reported!BG178-Reported!BF178)</f>
        <v/>
      </c>
      <c r="BH94" s="509">
        <f>IF(BH$2=1,Reported!BH178,Reported!BH178-Reported!BG178)</f>
        <v/>
      </c>
      <c r="BI94" s="509">
        <f>IF(BI$2=1,Reported!BI178,Reported!BI178-Reported!BH178)</f>
        <v/>
      </c>
      <c r="BJ94" s="509">
        <f>IF(BJ$2=1,Reported!BJ178,Reported!BJ178-Reported!BI178)</f>
        <v/>
      </c>
      <c r="BK94" s="509">
        <f>IF(BK$2=1,Reported!BK178,Reported!BK178-Reported!BJ178)</f>
        <v/>
      </c>
      <c r="BL94" s="509">
        <f>IF(BL$2=1,Reported!BL178,Reported!BL178-Reported!BK178)</f>
        <v/>
      </c>
      <c r="BM94" s="509">
        <f>IF(BM$2=1,Reported!BM178,Reported!BM178-Reported!BL178)</f>
        <v/>
      </c>
      <c r="BN94" s="509">
        <f>IF(BN$2=1,Reported!BN178,Reported!BN178-Reported!BM178)</f>
        <v/>
      </c>
      <c r="BO94" s="509">
        <f>IF(BO$2=1,Reported!BO178,Reported!BO178-Reported!BN178)</f>
        <v/>
      </c>
      <c r="BP94" s="509">
        <f>IF(BP$2=1,Reported!BP178,Reported!BP178-Reported!BO178)</f>
        <v/>
      </c>
      <c r="BQ94" s="509">
        <f>IF(BQ$2=1,Reported!BQ178,Reported!BQ178-Reported!BP178)</f>
        <v/>
      </c>
      <c r="BR94" s="509">
        <f>IF(BR$2=1,Reported!BR178,Reported!BR178-Reported!BQ178)</f>
        <v/>
      </c>
      <c r="BS94" s="458" t="n">
        <v>0</v>
      </c>
      <c r="BT94" s="458" t="n">
        <v>0</v>
      </c>
      <c r="BU94" s="458" t="n">
        <v>0</v>
      </c>
      <c r="BV94" s="458" t="n">
        <v>0</v>
      </c>
      <c r="BW94" s="458" t="n">
        <v>0</v>
      </c>
      <c r="BX94" s="458" t="n">
        <v>0</v>
      </c>
      <c r="BY94" s="458" t="n">
        <v>0</v>
      </c>
      <c r="BZ94" s="458" t="n">
        <v>0</v>
      </c>
      <c r="CA94" s="458" t="n">
        <v>0</v>
      </c>
      <c r="CB94" s="458" t="n">
        <v>0</v>
      </c>
      <c r="CC94" s="458" t="n">
        <v>0</v>
      </c>
      <c r="CD94" s="458" t="n">
        <v>0</v>
      </c>
      <c r="CE94" s="458" t="n">
        <v>0</v>
      </c>
      <c r="CF94" s="458" t="n">
        <v>0</v>
      </c>
      <c r="CG94" s="458" t="n">
        <v>0</v>
      </c>
      <c r="CH94" s="458" t="n">
        <v>0</v>
      </c>
      <c r="CI94" s="458" t="n">
        <v>0</v>
      </c>
      <c r="CJ94" s="458" t="n">
        <v>0</v>
      </c>
      <c r="CK94" s="458" t="n">
        <v>0</v>
      </c>
    </row>
    <row r="95">
      <c r="A95" s="33" t="inlineStr">
        <is>
          <t>Others</t>
        </is>
      </c>
      <c r="B95" s="145" t="n"/>
      <c r="C95" s="145" t="n"/>
      <c r="D95" s="145" t="n"/>
      <c r="E95" s="145" t="n"/>
      <c r="F95" s="145" t="n"/>
      <c r="G95" s="145" t="n"/>
      <c r="H95" s="145" t="n"/>
      <c r="I95" s="145" t="n"/>
      <c r="J95" s="145" t="n"/>
      <c r="K95" s="145" t="n"/>
      <c r="L95" s="145" t="n"/>
      <c r="M95" s="145" t="n"/>
      <c r="N95" s="143">
        <f>IF(N$2=1,SUM(Reported!N174:N177),SUM(Reported!N174:N177)-SUM(Reported!M174:M177))</f>
        <v/>
      </c>
      <c r="O95" s="143">
        <f>IF(O$2=1,SUM(Reported!O174:O177),SUM(Reported!O174:O177)-SUM(Reported!N174:N177))</f>
        <v/>
      </c>
      <c r="P95" s="143">
        <f>IF(P$2=1,SUM(Reported!P174:P177),SUM(Reported!P174:P177)-SUM(Reported!O174:O177))</f>
        <v/>
      </c>
      <c r="Q95" s="143">
        <f>IF(Q$2=1,SUM(Reported!Q174:Q177),SUM(Reported!Q174:Q177)-SUM(Reported!P174:P177))</f>
        <v/>
      </c>
      <c r="R95" s="143">
        <f>IF(R$2=1,SUM(Reported!R174:R177),SUM(Reported!R174:R177)-SUM(Reported!Q174:Q177))</f>
        <v/>
      </c>
      <c r="S95" s="143">
        <f>IF(S$2=1,SUM(Reported!S174:S177),SUM(Reported!S174:S177)-SUM(Reported!R174:R177))</f>
        <v/>
      </c>
      <c r="T95" s="143">
        <f>IF(T$2=1,SUM(Reported!T174:T177),SUM(Reported!T174:T177)-SUM(Reported!S174:S177))</f>
        <v/>
      </c>
      <c r="U95" s="143">
        <f>IF(U$2=1,SUM(Reported!U174:U177),SUM(Reported!U174:U177)-SUM(Reported!T174:T177))</f>
        <v/>
      </c>
      <c r="V95" s="143">
        <f>IF(V$2=1,SUM(Reported!V174:V177),SUM(Reported!V174:V177)-SUM(Reported!U174:U177))</f>
        <v/>
      </c>
      <c r="W95" s="143">
        <f>IF(W$2=1,SUM(Reported!W174:W177),SUM(Reported!W174:W177)-SUM(Reported!V174:V177))</f>
        <v/>
      </c>
      <c r="X95" s="143">
        <f>IF(X$2=1,SUM(Reported!X174:X177),SUM(Reported!X174:X177)-SUM(Reported!W174:W177))</f>
        <v/>
      </c>
      <c r="Y95" s="143">
        <f>IF(Y$2=1,SUM(Reported!Y174:Y177),SUM(Reported!Y174:Y177)-SUM(Reported!X174:X177))</f>
        <v/>
      </c>
      <c r="Z95" s="143">
        <f>IF(Z$2=1,SUM(Reported!Z174:Z177),SUM(Reported!Z174:Z177)-SUM(Reported!Y174:Y177))</f>
        <v/>
      </c>
      <c r="AA95" s="143">
        <f>IF(AA$2=1,SUM(Reported!AA174:AA177),SUM(Reported!AA174:AA177)-SUM(Reported!Z174:Z177))</f>
        <v/>
      </c>
      <c r="AB95" s="143">
        <f>IF(AB$2=1,SUM(Reported!AB174:AB177),SUM(Reported!AB174:AB177)-SUM(Reported!AA174:AA177))</f>
        <v/>
      </c>
      <c r="AC95" s="143">
        <f>IF(AC$2=1,SUM(Reported!AC174:AC177),SUM(Reported!AC174:AC177)-SUM(Reported!AB174:AB177))</f>
        <v/>
      </c>
      <c r="AD95" s="143">
        <f>IF(AD$2=1,SUM(Reported!AD174:AD177),SUM(Reported!AD174:AD177)-SUM(Reported!AC174:AC177))</f>
        <v/>
      </c>
      <c r="AE95" s="143">
        <f>IF(AE$2=1,SUM(Reported!AE174:AE177),SUM(Reported!AE174:AE177)-SUM(Reported!AD174:AD177))</f>
        <v/>
      </c>
      <c r="AF95" s="143">
        <f>IF(AF$2=1,SUM(Reported!AF174:AF177),SUM(Reported!AF174:AF177)-SUM(Reported!AE174:AE177))</f>
        <v/>
      </c>
      <c r="AG95" s="143">
        <f>IF(AG$2=1,SUM(Reported!AG174:AG177),SUM(Reported!AG174:AG177)-SUM(Reported!AF174:AF177))</f>
        <v/>
      </c>
      <c r="AH95" s="143">
        <f>IF(AH$2=1,SUM(Reported!AH174:AH177),SUM(Reported!AH174:AH177)-SUM(Reported!AG174:AG177))</f>
        <v/>
      </c>
      <c r="AI95" s="143">
        <f>IF(AI$2=1,SUM(Reported!AI174:AI177),SUM(Reported!AI174:AI177)-SUM(Reported!AH174:AH177))</f>
        <v/>
      </c>
      <c r="AJ95" s="143">
        <f>IF(AJ$2=1,SUM(Reported!AJ174:AJ177),SUM(Reported!AJ174:AJ177)-SUM(Reported!AI174:AI177))</f>
        <v/>
      </c>
      <c r="AK95" s="143">
        <f>IF(AK$2=1,SUM(Reported!AK174:AK177),SUM(Reported!AK174:AK177)-SUM(Reported!AJ174:AJ177))</f>
        <v/>
      </c>
      <c r="AL95" s="143">
        <f>IF(AL$2=1,SUM(Reported!AL174:AL177),SUM(Reported!AL174:AL177)-SUM(Reported!AK174:AK177))</f>
        <v/>
      </c>
      <c r="AM95" s="143">
        <f>IF(AM$2=1,SUM(Reported!AM174:AM177),SUM(Reported!AM174:AM177)-SUM(Reported!AL174:AL177))</f>
        <v/>
      </c>
      <c r="AN95" s="143">
        <f>IF(AN$2=1,SUM(Reported!AN174:AN177),SUM(Reported!AN174:AN177)-SUM(Reported!AM174:AM177))</f>
        <v/>
      </c>
      <c r="AO95" s="143">
        <f>IF(AO$2=1,SUM(Reported!AO174:AO177),SUM(Reported!AO174:AO177)-SUM(Reported!AN174:AN177))</f>
        <v/>
      </c>
      <c r="AP95" s="143">
        <f>IF(AP$2=1,SUM(Reported!AP174:AP177),SUM(Reported!AP174:AP177)-SUM(Reported!AO174:AO177))</f>
        <v/>
      </c>
      <c r="AQ95" s="143">
        <f>IF(AQ$2=1,SUM(Reported!AQ174:AQ177),SUM(Reported!AQ174:AQ177)-SUM(Reported!AP174:AP177))</f>
        <v/>
      </c>
      <c r="AR95" s="143">
        <f>IF(AR$2=1,SUM(Reported!AR174:AR177),SUM(Reported!AR174:AR177)-SUM(Reported!AQ174:AQ177))</f>
        <v/>
      </c>
      <c r="AS95" s="143">
        <f>IF(AS$2=1,SUM(Reported!AS174:AS177),SUM(Reported!AS174:AS177)-SUM(Reported!AR174:AR177))</f>
        <v/>
      </c>
      <c r="AT95" s="143">
        <f>IF(AT$2=1,SUM(Reported!AT174:AT177),SUM(Reported!AT174:AT177)-SUM(Reported!AS174:AS177))</f>
        <v/>
      </c>
      <c r="AU95" s="143">
        <f>IF(AU$2=1,SUM(Reported!AU174:AU177),SUM(Reported!AU174:AU177)-SUM(Reported!AT174:AT177))</f>
        <v/>
      </c>
      <c r="AV95" s="143">
        <f>IF(AV$2=1,SUM(Reported!AV174:AV177),SUM(Reported!AV174:AV177)-SUM(Reported!AU174:AU177))</f>
        <v/>
      </c>
      <c r="AW95" s="143">
        <f>IF(AW$2=1,SUM(Reported!AW174:AW177),SUM(Reported!AW174:AW177)-SUM(Reported!AV174:AV177))</f>
        <v/>
      </c>
      <c r="AX95" s="143">
        <f>IF(AX$2=1,SUM(Reported!AX174:AX177),SUM(Reported!AX174:AX177)-SUM(Reported!AW174:AW177))</f>
        <v/>
      </c>
      <c r="AY95" s="143">
        <f>IF(AY$2=1,SUM(Reported!AY174:AY177),SUM(Reported!AY174:AY177)-SUM(Reported!AX174:AX177))</f>
        <v/>
      </c>
      <c r="AZ95" s="143">
        <f>IF(AZ$2=1,SUM(Reported!AZ174:AZ177),SUM(Reported!AZ174:AZ177)-SUM(Reported!AY174:AY177))</f>
        <v/>
      </c>
      <c r="BA95" s="143">
        <f>IF(BA$2=1,SUM(Reported!BA174:BA177),SUM(Reported!BA174:BA177)-SUM(Reported!AZ174:AZ177))</f>
        <v/>
      </c>
      <c r="BB95" s="143">
        <f>IF(BB$2=1,SUM(Reported!BB174:BB177),SUM(Reported!BB174:BB177)-SUM(Reported!BA174:BA177))</f>
        <v/>
      </c>
      <c r="BC95" s="143">
        <f>IF(BC$2=1,SUM(Reported!BC174:BC177),SUM(Reported!BC174:BC177)-SUM(Reported!BB174:BB177))</f>
        <v/>
      </c>
      <c r="BD95" s="143">
        <f>IF(BD$2=1,SUM(Reported!BD174:BD177),SUM(Reported!BD174:BD177)-SUM(Reported!BC174:BC177))</f>
        <v/>
      </c>
      <c r="BE95" s="143">
        <f>IF(BE$2=1,SUM(Reported!BE174:BE177),SUM(Reported!BE174:BE177)-SUM(Reported!BD174:BD177))</f>
        <v/>
      </c>
      <c r="BF95" s="143">
        <f>IF(BF$2=1,SUM(Reported!BF174:BF177),SUM(Reported!BF174:BF177)-SUM(Reported!BE174:BE177))</f>
        <v/>
      </c>
      <c r="BG95" s="143">
        <f>IF(BG$2=1,SUM(Reported!BG174:BG177),SUM(Reported!BG174:BG177)-SUM(Reported!BF174:BF177))</f>
        <v/>
      </c>
      <c r="BH95" s="143">
        <f>IF(BH$2=1,SUM(Reported!BH174:BH177),SUM(Reported!BH174:BH177)-SUM(Reported!BG174:BG177))</f>
        <v/>
      </c>
      <c r="BI95" s="143">
        <f>IF(BI$2=1,SUM(Reported!BI174:BI177),SUM(Reported!BI174:BI177)-SUM(Reported!BH174:BH177))</f>
        <v/>
      </c>
      <c r="BJ95" s="143">
        <f>IF(BJ$2=1,SUM(Reported!BJ174:BJ177),SUM(Reported!BJ174:BJ177)-SUM(Reported!BI174:BI177))</f>
        <v/>
      </c>
      <c r="BK95" s="143">
        <f>IF(BK$2=1,SUM(Reported!BK174:BK177),SUM(Reported!BK174:BK177)-SUM(Reported!BJ174:BJ177))</f>
        <v/>
      </c>
      <c r="BL95" s="143">
        <f>IF(BL$2=1,SUM(Reported!BL174:BL177),SUM(Reported!BL174:BL177)-SUM(Reported!BK174:BK177))</f>
        <v/>
      </c>
      <c r="BM95" s="143">
        <f>IF(BM$2=1,SUM(Reported!BM174:BM177),SUM(Reported!BM174:BM177)-SUM(Reported!BL174:BL177))</f>
        <v/>
      </c>
      <c r="BN95" s="143">
        <f>IF(BN$2=1,SUM(Reported!BN174:BN177),SUM(Reported!BN174:BN177)-SUM(Reported!BM174:BM177))</f>
        <v/>
      </c>
      <c r="BO95" s="143">
        <f>IF(BO$2=1,SUM(Reported!BO174:BO177),SUM(Reported!BO174:BO177)-SUM(Reported!BN174:BN177))</f>
        <v/>
      </c>
      <c r="BP95" s="143">
        <f>IF(BP$2=1,SUM(Reported!BP174:BP177),SUM(Reported!BP174:BP177)-SUM(Reported!BO174:BO177))</f>
        <v/>
      </c>
      <c r="BQ95" s="143">
        <f>IF(BQ$2=1,SUM(Reported!BQ174:BQ177),SUM(Reported!BQ174:BQ177)-SUM(Reported!BP174:BP177))</f>
        <v/>
      </c>
      <c r="BR95" s="143">
        <f>IF(BR$2=1,SUM(Reported!BR174:BR177),SUM(Reported!BR174:BR177)-SUM(Reported!BQ174:BQ177))</f>
        <v/>
      </c>
      <c r="BS95" s="458" t="n">
        <v>0</v>
      </c>
      <c r="BT95" s="458" t="n">
        <v>0</v>
      </c>
      <c r="BU95" s="458" t="n">
        <v>0</v>
      </c>
      <c r="BV95" s="458" t="n">
        <v>0</v>
      </c>
      <c r="BW95" s="458" t="n">
        <v>0</v>
      </c>
      <c r="BX95" s="458" t="n">
        <v>0</v>
      </c>
      <c r="BY95" s="458" t="n">
        <v>0</v>
      </c>
      <c r="BZ95" s="458" t="n">
        <v>0</v>
      </c>
      <c r="CA95" s="458" t="n">
        <v>0</v>
      </c>
      <c r="CB95" s="458" t="n">
        <v>0</v>
      </c>
      <c r="CC95" s="458" t="n">
        <v>0</v>
      </c>
      <c r="CD95" s="458" t="n">
        <v>0</v>
      </c>
      <c r="CE95" s="458" t="n">
        <v>0</v>
      </c>
      <c r="CF95" s="458" t="n">
        <v>0</v>
      </c>
      <c r="CG95" s="458" t="n">
        <v>0</v>
      </c>
      <c r="CH95" s="458" t="n">
        <v>0</v>
      </c>
      <c r="CI95" s="458" t="n">
        <v>0</v>
      </c>
      <c r="CJ95" s="458" t="n">
        <v>0</v>
      </c>
      <c r="CK95" s="458" t="n">
        <v>0</v>
      </c>
    </row>
    <row r="96">
      <c r="A96" s="74" t="inlineStr">
        <is>
          <t>Changes of working capital items:</t>
        </is>
      </c>
      <c r="B96" s="145" t="n"/>
      <c r="C96" s="145" t="n"/>
      <c r="D96" s="145" t="n"/>
      <c r="E96" s="145" t="n"/>
      <c r="F96" s="145" t="n"/>
      <c r="G96" s="145" t="n"/>
      <c r="H96" s="145" t="n"/>
      <c r="I96" s="145" t="n"/>
      <c r="J96" s="145" t="n"/>
      <c r="K96" s="145" t="n"/>
      <c r="L96" s="145" t="n"/>
      <c r="M96" s="145" t="n"/>
      <c r="N96" s="509" t="n"/>
      <c r="O96" s="509" t="n"/>
      <c r="P96" s="509" t="n"/>
      <c r="Q96" s="509" t="n"/>
      <c r="R96" s="509" t="n"/>
      <c r="S96" s="509" t="n"/>
      <c r="T96" s="509" t="n"/>
      <c r="U96" s="509" t="n"/>
      <c r="V96" s="509" t="n"/>
      <c r="W96" s="509" t="n"/>
      <c r="X96" s="509" t="n"/>
      <c r="Y96" s="509" t="n"/>
      <c r="Z96" s="509" t="n"/>
      <c r="AA96" s="509" t="n"/>
      <c r="AB96" s="509" t="n"/>
      <c r="AC96" s="509" t="n"/>
      <c r="AD96" s="509" t="n"/>
      <c r="AE96" s="509" t="n"/>
      <c r="AF96" s="509" t="n"/>
      <c r="AG96" s="509" t="n"/>
      <c r="AH96" s="509" t="n"/>
      <c r="AI96" s="509" t="n"/>
      <c r="AJ96" s="509" t="n"/>
      <c r="AK96" s="509" t="n"/>
      <c r="AL96" s="509" t="n"/>
      <c r="AM96" s="509" t="n"/>
      <c r="AN96" s="509" t="n"/>
      <c r="AO96" s="509" t="n"/>
      <c r="AP96" s="509" t="n"/>
      <c r="AQ96" s="509" t="n"/>
      <c r="AR96" s="509" t="n"/>
      <c r="AS96" s="509" t="n"/>
      <c r="AT96" s="509" t="n"/>
      <c r="AU96" s="509" t="n"/>
      <c r="AV96" s="509" t="n"/>
      <c r="AW96" s="509" t="n"/>
      <c r="AX96" s="509" t="n"/>
      <c r="AY96" s="509" t="n"/>
      <c r="AZ96" s="509" t="n"/>
      <c r="BA96" s="509" t="n"/>
      <c r="BB96" s="509" t="n"/>
      <c r="BC96" s="509" t="n"/>
      <c r="BD96" s="509" t="n"/>
      <c r="BE96" s="509" t="n"/>
      <c r="BF96" s="509" t="n"/>
      <c r="BG96" s="509" t="n"/>
      <c r="BH96" s="509" t="n"/>
      <c r="BI96" s="509" t="n"/>
      <c r="BJ96" s="509" t="n"/>
      <c r="BK96" s="509" t="n"/>
      <c r="BL96" s="509" t="n"/>
      <c r="BM96" s="509" t="n"/>
      <c r="BN96" s="509" t="n"/>
      <c r="BO96" s="509" t="n"/>
      <c r="BP96" s="509" t="n"/>
      <c r="BQ96" s="509" t="n"/>
      <c r="BR96" s="509" t="n"/>
    </row>
    <row r="97">
      <c r="A97" s="33" t="inlineStr">
        <is>
          <t>Accounts receivable</t>
        </is>
      </c>
      <c r="B97" s="145" t="n"/>
      <c r="C97" s="145" t="n"/>
      <c r="D97" s="145" t="n"/>
      <c r="E97" s="145" t="n"/>
      <c r="F97" s="145" t="n"/>
      <c r="G97" s="145" t="n"/>
      <c r="H97" s="145" t="n"/>
      <c r="I97" s="145" t="n"/>
      <c r="J97" s="145" t="n"/>
      <c r="K97" s="145" t="n"/>
      <c r="L97" s="145" t="n"/>
      <c r="M97" s="145" t="n"/>
      <c r="N97" s="509">
        <f>IF(N$2=1,Reported!N180,Reported!N180-Reported!M180)</f>
        <v/>
      </c>
      <c r="O97" s="509">
        <f>IF(O$2=1,Reported!O180,Reported!O180-Reported!N180)</f>
        <v/>
      </c>
      <c r="P97" s="509">
        <f>IF(P$2=1,Reported!P180,Reported!P180-Reported!O180)</f>
        <v/>
      </c>
      <c r="Q97" s="509">
        <f>IF(Q$2=1,Reported!Q180,Reported!Q180-Reported!P180)</f>
        <v/>
      </c>
      <c r="R97" s="509">
        <f>IF(R$2=1,Reported!R180,Reported!R180-Reported!Q180)</f>
        <v/>
      </c>
      <c r="S97" s="509">
        <f>IF(S$2=1,Reported!S180,Reported!S180-Reported!R180)</f>
        <v/>
      </c>
      <c r="T97" s="509">
        <f>IF(T$2=1,Reported!T180,Reported!T180-Reported!S180)</f>
        <v/>
      </c>
      <c r="U97" s="509">
        <f>IF(U$2=1,Reported!U180,Reported!U180-Reported!T180)</f>
        <v/>
      </c>
      <c r="V97" s="509">
        <f>IF(V$2=1,Reported!V180,Reported!V180-Reported!U180)</f>
        <v/>
      </c>
      <c r="W97" s="509">
        <f>IF(W$2=1,Reported!W180,Reported!W180-Reported!V180)</f>
        <v/>
      </c>
      <c r="X97" s="509">
        <f>IF(X$2=1,Reported!X180,Reported!X180-Reported!W180)</f>
        <v/>
      </c>
      <c r="Y97" s="509">
        <f>IF(Y$2=1,Reported!Y180,Reported!Y180-Reported!X180)</f>
        <v/>
      </c>
      <c r="Z97" s="509">
        <f>IF(Z$2=1,Reported!Z180,Reported!Z180-Reported!Y180)</f>
        <v/>
      </c>
      <c r="AA97" s="509">
        <f>IF(AA$2=1,Reported!AA180,Reported!AA180-Reported!Z180)</f>
        <v/>
      </c>
      <c r="AB97" s="509">
        <f>IF(AB$2=1,Reported!AB180,Reported!AB180-Reported!AA180)</f>
        <v/>
      </c>
      <c r="AC97" s="509">
        <f>IF(AC$2=1,Reported!AC180,Reported!AC180-Reported!AB180)</f>
        <v/>
      </c>
      <c r="AD97" s="509">
        <f>IF(AD$2=1,Reported!AD180,Reported!AD180-Reported!AC180)</f>
        <v/>
      </c>
      <c r="AE97" s="509">
        <f>IF(AE$2=1,Reported!AE180,Reported!AE180-Reported!AD180)</f>
        <v/>
      </c>
      <c r="AF97" s="509">
        <f>IF(AF$2=1,Reported!AF180,Reported!AF180-Reported!AE180)</f>
        <v/>
      </c>
      <c r="AG97" s="509">
        <f>IF(AG$2=1,Reported!AG180,Reported!AG180-Reported!AF180)</f>
        <v/>
      </c>
      <c r="AH97" s="509">
        <f>IF(AH$2=1,Reported!AH180,Reported!AH180-Reported!AG180)</f>
        <v/>
      </c>
      <c r="AI97" s="509">
        <f>IF(AI$2=1,Reported!AI180,Reported!AI180-Reported!AH180)</f>
        <v/>
      </c>
      <c r="AJ97" s="509">
        <f>IF(AJ$2=1,Reported!AJ180,Reported!AJ180-Reported!AI180)</f>
        <v/>
      </c>
      <c r="AK97" s="509">
        <f>IF(AK$2=1,Reported!AK180,Reported!AK180-Reported!AJ180)</f>
        <v/>
      </c>
      <c r="AL97" s="509">
        <f>IF(AL$2=1,Reported!AL180,Reported!AL180-Reported!AK180)</f>
        <v/>
      </c>
      <c r="AM97" s="509">
        <f>IF(AM$2=1,Reported!AM180,Reported!AM180-Reported!AL180)</f>
        <v/>
      </c>
      <c r="AN97" s="509">
        <f>IF(AN$2=1,Reported!AN180,Reported!AN180-Reported!AM180)</f>
        <v/>
      </c>
      <c r="AO97" s="509">
        <f>IF(AO$2=1,Reported!AO180,Reported!AO180-Reported!AN180)</f>
        <v/>
      </c>
      <c r="AP97" s="509">
        <f>IF(AP$2=1,Reported!AP180,Reported!AP180-Reported!AO180)</f>
        <v/>
      </c>
      <c r="AQ97" s="509">
        <f>IF(AQ$2=1,Reported!AQ180,Reported!AQ180-Reported!AP180)</f>
        <v/>
      </c>
      <c r="AR97" s="509">
        <f>IF(AR$2=1,Reported!AR180,Reported!AR180-Reported!AQ180)</f>
        <v/>
      </c>
      <c r="AS97" s="509">
        <f>IF(AS$2=1,Reported!AS180,Reported!AS180-Reported!AR180)</f>
        <v/>
      </c>
      <c r="AT97" s="509">
        <f>IF(AT$2=1,Reported!AT180,Reported!AT180-Reported!AS180)</f>
        <v/>
      </c>
      <c r="AU97" s="509">
        <f>IF(AU$2=1,Reported!AU180,Reported!AU180-Reported!AT180)</f>
        <v/>
      </c>
      <c r="AV97" s="509">
        <f>IF(AV$2=1,Reported!AV180,Reported!AV180-Reported!AU180)</f>
        <v/>
      </c>
      <c r="AW97" s="509">
        <f>IF(AW$2=1,Reported!AW180,Reported!AW180-Reported!AV180)</f>
        <v/>
      </c>
      <c r="AX97" s="509">
        <f>IF(AX$2=1,Reported!AX180,Reported!AX180-Reported!AW180)</f>
        <v/>
      </c>
      <c r="AY97" s="509">
        <f>IF(AY$2=1,Reported!AY180,Reported!AY180-Reported!AX180)</f>
        <v/>
      </c>
      <c r="AZ97" s="509">
        <f>IF(AZ$2=1,Reported!AZ180,Reported!AZ180-Reported!AY180)</f>
        <v/>
      </c>
      <c r="BA97" s="509">
        <f>IF(BA$2=1,Reported!BA180,Reported!BA180-Reported!AZ180)</f>
        <v/>
      </c>
      <c r="BB97" s="509">
        <f>IF(BB$2=1,Reported!BB180,Reported!BB180-Reported!BA180)</f>
        <v/>
      </c>
      <c r="BC97" s="509">
        <f>IF(BC$2=1,Reported!BC180,Reported!BC180-Reported!BB180)</f>
        <v/>
      </c>
      <c r="BD97" s="509">
        <f>IF(BD$2=1,Reported!BD180,Reported!BD180-Reported!BC180)</f>
        <v/>
      </c>
      <c r="BE97" s="509">
        <f>IF(BE$2=1,Reported!BE180,Reported!BE180-Reported!BD180)</f>
        <v/>
      </c>
      <c r="BF97" s="509">
        <f>IF(BF$2=1,Reported!BF180,Reported!BF180-Reported!BE180)</f>
        <v/>
      </c>
      <c r="BG97" s="509">
        <f>IF(BG$2=1,Reported!BG180,Reported!BG180-Reported!BF180)</f>
        <v/>
      </c>
      <c r="BH97" s="509">
        <f>IF(BH$2=1,Reported!BH180,Reported!BH180-Reported!BG180)</f>
        <v/>
      </c>
      <c r="BI97" s="509">
        <f>IF(BI$2=1,Reported!BI180,Reported!BI180-Reported!BH180)</f>
        <v/>
      </c>
      <c r="BJ97" s="509">
        <f>IF(BJ$2=1,Reported!BJ180,Reported!BJ180-Reported!BI180)</f>
        <v/>
      </c>
      <c r="BK97" s="509">
        <f>IF(BK$2=1,Reported!BK180,Reported!BK180-Reported!BJ180)</f>
        <v/>
      </c>
      <c r="BL97" s="509">
        <f>IF(BL$2=1,Reported!BL180,Reported!BL180-Reported!BK180)</f>
        <v/>
      </c>
      <c r="BM97" s="509">
        <f>IF(BM$2=1,Reported!BM180,Reported!BM180-Reported!BL180)</f>
        <v/>
      </c>
      <c r="BN97" s="509">
        <f>IF(BN$2=1,Reported!BN180,Reported!BN180-Reported!BM180)</f>
        <v/>
      </c>
      <c r="BO97" s="509">
        <f>IF(BO$2=1,Reported!BO180,Reported!BO180-Reported!BN180)</f>
        <v/>
      </c>
      <c r="BP97" s="509">
        <f>IF(BP$2=1,Reported!BP180,Reported!BP180-Reported!BO180)</f>
        <v/>
      </c>
      <c r="BQ97" s="509">
        <f>IF(BQ$2=1,Reported!BQ180,Reported!BQ180-Reported!BP180)</f>
        <v/>
      </c>
      <c r="BR97" s="509">
        <f>IF(BR$2=1,Reported!BR180,Reported!BR180-Reported!BQ180)</f>
        <v/>
      </c>
      <c r="BS97" s="108">
        <f>BR46-BS46</f>
        <v/>
      </c>
      <c r="BT97" s="108">
        <f>BS46-BT46</f>
        <v/>
      </c>
      <c r="BU97" s="108">
        <f>BT46-BU46</f>
        <v/>
      </c>
      <c r="BV97" s="108">
        <f>BU46-BV46</f>
        <v/>
      </c>
      <c r="BW97" s="108">
        <f>BV46-BW46</f>
        <v/>
      </c>
      <c r="BX97" s="108">
        <f>BW46-BX46</f>
        <v/>
      </c>
      <c r="BY97" s="108">
        <f>BX46-BY46</f>
        <v/>
      </c>
      <c r="BZ97" s="108">
        <f>BY46-BZ46</f>
        <v/>
      </c>
      <c r="CA97" s="108">
        <f>BZ46-CA46</f>
        <v/>
      </c>
      <c r="CB97" s="108">
        <f>CA46-CB46</f>
        <v/>
      </c>
      <c r="CC97" s="108">
        <f>CB46-CC46</f>
        <v/>
      </c>
      <c r="CD97" s="108">
        <f>CC46-CD46</f>
        <v/>
      </c>
      <c r="CE97" s="108">
        <f>CD46-CE46</f>
        <v/>
      </c>
      <c r="CF97" s="108">
        <f>CE46-CF46</f>
        <v/>
      </c>
      <c r="CG97" s="108">
        <f>CF46-CG46</f>
        <v/>
      </c>
      <c r="CH97" s="108">
        <f>CG46-CH46</f>
        <v/>
      </c>
      <c r="CI97" s="108">
        <f>CH46-CI46</f>
        <v/>
      </c>
      <c r="CJ97" s="108">
        <f>CI46-CJ46</f>
        <v/>
      </c>
      <c r="CK97" s="108">
        <f>CJ46-CK46</f>
        <v/>
      </c>
    </row>
    <row r="98">
      <c r="A98" s="33" t="inlineStr">
        <is>
          <t>Inventories</t>
        </is>
      </c>
      <c r="B98" s="145" t="n"/>
      <c r="C98" s="145" t="n"/>
      <c r="D98" s="145" t="n"/>
      <c r="E98" s="145" t="n"/>
      <c r="F98" s="145" t="n"/>
      <c r="G98" s="145" t="n"/>
      <c r="H98" s="145" t="n"/>
      <c r="I98" s="145" t="n"/>
      <c r="J98" s="145" t="n"/>
      <c r="K98" s="145" t="n"/>
      <c r="L98" s="145" t="n"/>
      <c r="M98" s="145" t="n"/>
      <c r="N98" s="509">
        <f>IF(N$2=1,Reported!N181,Reported!N181-Reported!M181)</f>
        <v/>
      </c>
      <c r="O98" s="509">
        <f>IF(O$2=1,Reported!O181,Reported!O181-Reported!N181)</f>
        <v/>
      </c>
      <c r="P98" s="509">
        <f>IF(P$2=1,Reported!P181,Reported!P181-Reported!O181)</f>
        <v/>
      </c>
      <c r="Q98" s="509">
        <f>IF(Q$2=1,Reported!Q181,Reported!Q181-Reported!P181)</f>
        <v/>
      </c>
      <c r="R98" s="509">
        <f>IF(R$2=1,Reported!R181,Reported!R181-Reported!Q181)</f>
        <v/>
      </c>
      <c r="S98" s="509">
        <f>IF(S$2=1,Reported!S181,Reported!S181-Reported!R181)</f>
        <v/>
      </c>
      <c r="T98" s="509">
        <f>IF(T$2=1,Reported!T181,Reported!T181-Reported!S181)</f>
        <v/>
      </c>
      <c r="U98" s="509">
        <f>IF(U$2=1,Reported!U181,Reported!U181-Reported!T181)</f>
        <v/>
      </c>
      <c r="V98" s="509">
        <f>IF(V$2=1,Reported!V181,Reported!V181-Reported!U181)</f>
        <v/>
      </c>
      <c r="W98" s="509">
        <f>IF(W$2=1,Reported!W181,Reported!W181-Reported!V181)</f>
        <v/>
      </c>
      <c r="X98" s="509">
        <f>IF(X$2=1,Reported!X181,Reported!X181-Reported!W181)</f>
        <v/>
      </c>
      <c r="Y98" s="509">
        <f>IF(Y$2=1,Reported!Y181,Reported!Y181-Reported!X181)</f>
        <v/>
      </c>
      <c r="Z98" s="509">
        <f>IF(Z$2=1,Reported!Z181,Reported!Z181-Reported!Y181)</f>
        <v/>
      </c>
      <c r="AA98" s="509">
        <f>IF(AA$2=1,Reported!AA181,Reported!AA181-Reported!Z181)</f>
        <v/>
      </c>
      <c r="AB98" s="509">
        <f>IF(AB$2=1,Reported!AB181,Reported!AB181-Reported!AA181)</f>
        <v/>
      </c>
      <c r="AC98" s="509">
        <f>IF(AC$2=1,Reported!AC181,Reported!AC181-Reported!AB181)</f>
        <v/>
      </c>
      <c r="AD98" s="509">
        <f>IF(AD$2=1,Reported!AD181,Reported!AD181-Reported!AC181)</f>
        <v/>
      </c>
      <c r="AE98" s="509">
        <f>IF(AE$2=1,Reported!AE181,Reported!AE181-Reported!AD181)</f>
        <v/>
      </c>
      <c r="AF98" s="509">
        <f>IF(AF$2=1,Reported!AF181,Reported!AF181-Reported!AE181)</f>
        <v/>
      </c>
      <c r="AG98" s="509">
        <f>IF(AG$2=1,Reported!AG181,Reported!AG181-Reported!AF181)</f>
        <v/>
      </c>
      <c r="AH98" s="509">
        <f>IF(AH$2=1,Reported!AH181,Reported!AH181-Reported!AG181)</f>
        <v/>
      </c>
      <c r="AI98" s="509">
        <f>IF(AI$2=1,Reported!AI181,Reported!AI181-Reported!AH181)</f>
        <v/>
      </c>
      <c r="AJ98" s="509">
        <f>IF(AJ$2=1,Reported!AJ181,Reported!AJ181-Reported!AI181)</f>
        <v/>
      </c>
      <c r="AK98" s="509">
        <f>IF(AK$2=1,Reported!AK181,Reported!AK181-Reported!AJ181)</f>
        <v/>
      </c>
      <c r="AL98" s="509">
        <f>IF(AL$2=1,Reported!AL181,Reported!AL181-Reported!AK181)</f>
        <v/>
      </c>
      <c r="AM98" s="509">
        <f>IF(AM$2=1,Reported!AM181,Reported!AM181-Reported!AL181)</f>
        <v/>
      </c>
      <c r="AN98" s="509">
        <f>IF(AN$2=1,Reported!AN181,Reported!AN181-Reported!AM181)</f>
        <v/>
      </c>
      <c r="AO98" s="509">
        <f>IF(AO$2=1,Reported!AO181,Reported!AO181-Reported!AN181)</f>
        <v/>
      </c>
      <c r="AP98" s="509">
        <f>IF(AP$2=1,Reported!AP181,Reported!AP181-Reported!AO181)</f>
        <v/>
      </c>
      <c r="AQ98" s="509">
        <f>IF(AQ$2=1,Reported!AQ181,Reported!AQ181-Reported!AP181)</f>
        <v/>
      </c>
      <c r="AR98" s="509">
        <f>IF(AR$2=1,Reported!AR181,Reported!AR181-Reported!AQ181)</f>
        <v/>
      </c>
      <c r="AS98" s="509">
        <f>IF(AS$2=1,Reported!AS181,Reported!AS181-Reported!AR181)</f>
        <v/>
      </c>
      <c r="AT98" s="509">
        <f>IF(AT$2=1,Reported!AT181,Reported!AT181-Reported!AS181)</f>
        <v/>
      </c>
      <c r="AU98" s="509">
        <f>IF(AU$2=1,Reported!AU181,Reported!AU181-Reported!AT181)</f>
        <v/>
      </c>
      <c r="AV98" s="509">
        <f>IF(AV$2=1,Reported!AV181,Reported!AV181-Reported!AU181)</f>
        <v/>
      </c>
      <c r="AW98" s="509">
        <f>IF(AW$2=1,Reported!AW181,Reported!AW181-Reported!AV181)</f>
        <v/>
      </c>
      <c r="AX98" s="509">
        <f>IF(AX$2=1,Reported!AX181,Reported!AX181-Reported!AW181)</f>
        <v/>
      </c>
      <c r="AY98" s="509">
        <f>IF(AY$2=1,Reported!AY181,Reported!AY181-Reported!AX181)</f>
        <v/>
      </c>
      <c r="AZ98" s="509">
        <f>IF(AZ$2=1,Reported!AZ181,Reported!AZ181-Reported!AY181)</f>
        <v/>
      </c>
      <c r="BA98" s="509">
        <f>IF(BA$2=1,Reported!BA181,Reported!BA181-Reported!AZ181)</f>
        <v/>
      </c>
      <c r="BB98" s="509">
        <f>IF(BB$2=1,Reported!BB181,Reported!BB181-Reported!BA181)</f>
        <v/>
      </c>
      <c r="BC98" s="509">
        <f>IF(BC$2=1,Reported!BC181,Reported!BC181-Reported!BB181)</f>
        <v/>
      </c>
      <c r="BD98" s="509">
        <f>IF(BD$2=1,Reported!BD181,Reported!BD181-Reported!BC181)</f>
        <v/>
      </c>
      <c r="BE98" s="509">
        <f>IF(BE$2=1,Reported!BE181,Reported!BE181-Reported!BD181)</f>
        <v/>
      </c>
      <c r="BF98" s="509">
        <f>IF(BF$2=1,Reported!BF181,Reported!BF181-Reported!BE181)</f>
        <v/>
      </c>
      <c r="BG98" s="509">
        <f>IF(BG$2=1,Reported!BG181,Reported!BG181-Reported!BF181)</f>
        <v/>
      </c>
      <c r="BH98" s="509">
        <f>IF(BH$2=1,Reported!BH181,Reported!BH181-Reported!BG181)</f>
        <v/>
      </c>
      <c r="BI98" s="509">
        <f>IF(BI$2=1,Reported!BI181,Reported!BI181-Reported!BH181)</f>
        <v/>
      </c>
      <c r="BJ98" s="509">
        <f>IF(BJ$2=1,Reported!BJ181,Reported!BJ181-Reported!BI181)</f>
        <v/>
      </c>
      <c r="BK98" s="509">
        <f>IF(BK$2=1,Reported!BK181,Reported!BK181-Reported!BJ181)</f>
        <v/>
      </c>
      <c r="BL98" s="509">
        <f>IF(BL$2=1,Reported!BL181,Reported!BL181-Reported!BK181)</f>
        <v/>
      </c>
      <c r="BM98" s="509">
        <f>IF(BM$2=1,Reported!BM181,Reported!BM181-Reported!BL181)</f>
        <v/>
      </c>
      <c r="BN98" s="509">
        <f>IF(BN$2=1,Reported!BN181,Reported!BN181-Reported!BM181)</f>
        <v/>
      </c>
      <c r="BO98" s="509">
        <f>IF(BO$2=1,Reported!BO181,Reported!BO181-Reported!BN181)</f>
        <v/>
      </c>
      <c r="BP98" s="509">
        <f>IF(BP$2=1,Reported!BP181,Reported!BP181-Reported!BO181)</f>
        <v/>
      </c>
      <c r="BQ98" s="509">
        <f>IF(BQ$2=1,Reported!BQ181,Reported!BQ181-Reported!BP181)</f>
        <v/>
      </c>
      <c r="BR98" s="509">
        <f>IF(BR$2=1,Reported!BR181,Reported!BR181-Reported!BQ181)</f>
        <v/>
      </c>
      <c r="BS98" s="108">
        <f>BR47-BS47</f>
        <v/>
      </c>
      <c r="BT98" s="108">
        <f>BS47-BT47</f>
        <v/>
      </c>
      <c r="BU98" s="108">
        <f>BT47-BU47</f>
        <v/>
      </c>
      <c r="BV98" s="108">
        <f>BU47-BV47</f>
        <v/>
      </c>
      <c r="BW98" s="108">
        <f>BV47-BW47</f>
        <v/>
      </c>
      <c r="BX98" s="108">
        <f>BW47-BX47</f>
        <v/>
      </c>
      <c r="BY98" s="108">
        <f>BX47-BY47</f>
        <v/>
      </c>
      <c r="BZ98" s="108">
        <f>BY47-BZ47</f>
        <v/>
      </c>
      <c r="CA98" s="108">
        <f>BZ47-CA47</f>
        <v/>
      </c>
      <c r="CB98" s="108">
        <f>CA47-CB47</f>
        <v/>
      </c>
      <c r="CC98" s="108">
        <f>CB47-CC47</f>
        <v/>
      </c>
      <c r="CD98" s="108">
        <f>CC47-CD47</f>
        <v/>
      </c>
      <c r="CE98" s="108">
        <f>CD47-CE47</f>
        <v/>
      </c>
      <c r="CF98" s="108">
        <f>CE47-CF47</f>
        <v/>
      </c>
      <c r="CG98" s="108">
        <f>CF47-CG47</f>
        <v/>
      </c>
      <c r="CH98" s="108">
        <f>CG47-CH47</f>
        <v/>
      </c>
      <c r="CI98" s="108">
        <f>CH47-CI47</f>
        <v/>
      </c>
      <c r="CJ98" s="108">
        <f>CI47-CJ47</f>
        <v/>
      </c>
      <c r="CK98" s="108">
        <f>CJ47-CK47</f>
        <v/>
      </c>
    </row>
    <row r="99">
      <c r="A99" s="33" t="inlineStr">
        <is>
          <t>Prepaid expenses and other current assets</t>
        </is>
      </c>
      <c r="B99" s="145" t="n"/>
      <c r="C99" s="145" t="n"/>
      <c r="D99" s="145" t="n"/>
      <c r="E99" s="145" t="n"/>
      <c r="F99" s="145" t="n"/>
      <c r="G99" s="145" t="n"/>
      <c r="H99" s="145" t="n"/>
      <c r="I99" s="145" t="n"/>
      <c r="J99" s="145" t="n"/>
      <c r="K99" s="145" t="n"/>
      <c r="L99" s="145" t="n"/>
      <c r="M99" s="145" t="n"/>
      <c r="N99" s="509">
        <f>IF(N$2=1,Reported!N182,Reported!N182-Reported!M182)</f>
        <v/>
      </c>
      <c r="O99" s="509">
        <f>IF(O$2=1,Reported!O182,Reported!O182-Reported!N182)</f>
        <v/>
      </c>
      <c r="P99" s="509">
        <f>IF(P$2=1,Reported!P182,Reported!P182-Reported!O182)</f>
        <v/>
      </c>
      <c r="Q99" s="509">
        <f>IF(Q$2=1,Reported!Q182,Reported!Q182-Reported!P182)</f>
        <v/>
      </c>
      <c r="R99" s="509">
        <f>IF(R$2=1,Reported!R182,Reported!R182-Reported!Q182)</f>
        <v/>
      </c>
      <c r="S99" s="509">
        <f>IF(S$2=1,Reported!S182,Reported!S182-Reported!R182)</f>
        <v/>
      </c>
      <c r="T99" s="509">
        <f>IF(T$2=1,Reported!T182,Reported!T182-Reported!S182)</f>
        <v/>
      </c>
      <c r="U99" s="509">
        <f>IF(U$2=1,Reported!U182,Reported!U182-Reported!T182)</f>
        <v/>
      </c>
      <c r="V99" s="509">
        <f>IF(V$2=1,Reported!V182,Reported!V182-Reported!U182)</f>
        <v/>
      </c>
      <c r="W99" s="509">
        <f>IF(W$2=1,Reported!W182,Reported!W182-Reported!V182)</f>
        <v/>
      </c>
      <c r="X99" s="509">
        <f>IF(X$2=1,Reported!X182,Reported!X182-Reported!W182)</f>
        <v/>
      </c>
      <c r="Y99" s="509">
        <f>IF(Y$2=1,Reported!Y182,Reported!Y182-Reported!X182)</f>
        <v/>
      </c>
      <c r="Z99" s="509">
        <f>IF(Z$2=1,Reported!Z182,Reported!Z182-Reported!Y182)</f>
        <v/>
      </c>
      <c r="AA99" s="509">
        <f>IF(AA$2=1,Reported!AA182,Reported!AA182-Reported!Z182)</f>
        <v/>
      </c>
      <c r="AB99" s="509">
        <f>IF(AB$2=1,Reported!AB182,Reported!AB182-Reported!AA182)</f>
        <v/>
      </c>
      <c r="AC99" s="509">
        <f>IF(AC$2=1,Reported!AC182,Reported!AC182-Reported!AB182)</f>
        <v/>
      </c>
      <c r="AD99" s="509">
        <f>IF(AD$2=1,Reported!AD182,Reported!AD182-Reported!AC182)</f>
        <v/>
      </c>
      <c r="AE99" s="509">
        <f>IF(AE$2=1,Reported!AE182,Reported!AE182-Reported!AD182)</f>
        <v/>
      </c>
      <c r="AF99" s="509">
        <f>IF(AF$2=1,Reported!AF182,Reported!AF182-Reported!AE182)</f>
        <v/>
      </c>
      <c r="AG99" s="509">
        <f>IF(AG$2=1,Reported!AG182,Reported!AG182-Reported!AF182)</f>
        <v/>
      </c>
      <c r="AH99" s="509">
        <f>IF(AH$2=1,Reported!AH182,Reported!AH182-Reported!AG182)</f>
        <v/>
      </c>
      <c r="AI99" s="509">
        <f>IF(AI$2=1,Reported!AI182,Reported!AI182-Reported!AH182)</f>
        <v/>
      </c>
      <c r="AJ99" s="509">
        <f>IF(AJ$2=1,Reported!AJ182,Reported!AJ182-Reported!AI182)</f>
        <v/>
      </c>
      <c r="AK99" s="509">
        <f>IF(AK$2=1,Reported!AK182,Reported!AK182-Reported!AJ182)</f>
        <v/>
      </c>
      <c r="AL99" s="509">
        <f>IF(AL$2=1,Reported!AL182,Reported!AL182-Reported!AK182)</f>
        <v/>
      </c>
      <c r="AM99" s="509">
        <f>IF(AM$2=1,Reported!AM182,Reported!AM182-Reported!AL182)</f>
        <v/>
      </c>
      <c r="AN99" s="509">
        <f>IF(AN$2=1,Reported!AN182,Reported!AN182-Reported!AM182)</f>
        <v/>
      </c>
      <c r="AO99" s="509">
        <f>IF(AO$2=1,Reported!AO182,Reported!AO182-Reported!AN182)</f>
        <v/>
      </c>
      <c r="AP99" s="509">
        <f>IF(AP$2=1,Reported!AP182,Reported!AP182-Reported!AO182)</f>
        <v/>
      </c>
      <c r="AQ99" s="509">
        <f>IF(AQ$2=1,Reported!AQ182,Reported!AQ182-Reported!AP182)</f>
        <v/>
      </c>
      <c r="AR99" s="509">
        <f>IF(AR$2=1,Reported!AR182,Reported!AR182-Reported!AQ182)</f>
        <v/>
      </c>
      <c r="AS99" s="509">
        <f>IF(AS$2=1,Reported!AS182,Reported!AS182-Reported!AR182)</f>
        <v/>
      </c>
      <c r="AT99" s="509">
        <f>IF(AT$2=1,Reported!AT182,Reported!AT182-Reported!AS182)</f>
        <v/>
      </c>
      <c r="AU99" s="509">
        <f>IF(AU$2=1,Reported!AU182,Reported!AU182-Reported!AT182)</f>
        <v/>
      </c>
      <c r="AV99" s="509">
        <f>IF(AV$2=1,Reported!AV182,Reported!AV182-Reported!AU182)</f>
        <v/>
      </c>
      <c r="AW99" s="509">
        <f>IF(AW$2=1,Reported!AW182,Reported!AW182-Reported!AV182)</f>
        <v/>
      </c>
      <c r="AX99" s="509">
        <f>IF(AX$2=1,Reported!AX182,Reported!AX182-Reported!AW182)</f>
        <v/>
      </c>
      <c r="AY99" s="509">
        <f>IF(AY$2=1,Reported!AY182,Reported!AY182-Reported!AX182)</f>
        <v/>
      </c>
      <c r="AZ99" s="509">
        <f>IF(AZ$2=1,Reported!AZ182,Reported!AZ182-Reported!AY182)</f>
        <v/>
      </c>
      <c r="BA99" s="509">
        <f>IF(BA$2=1,Reported!BA182,Reported!BA182-Reported!AZ182)</f>
        <v/>
      </c>
      <c r="BB99" s="509">
        <f>IF(BB$2=1,Reported!BB182,Reported!BB182-Reported!BA182)</f>
        <v/>
      </c>
      <c r="BC99" s="509">
        <f>IF(BC$2=1,Reported!BC182,Reported!BC182-Reported!BB182)</f>
        <v/>
      </c>
      <c r="BD99" s="509">
        <f>IF(BD$2=1,Reported!BD182,Reported!BD182-Reported!BC182)</f>
        <v/>
      </c>
      <c r="BE99" s="509">
        <f>IF(BE$2=1,Reported!BE182,Reported!BE182-Reported!BD182)</f>
        <v/>
      </c>
      <c r="BF99" s="509">
        <f>IF(BF$2=1,Reported!BF182,Reported!BF182-Reported!BE182)</f>
        <v/>
      </c>
      <c r="BG99" s="509">
        <f>IF(BG$2=1,Reported!BG182,Reported!BG182-Reported!BF182)</f>
        <v/>
      </c>
      <c r="BH99" s="509">
        <f>IF(BH$2=1,Reported!BH182,Reported!BH182-Reported!BG182)</f>
        <v/>
      </c>
      <c r="BI99" s="509">
        <f>IF(BI$2=1,Reported!BI182,Reported!BI182-Reported!BH182)</f>
        <v/>
      </c>
      <c r="BJ99" s="509">
        <f>IF(BJ$2=1,Reported!BJ182,Reported!BJ182-Reported!BI182)</f>
        <v/>
      </c>
      <c r="BK99" s="509">
        <f>IF(BK$2=1,Reported!BK182,Reported!BK182-Reported!BJ182)</f>
        <v/>
      </c>
      <c r="BL99" s="509">
        <f>IF(BL$2=1,Reported!BL182,Reported!BL182-Reported!BK182)</f>
        <v/>
      </c>
      <c r="BM99" s="509">
        <f>IF(BM$2=1,Reported!BM182,Reported!BM182-Reported!BL182)</f>
        <v/>
      </c>
      <c r="BN99" s="509">
        <f>IF(BN$2=1,Reported!BN182,Reported!BN182-Reported!BM182)</f>
        <v/>
      </c>
      <c r="BO99" s="509">
        <f>IF(BO$2=1,Reported!BO182,Reported!BO182-Reported!BN182)</f>
        <v/>
      </c>
      <c r="BP99" s="509">
        <f>IF(BP$2=1,Reported!BP182,Reported!BP182-Reported!BO182)</f>
        <v/>
      </c>
      <c r="BQ99" s="509">
        <f>IF(BQ$2=1,Reported!BQ182,Reported!BQ182-Reported!BP182)</f>
        <v/>
      </c>
      <c r="BR99" s="509">
        <f>IF(BR$2=1,Reported!BR182,Reported!BR182-Reported!BQ182)</f>
        <v/>
      </c>
      <c r="BS99" s="108">
        <f>SUM(BR48:BR50)-SUM(BS48:BS50)</f>
        <v/>
      </c>
      <c r="BT99" s="108">
        <f>SUM(BS48:BS50)-SUM(BT48:BT50)</f>
        <v/>
      </c>
      <c r="BU99" s="108">
        <f>SUM(BT48:BT50)-SUM(BU48:BU50)</f>
        <v/>
      </c>
      <c r="BV99" s="108">
        <f>SUM(BU48:BU50)-SUM(BV48:BV50)</f>
        <v/>
      </c>
      <c r="BW99" s="108">
        <f>SUM(BV48:BV50)-SUM(BW48:BW50)</f>
        <v/>
      </c>
      <c r="BX99" s="108">
        <f>SUM(BW48:BW50)-SUM(BX48:BX50)</f>
        <v/>
      </c>
      <c r="BY99" s="108">
        <f>SUM(BX48:BX50)-SUM(BY48:BY50)</f>
        <v/>
      </c>
      <c r="BZ99" s="108">
        <f>SUM(BY48:BY50)-SUM(BZ48:BZ50)</f>
        <v/>
      </c>
      <c r="CA99" s="108">
        <f>SUM(BZ48:BZ50)-SUM(CA48:CA50)</f>
        <v/>
      </c>
      <c r="CB99" s="108">
        <f>SUM(CA48:CA50)-SUM(CB48:CB50)</f>
        <v/>
      </c>
      <c r="CC99" s="108">
        <f>SUM(CB48:CB50)-SUM(CC48:CC50)</f>
        <v/>
      </c>
      <c r="CD99" s="108">
        <f>SUM(CC48:CC50)-SUM(CD48:CD50)</f>
        <v/>
      </c>
      <c r="CE99" s="108">
        <f>SUM(CD48:CD50)-SUM(CE48:CE50)</f>
        <v/>
      </c>
      <c r="CF99" s="108">
        <f>SUM(CE48:CE50)-SUM(CF48:CF50)</f>
        <v/>
      </c>
      <c r="CG99" s="108">
        <f>SUM(CF48:CF50)-SUM(CG48:CG50)</f>
        <v/>
      </c>
      <c r="CH99" s="108">
        <f>SUM(CG48:CG50)-SUM(CH48:CH50)</f>
        <v/>
      </c>
      <c r="CI99" s="108">
        <f>SUM(CH48:CH50)-SUM(CI48:CI50)</f>
        <v/>
      </c>
      <c r="CJ99" s="108">
        <f>SUM(CI48:CI50)-SUM(CJ48:CJ50)</f>
        <v/>
      </c>
      <c r="CK99" s="108">
        <f>SUM(CJ48:CJ50)-SUM(CK48:CK50)</f>
        <v/>
      </c>
    </row>
    <row r="100">
      <c r="A100" s="33" t="inlineStr">
        <is>
          <t>Accounts payable</t>
        </is>
      </c>
      <c r="B100" s="145" t="n"/>
      <c r="C100" s="145" t="n"/>
      <c r="D100" s="145" t="n"/>
      <c r="E100" s="145" t="n"/>
      <c r="F100" s="145" t="n"/>
      <c r="G100" s="145" t="n"/>
      <c r="H100" s="145" t="n"/>
      <c r="I100" s="145" t="n"/>
      <c r="J100" s="145" t="n"/>
      <c r="K100" s="145" t="n"/>
      <c r="L100" s="145" t="n"/>
      <c r="M100" s="145" t="n"/>
      <c r="N100" s="509">
        <f>IF(N$2=1,Reported!N183,Reported!N183-Reported!M183)</f>
        <v/>
      </c>
      <c r="O100" s="509">
        <f>IF(O$2=1,Reported!O183,Reported!O183-Reported!N183)</f>
        <v/>
      </c>
      <c r="P100" s="509">
        <f>IF(P$2=1,Reported!P183,Reported!P183-Reported!O183)</f>
        <v/>
      </c>
      <c r="Q100" s="509">
        <f>IF(Q$2=1,Reported!Q183,Reported!Q183-Reported!P183)</f>
        <v/>
      </c>
      <c r="R100" s="509">
        <f>IF(R$2=1,Reported!R183,Reported!R183-Reported!Q183)</f>
        <v/>
      </c>
      <c r="S100" s="509">
        <f>IF(S$2=1,Reported!S183,Reported!S183-Reported!R183)</f>
        <v/>
      </c>
      <c r="T100" s="509">
        <f>IF(T$2=1,Reported!T183,Reported!T183-Reported!S183)</f>
        <v/>
      </c>
      <c r="U100" s="509">
        <f>IF(U$2=1,Reported!U183,Reported!U183-Reported!T183)</f>
        <v/>
      </c>
      <c r="V100" s="509">
        <f>IF(V$2=1,Reported!V183,Reported!V183-Reported!U183)</f>
        <v/>
      </c>
      <c r="W100" s="509">
        <f>IF(W$2=1,Reported!W183,Reported!W183-Reported!V183)</f>
        <v/>
      </c>
      <c r="X100" s="509">
        <f>IF(X$2=1,Reported!X183,Reported!X183-Reported!W183)</f>
        <v/>
      </c>
      <c r="Y100" s="509">
        <f>IF(Y$2=1,Reported!Y183,Reported!Y183-Reported!X183)</f>
        <v/>
      </c>
      <c r="Z100" s="509">
        <f>IF(Z$2=1,Reported!Z183,Reported!Z183-Reported!Y183)</f>
        <v/>
      </c>
      <c r="AA100" s="509">
        <f>IF(AA$2=1,Reported!AA183,Reported!AA183-Reported!Z183)</f>
        <v/>
      </c>
      <c r="AB100" s="509">
        <f>IF(AB$2=1,Reported!AB183,Reported!AB183-Reported!AA183)</f>
        <v/>
      </c>
      <c r="AC100" s="509">
        <f>IF(AC$2=1,Reported!AC183,Reported!AC183-Reported!AB183)</f>
        <v/>
      </c>
      <c r="AD100" s="509">
        <f>IF(AD$2=1,Reported!AD183,Reported!AD183-Reported!AC183)</f>
        <v/>
      </c>
      <c r="AE100" s="509">
        <f>IF(AE$2=1,Reported!AE183,Reported!AE183-Reported!AD183)</f>
        <v/>
      </c>
      <c r="AF100" s="509">
        <f>IF(AF$2=1,Reported!AF183,Reported!AF183-Reported!AE183)</f>
        <v/>
      </c>
      <c r="AG100" s="509">
        <f>IF(AG$2=1,Reported!AG183,Reported!AG183-Reported!AF183)</f>
        <v/>
      </c>
      <c r="AH100" s="509">
        <f>IF(AH$2=1,Reported!AH183,Reported!AH183-Reported!AG183)</f>
        <v/>
      </c>
      <c r="AI100" s="509">
        <f>IF(AI$2=1,Reported!AI183,Reported!AI183-Reported!AH183)</f>
        <v/>
      </c>
      <c r="AJ100" s="509">
        <f>IF(AJ$2=1,Reported!AJ183,Reported!AJ183-Reported!AI183)</f>
        <v/>
      </c>
      <c r="AK100" s="509">
        <f>IF(AK$2=1,Reported!AK183,Reported!AK183-Reported!AJ183)</f>
        <v/>
      </c>
      <c r="AL100" s="509">
        <f>IF(AL$2=1,Reported!AL183,Reported!AL183-Reported!AK183)</f>
        <v/>
      </c>
      <c r="AM100" s="509">
        <f>IF(AM$2=1,Reported!AM183,Reported!AM183-Reported!AL183)</f>
        <v/>
      </c>
      <c r="AN100" s="509">
        <f>IF(AN$2=1,Reported!AN183,Reported!AN183-Reported!AM183)</f>
        <v/>
      </c>
      <c r="AO100" s="509">
        <f>IF(AO$2=1,Reported!AO183,Reported!AO183-Reported!AN183)</f>
        <v/>
      </c>
      <c r="AP100" s="509">
        <f>IF(AP$2=1,Reported!AP183,Reported!AP183-Reported!AO183)</f>
        <v/>
      </c>
      <c r="AQ100" s="509">
        <f>IF(AQ$2=1,Reported!AQ183,Reported!AQ183-Reported!AP183)</f>
        <v/>
      </c>
      <c r="AR100" s="509">
        <f>IF(AR$2=1,Reported!AR183,Reported!AR183-Reported!AQ183)</f>
        <v/>
      </c>
      <c r="AS100" s="509">
        <f>IF(AS$2=1,Reported!AS183,Reported!AS183-Reported!AR183)</f>
        <v/>
      </c>
      <c r="AT100" s="509">
        <f>IF(AT$2=1,Reported!AT183,Reported!AT183-Reported!AS183)</f>
        <v/>
      </c>
      <c r="AU100" s="509">
        <f>IF(AU$2=1,Reported!AU183,Reported!AU183-Reported!AT183)</f>
        <v/>
      </c>
      <c r="AV100" s="509">
        <f>IF(AV$2=1,Reported!AV183,Reported!AV183-Reported!AU183)</f>
        <v/>
      </c>
      <c r="AW100" s="509">
        <f>IF(AW$2=1,Reported!AW183,Reported!AW183-Reported!AV183)</f>
        <v/>
      </c>
      <c r="AX100" s="509">
        <f>IF(AX$2=1,Reported!AX183,Reported!AX183-Reported!AW183)</f>
        <v/>
      </c>
      <c r="AY100" s="509">
        <f>IF(AY$2=1,Reported!AY183,Reported!AY183-Reported!AX183)</f>
        <v/>
      </c>
      <c r="AZ100" s="509">
        <f>IF(AZ$2=1,Reported!AZ183,Reported!AZ183-Reported!AY183)</f>
        <v/>
      </c>
      <c r="BA100" s="509">
        <f>IF(BA$2=1,Reported!BA183,Reported!BA183-Reported!AZ183)</f>
        <v/>
      </c>
      <c r="BB100" s="509">
        <f>IF(BB$2=1,Reported!BB183,Reported!BB183-Reported!BA183)</f>
        <v/>
      </c>
      <c r="BC100" s="509">
        <f>IF(BC$2=1,Reported!BC183,Reported!BC183-Reported!BB183)</f>
        <v/>
      </c>
      <c r="BD100" s="509">
        <f>IF(BD$2=1,Reported!BD183,Reported!BD183-Reported!BC183)</f>
        <v/>
      </c>
      <c r="BE100" s="509">
        <f>IF(BE$2=1,Reported!BE183,Reported!BE183-Reported!BD183)</f>
        <v/>
      </c>
      <c r="BF100" s="509">
        <f>IF(BF$2=1,Reported!BF183,Reported!BF183-Reported!BE183)</f>
        <v/>
      </c>
      <c r="BG100" s="509">
        <f>IF(BG$2=1,Reported!BG183,Reported!BG183-Reported!BF183)</f>
        <v/>
      </c>
      <c r="BH100" s="509">
        <f>IF(BH$2=1,Reported!BH183,Reported!BH183-Reported!BG183)</f>
        <v/>
      </c>
      <c r="BI100" s="509">
        <f>IF(BI$2=1,Reported!BI183,Reported!BI183-Reported!BH183)</f>
        <v/>
      </c>
      <c r="BJ100" s="509">
        <f>IF(BJ$2=1,Reported!BJ183,Reported!BJ183-Reported!BI183)</f>
        <v/>
      </c>
      <c r="BK100" s="509">
        <f>IF(BK$2=1,Reported!BK183,Reported!BK183-Reported!BJ183)</f>
        <v/>
      </c>
      <c r="BL100" s="509">
        <f>IF(BL$2=1,Reported!BL183,Reported!BL183-Reported!BK183)</f>
        <v/>
      </c>
      <c r="BM100" s="509">
        <f>IF(BM$2=1,Reported!BM183,Reported!BM183-Reported!BL183)</f>
        <v/>
      </c>
      <c r="BN100" s="509">
        <f>IF(BN$2=1,Reported!BN183,Reported!BN183-Reported!BM183)</f>
        <v/>
      </c>
      <c r="BO100" s="509">
        <f>IF(BO$2=1,Reported!BO183,Reported!BO183-Reported!BN183)</f>
        <v/>
      </c>
      <c r="BP100" s="509">
        <f>IF(BP$2=1,Reported!BP183,Reported!BP183-Reported!BO183)</f>
        <v/>
      </c>
      <c r="BQ100" s="509">
        <f>IF(BQ$2=1,Reported!BQ183,Reported!BQ183-Reported!BP183)</f>
        <v/>
      </c>
      <c r="BR100" s="509">
        <f>IF(BR$2=1,Reported!BR183,Reported!BR183-Reported!BQ183)</f>
        <v/>
      </c>
      <c r="BS100" s="517">
        <f>BS59-BR59</f>
        <v/>
      </c>
      <c r="BT100" s="517">
        <f>BT59-BS59</f>
        <v/>
      </c>
      <c r="BU100" s="517">
        <f>BU59-BT59</f>
        <v/>
      </c>
      <c r="BV100" s="517">
        <f>BV59-BU59</f>
        <v/>
      </c>
      <c r="BW100" s="517">
        <f>BW59-BV59</f>
        <v/>
      </c>
      <c r="BX100" s="517">
        <f>BX59-BW59</f>
        <v/>
      </c>
      <c r="BY100" s="517">
        <f>BY59-BX59</f>
        <v/>
      </c>
      <c r="BZ100" s="517">
        <f>BZ59-BY59</f>
        <v/>
      </c>
      <c r="CA100" s="517">
        <f>CA59-BZ59</f>
        <v/>
      </c>
      <c r="CB100" s="517">
        <f>CB59-CA59</f>
        <v/>
      </c>
      <c r="CC100" s="517">
        <f>CC59-CB59</f>
        <v/>
      </c>
      <c r="CD100" s="517">
        <f>CD59-CC59</f>
        <v/>
      </c>
      <c r="CE100" s="517">
        <f>CE59-CD59</f>
        <v/>
      </c>
      <c r="CF100" s="517">
        <f>CF59-CE59</f>
        <v/>
      </c>
      <c r="CG100" s="517">
        <f>CG59-CF59</f>
        <v/>
      </c>
      <c r="CH100" s="517">
        <f>CH59-CG59</f>
        <v/>
      </c>
      <c r="CI100" s="517">
        <f>CI59-CH59</f>
        <v/>
      </c>
      <c r="CJ100" s="517">
        <f>CJ59-CI59</f>
        <v/>
      </c>
      <c r="CK100" s="517">
        <f>CK59-CJ59</f>
        <v/>
      </c>
    </row>
    <row r="101">
      <c r="A101" s="33" t="inlineStr">
        <is>
          <t>Other working captical changes</t>
        </is>
      </c>
      <c r="B101" s="145" t="n"/>
      <c r="C101" s="145" t="n"/>
      <c r="D101" s="145" t="n"/>
      <c r="E101" s="145" t="n"/>
      <c r="F101" s="145" t="n"/>
      <c r="G101" s="145" t="n"/>
      <c r="H101" s="145" t="n"/>
      <c r="I101" s="145" t="n"/>
      <c r="J101" s="145" t="n"/>
      <c r="K101" s="145" t="n"/>
      <c r="L101" s="145" t="n"/>
      <c r="M101" s="145" t="n"/>
      <c r="N101" s="143">
        <f>IF(N$2=1,SUM(Reported!N184:N186),SUM(Reported!N184:N186)-SUM(Reported!M184:M186))</f>
        <v/>
      </c>
      <c r="O101" s="143">
        <f>IF(O$2=1,SUM(Reported!O184:O186),SUM(Reported!O184:O186)-SUM(Reported!N184:N186))</f>
        <v/>
      </c>
      <c r="P101" s="143">
        <f>IF(P$2=1,SUM(Reported!P184:P186),SUM(Reported!P184:P186)-SUM(Reported!O184:O186))</f>
        <v/>
      </c>
      <c r="Q101" s="143">
        <f>IF(Q$2=1,SUM(Reported!Q184:Q186),SUM(Reported!Q184:Q186)-SUM(Reported!P184:P186))</f>
        <v/>
      </c>
      <c r="R101" s="143">
        <f>IF(R$2=1,SUM(Reported!R184:R186),SUM(Reported!R184:R186)-SUM(Reported!Q184:Q186))</f>
        <v/>
      </c>
      <c r="S101" s="143">
        <f>IF(S$2=1,SUM(Reported!S184:S186),SUM(Reported!S184:S186)-SUM(Reported!R184:R186))</f>
        <v/>
      </c>
      <c r="T101" s="143">
        <f>IF(T$2=1,SUM(Reported!T184:T186),SUM(Reported!T184:T186)-SUM(Reported!S184:S186))</f>
        <v/>
      </c>
      <c r="U101" s="143">
        <f>IF(U$2=1,SUM(Reported!U184:U186),SUM(Reported!U184:U186)-SUM(Reported!T184:T186))</f>
        <v/>
      </c>
      <c r="V101" s="143">
        <f>IF(V$2=1,SUM(Reported!V184:V186),SUM(Reported!V184:V186)-SUM(Reported!U184:U186))</f>
        <v/>
      </c>
      <c r="W101" s="143">
        <f>IF(W$2=1,SUM(Reported!W184:W186),SUM(Reported!W184:W186)-SUM(Reported!V184:V186))</f>
        <v/>
      </c>
      <c r="X101" s="143">
        <f>IF(X$2=1,SUM(Reported!X184:X186),SUM(Reported!X184:X186)-SUM(Reported!W184:W186))</f>
        <v/>
      </c>
      <c r="Y101" s="143">
        <f>IF(Y$2=1,SUM(Reported!Y184:Y186),SUM(Reported!Y184:Y186)-SUM(Reported!X184:X186))</f>
        <v/>
      </c>
      <c r="Z101" s="143">
        <f>IF(Z$2=1,SUM(Reported!Z184:Z186),SUM(Reported!Z184:Z186)-SUM(Reported!Y184:Y186))</f>
        <v/>
      </c>
      <c r="AA101" s="143">
        <f>IF(AA$2=1,SUM(Reported!AA184:AA186),SUM(Reported!AA184:AA186)-SUM(Reported!Z184:Z186))</f>
        <v/>
      </c>
      <c r="AB101" s="143">
        <f>IF(AB$2=1,SUM(Reported!AB184:AB186),SUM(Reported!AB184:AB186)-SUM(Reported!AA184:AA186))</f>
        <v/>
      </c>
      <c r="AC101" s="143">
        <f>IF(AC$2=1,SUM(Reported!AC184:AC186),SUM(Reported!AC184:AC186)-SUM(Reported!AB184:AB186))</f>
        <v/>
      </c>
      <c r="AD101" s="143">
        <f>IF(AD$2=1,SUM(Reported!AD184:AD186),SUM(Reported!AD184:AD186)-SUM(Reported!AC184:AC186))</f>
        <v/>
      </c>
      <c r="AE101" s="143">
        <f>IF(AE$2=1,SUM(Reported!AE184:AE186),SUM(Reported!AE184:AE186)-SUM(Reported!AD184:AD186))</f>
        <v/>
      </c>
      <c r="AF101" s="143">
        <f>IF(AF$2=1,SUM(Reported!AF184:AF186),SUM(Reported!AF184:AF186)-SUM(Reported!AE184:AE186))</f>
        <v/>
      </c>
      <c r="AG101" s="143">
        <f>IF(AG$2=1,SUM(Reported!AG184:AG186),SUM(Reported!AG184:AG186)-SUM(Reported!AF184:AF186))</f>
        <v/>
      </c>
      <c r="AH101" s="143">
        <f>IF(AH$2=1,SUM(Reported!AH184:AH186),SUM(Reported!AH184:AH186)-SUM(Reported!AG184:AG186))</f>
        <v/>
      </c>
      <c r="AI101" s="143">
        <f>IF(AI$2=1,SUM(Reported!AI184:AI186),SUM(Reported!AI184:AI186)-SUM(Reported!AH184:AH186))</f>
        <v/>
      </c>
      <c r="AJ101" s="143">
        <f>IF(AJ$2=1,SUM(Reported!AJ184:AJ186),SUM(Reported!AJ184:AJ186)-SUM(Reported!AI184:AI186))</f>
        <v/>
      </c>
      <c r="AK101" s="143">
        <f>IF(AK$2=1,SUM(Reported!AK184:AK186),SUM(Reported!AK184:AK186)-SUM(Reported!AJ184:AJ186))</f>
        <v/>
      </c>
      <c r="AL101" s="143">
        <f>IF(AL$2=1,SUM(Reported!AL184:AL186),SUM(Reported!AL184:AL186)-SUM(Reported!AK184:AK186))</f>
        <v/>
      </c>
      <c r="AM101" s="143">
        <f>IF(AM$2=1,SUM(Reported!AM184:AM186),SUM(Reported!AM184:AM186)-SUM(Reported!AL184:AL186))</f>
        <v/>
      </c>
      <c r="AN101" s="143">
        <f>IF(AN$2=1,SUM(Reported!AN184:AN186),SUM(Reported!AN184:AN186)-SUM(Reported!AM184:AM186))</f>
        <v/>
      </c>
      <c r="AO101" s="143">
        <f>IF(AO$2=1,SUM(Reported!AO184:AO186),SUM(Reported!AO184:AO186)-SUM(Reported!AN184:AN186))</f>
        <v/>
      </c>
      <c r="AP101" s="143">
        <f>IF(AP$2=1,SUM(Reported!AP184:AP186),SUM(Reported!AP184:AP186)-SUM(Reported!AO184:AO186))</f>
        <v/>
      </c>
      <c r="AQ101" s="143">
        <f>IF(AQ$2=1,SUM(Reported!AQ184:AQ186),SUM(Reported!AQ184:AQ186)-SUM(Reported!AP184:AP186))</f>
        <v/>
      </c>
      <c r="AR101" s="143">
        <f>IF(AR$2=1,SUM(Reported!AR184:AR186),SUM(Reported!AR184:AR186)-SUM(Reported!AQ184:AQ186))</f>
        <v/>
      </c>
      <c r="AS101" s="143">
        <f>IF(AS$2=1,SUM(Reported!AS184:AS186),SUM(Reported!AS184:AS186)-SUM(Reported!AR184:AR186))</f>
        <v/>
      </c>
      <c r="AT101" s="143">
        <f>IF(AT$2=1,SUM(Reported!AT184:AT186),SUM(Reported!AT184:AT186)-SUM(Reported!AS184:AS186))</f>
        <v/>
      </c>
      <c r="AU101" s="143">
        <f>IF(AU$2=1,SUM(Reported!AU184:AU186),SUM(Reported!AU184:AU186)-SUM(Reported!AT184:AT186))</f>
        <v/>
      </c>
      <c r="AV101" s="143">
        <f>IF(AV$2=1,SUM(Reported!AV184:AV186),SUM(Reported!AV184:AV186)-SUM(Reported!AU184:AU186))</f>
        <v/>
      </c>
      <c r="AW101" s="143">
        <f>IF(AW$2=1,SUM(Reported!AW184:AW186),SUM(Reported!AW184:AW186)-SUM(Reported!AV184:AV186))</f>
        <v/>
      </c>
      <c r="AX101" s="143">
        <f>IF(AX$2=1,SUM(Reported!AX184:AX186),SUM(Reported!AX184:AX186)-SUM(Reported!AW184:AW186))</f>
        <v/>
      </c>
      <c r="AY101" s="143">
        <f>IF(AY$2=1,SUM(Reported!AY184:AY186),SUM(Reported!AY184:AY186)-SUM(Reported!AX184:AX186))</f>
        <v/>
      </c>
      <c r="AZ101" s="143">
        <f>IF(AZ$2=1,SUM(Reported!AZ184:AZ186),SUM(Reported!AZ184:AZ186)-SUM(Reported!AY184:AY186))</f>
        <v/>
      </c>
      <c r="BA101" s="143">
        <f>IF(BA$2=1,SUM(Reported!BA184:BA186),SUM(Reported!BA184:BA186)-SUM(Reported!AZ184:AZ186))</f>
        <v/>
      </c>
      <c r="BB101" s="143">
        <f>IF(BB$2=1,SUM(Reported!BB184:BB186),SUM(Reported!BB184:BB186)-SUM(Reported!BA184:BA186))</f>
        <v/>
      </c>
      <c r="BC101" s="143">
        <f>IF(BC$2=1,SUM(Reported!BC184:BC186),SUM(Reported!BC184:BC186)-SUM(Reported!BB184:BB186))</f>
        <v/>
      </c>
      <c r="BD101" s="143">
        <f>IF(BD$2=1,SUM(Reported!BD184:BD186),SUM(Reported!BD184:BD186)-SUM(Reported!BC184:BC186))</f>
        <v/>
      </c>
      <c r="BE101" s="143">
        <f>IF(BE$2=1,SUM(Reported!BE184:BE186),SUM(Reported!BE184:BE186)-SUM(Reported!BD184:BD186))</f>
        <v/>
      </c>
      <c r="BF101" s="143">
        <f>IF(BF$2=1,SUM(Reported!BF184:BF186),SUM(Reported!BF184:BF186)-SUM(Reported!BE184:BE186))</f>
        <v/>
      </c>
      <c r="BG101" s="143">
        <f>IF(BG$2=1,SUM(Reported!BG184:BG186),SUM(Reported!BG184:BG186)-SUM(Reported!BF184:BF186))</f>
        <v/>
      </c>
      <c r="BH101" s="143">
        <f>IF(BH$2=1,SUM(Reported!BH184:BH186),SUM(Reported!BH184:BH186)-SUM(Reported!BG184:BG186))</f>
        <v/>
      </c>
      <c r="BI101" s="143">
        <f>IF(BI$2=1,SUM(Reported!BI184:BI186),SUM(Reported!BI184:BI186)-SUM(Reported!BH184:BH186))</f>
        <v/>
      </c>
      <c r="BJ101" s="143">
        <f>IF(BJ$2=1,SUM(Reported!BJ184:BJ186),SUM(Reported!BJ184:BJ186)-SUM(Reported!BI184:BI186))</f>
        <v/>
      </c>
      <c r="BK101" s="143">
        <f>IF(BK$2=1,SUM(Reported!BK184:BK186),SUM(Reported!BK184:BK186)-SUM(Reported!BJ184:BJ186))</f>
        <v/>
      </c>
      <c r="BL101" s="143">
        <f>IF(BL$2=1,SUM(Reported!BL184:BL186),SUM(Reported!BL184:BL186)-SUM(Reported!BK184:BK186))</f>
        <v/>
      </c>
      <c r="BM101" s="143">
        <f>IF(BM$2=1,SUM(Reported!BM184:BM186),SUM(Reported!BM184:BM186)-SUM(Reported!BL184:BL186))</f>
        <v/>
      </c>
      <c r="BN101" s="143">
        <f>IF(BN$2=1,SUM(Reported!BN184:BN186),SUM(Reported!BN184:BN186)-SUM(Reported!BM184:BM186))</f>
        <v/>
      </c>
      <c r="BO101" s="143">
        <f>IF(BO$2=1,SUM(Reported!BO184:BO186),SUM(Reported!BO184:BO186)-SUM(Reported!BN184:BN186))</f>
        <v/>
      </c>
      <c r="BP101" s="143">
        <f>IF(BP$2=1,SUM(Reported!BP184:BP186),SUM(Reported!BP184:BP186)-SUM(Reported!BO184:BO186))</f>
        <v/>
      </c>
      <c r="BQ101" s="143">
        <f>IF(BQ$2=1,SUM(Reported!BQ184:BQ186),SUM(Reported!BQ184:BQ186)-SUM(Reported!BP184:BP186))</f>
        <v/>
      </c>
      <c r="BR101" s="143">
        <f>IF(BR$2=1,SUM(Reported!BR184:BR186),SUM(Reported!BR184:BR186)-SUM(Reported!BQ184:BQ186))</f>
        <v/>
      </c>
      <c r="BS101" s="517">
        <f>SUM(BS60:BS62)-SUM(BR60:BR62)</f>
        <v/>
      </c>
      <c r="BT101" s="517">
        <f>SUM(BT60:BT62)-SUM(BS60:BS62)</f>
        <v/>
      </c>
      <c r="BU101" s="517">
        <f>SUM(BU60:BU62)-SUM(BT60:BT62)</f>
        <v/>
      </c>
      <c r="BV101" s="517">
        <f>SUM(BV60:BV62)-SUM(BU60:BU62)</f>
        <v/>
      </c>
      <c r="BW101" s="517">
        <f>SUM(BW60:BW62)-SUM(BV60:BV62)</f>
        <v/>
      </c>
      <c r="BX101" s="517">
        <f>SUM(BX60:BX62)-SUM(BW60:BW62)</f>
        <v/>
      </c>
      <c r="BY101" s="517">
        <f>SUM(BY60:BY62)-SUM(BX60:BX62)</f>
        <v/>
      </c>
      <c r="BZ101" s="517">
        <f>SUM(BZ60:BZ62)-SUM(BY60:BY62)</f>
        <v/>
      </c>
      <c r="CA101" s="517">
        <f>SUM(CA60:CA62)-SUM(BZ60:BZ62)</f>
        <v/>
      </c>
      <c r="CB101" s="517">
        <f>SUM(CB60:CB62)-SUM(CA60:CA62)</f>
        <v/>
      </c>
      <c r="CC101" s="517">
        <f>SUM(CC60:CC62)-SUM(CB60:CB62)</f>
        <v/>
      </c>
      <c r="CD101" s="517">
        <f>SUM(CD60:CD62)-SUM(CC60:CC62)</f>
        <v/>
      </c>
      <c r="CE101" s="517">
        <f>SUM(CE60:CE62)-SUM(CD60:CD62)</f>
        <v/>
      </c>
      <c r="CF101" s="517">
        <f>SUM(CF60:CF62)-SUM(CE60:CE62)</f>
        <v/>
      </c>
      <c r="CG101" s="517">
        <f>SUM(CG60:CG62)-SUM(CF60:CF62)</f>
        <v/>
      </c>
      <c r="CH101" s="517">
        <f>SUM(CH60:CH62)-SUM(CG60:CG62)</f>
        <v/>
      </c>
      <c r="CI101" s="517">
        <f>SUM(CI60:CI62)-SUM(CH60:CH62)</f>
        <v/>
      </c>
      <c r="CJ101" s="517">
        <f>SUM(CJ60:CJ62)-SUM(CI60:CI62)</f>
        <v/>
      </c>
      <c r="CK101" s="517">
        <f>SUM(CK60:CK62)-SUM(CJ60:CJ62)</f>
        <v/>
      </c>
    </row>
    <row r="102" customFormat="1" s="22">
      <c r="A102" s="22" t="inlineStr">
        <is>
          <t>Net cash provided by operating activities</t>
        </is>
      </c>
      <c r="B102" s="133" t="n"/>
      <c r="C102" s="133" t="n"/>
      <c r="D102" s="133" t="n"/>
      <c r="E102" s="133" t="n"/>
      <c r="F102" s="133" t="n"/>
      <c r="G102" s="133" t="n"/>
      <c r="H102" s="133" t="n"/>
      <c r="I102" s="133" t="n"/>
      <c r="J102" s="133" t="n"/>
      <c r="K102" s="133" t="n"/>
      <c r="L102" s="133" t="n"/>
      <c r="M102" s="133" t="n"/>
      <c r="N102" s="671">
        <f>IF(N$2=1,Reported!N187,Reported!N187-Reported!M187)</f>
        <v/>
      </c>
      <c r="O102" s="671">
        <f>IF(O$2=1,Reported!O187,Reported!O187-Reported!N187)</f>
        <v/>
      </c>
      <c r="P102" s="671">
        <f>IF(P$2=1,Reported!P187,Reported!P187-Reported!O187)</f>
        <v/>
      </c>
      <c r="Q102" s="671">
        <f>IF(Q$2=1,Reported!Q187,Reported!Q187-Reported!P187)</f>
        <v/>
      </c>
      <c r="R102" s="671">
        <f>IF(R$2=1,Reported!R187,Reported!R187-Reported!Q187)</f>
        <v/>
      </c>
      <c r="S102" s="671">
        <f>IF(S$2=1,Reported!S187,Reported!S187-Reported!R187)</f>
        <v/>
      </c>
      <c r="T102" s="671">
        <f>IF(T$2=1,Reported!T187,Reported!T187-Reported!S187)</f>
        <v/>
      </c>
      <c r="U102" s="671">
        <f>IF(U$2=1,Reported!U187,Reported!U187-Reported!T187)</f>
        <v/>
      </c>
      <c r="V102" s="671">
        <f>IF(V$2=1,Reported!V187,Reported!V187-Reported!U187)</f>
        <v/>
      </c>
      <c r="W102" s="671">
        <f>IF(W$2=1,Reported!W187,Reported!W187-Reported!V187)</f>
        <v/>
      </c>
      <c r="X102" s="671">
        <f>IF(X$2=1,Reported!X187,Reported!X187-Reported!W187)</f>
        <v/>
      </c>
      <c r="Y102" s="671">
        <f>IF(Y$2=1,Reported!Y187,Reported!Y187-Reported!X187)</f>
        <v/>
      </c>
      <c r="Z102" s="671">
        <f>IF(Z$2=1,Reported!Z187,Reported!Z187-Reported!Y187)</f>
        <v/>
      </c>
      <c r="AA102" s="671">
        <f>IF(AA$2=1,Reported!AA187,Reported!AA187-Reported!Z187)</f>
        <v/>
      </c>
      <c r="AB102" s="671">
        <f>IF(AB$2=1,Reported!AB187,Reported!AB187-Reported!AA187)</f>
        <v/>
      </c>
      <c r="AC102" s="671">
        <f>IF(AC$2=1,Reported!AC187,Reported!AC187-Reported!AB187)</f>
        <v/>
      </c>
      <c r="AD102" s="671">
        <f>IF(AD$2=1,Reported!AD187,Reported!AD187-Reported!AC187)</f>
        <v/>
      </c>
      <c r="AE102" s="671">
        <f>IF(AE$2=1,Reported!AE187,Reported!AE187-Reported!AD187)</f>
        <v/>
      </c>
      <c r="AF102" s="671">
        <f>IF(AF$2=1,Reported!AF187,Reported!AF187-Reported!AE187)</f>
        <v/>
      </c>
      <c r="AG102" s="671">
        <f>IF(AG$2=1,Reported!AG187,Reported!AG187-Reported!AF187)</f>
        <v/>
      </c>
      <c r="AH102" s="671">
        <f>IF(AH$2=1,Reported!AH187,Reported!AH187-Reported!AG187)</f>
        <v/>
      </c>
      <c r="AI102" s="671">
        <f>IF(AI$2=1,Reported!AI187,Reported!AI187-Reported!AH187)</f>
        <v/>
      </c>
      <c r="AJ102" s="671">
        <f>IF(AJ$2=1,Reported!AJ187,Reported!AJ187-Reported!AI187)</f>
        <v/>
      </c>
      <c r="AK102" s="671">
        <f>IF(AK$2=1,Reported!AK187,Reported!AK187-Reported!AJ187)</f>
        <v/>
      </c>
      <c r="AL102" s="671">
        <f>IF(AL$2=1,Reported!AL187,Reported!AL187-Reported!AK187)</f>
        <v/>
      </c>
      <c r="AM102" s="671">
        <f>IF(AM$2=1,Reported!AM187,Reported!AM187-Reported!AL187)</f>
        <v/>
      </c>
      <c r="AN102" s="671">
        <f>IF(AN$2=1,Reported!AN187,Reported!AN187-Reported!AM187)</f>
        <v/>
      </c>
      <c r="AO102" s="671">
        <f>IF(AO$2=1,Reported!AO187,Reported!AO187-Reported!AN187)</f>
        <v/>
      </c>
      <c r="AP102" s="671">
        <f>IF(AP$2=1,Reported!AP187,Reported!AP187-Reported!AO187)</f>
        <v/>
      </c>
      <c r="AQ102" s="671">
        <f>IF(AQ$2=1,Reported!AQ187,Reported!AQ187-Reported!AP187)</f>
        <v/>
      </c>
      <c r="AR102" s="671">
        <f>IF(AR$2=1,Reported!AR187,Reported!AR187-Reported!AQ187)</f>
        <v/>
      </c>
      <c r="AS102" s="671">
        <f>IF(AS$2=1,Reported!AS187,Reported!AS187-Reported!AR187)</f>
        <v/>
      </c>
      <c r="AT102" s="671">
        <f>IF(AT$2=1,Reported!AT187,Reported!AT187-Reported!AS187)</f>
        <v/>
      </c>
      <c r="AU102" s="671">
        <f>IF(AU$2=1,Reported!AU187,Reported!AU187-Reported!AT187)</f>
        <v/>
      </c>
      <c r="AV102" s="671">
        <f>IF(AV$2=1,Reported!AV187,Reported!AV187-Reported!AU187)</f>
        <v/>
      </c>
      <c r="AW102" s="671">
        <f>IF(AW$2=1,Reported!AW187,Reported!AW187-Reported!AV187)</f>
        <v/>
      </c>
      <c r="AX102" s="671">
        <f>IF(AX$2=1,Reported!AX187,Reported!AX187-Reported!AW187)</f>
        <v/>
      </c>
      <c r="AY102" s="671">
        <f>IF(AY$2=1,Reported!AY187,Reported!AY187-Reported!AX187)</f>
        <v/>
      </c>
      <c r="AZ102" s="671">
        <f>IF(AZ$2=1,Reported!AZ187,Reported!AZ187-Reported!AY187)</f>
        <v/>
      </c>
      <c r="BA102" s="671">
        <f>IF(BA$2=1,Reported!BA187,Reported!BA187-Reported!AZ187)</f>
        <v/>
      </c>
      <c r="BB102" s="671">
        <f>IF(BB$2=1,Reported!BB187,Reported!BB187-Reported!BA187)</f>
        <v/>
      </c>
      <c r="BC102" s="671">
        <f>IF(BC$2=1,Reported!BC187,Reported!BC187-Reported!BB187)</f>
        <v/>
      </c>
      <c r="BD102" s="671">
        <f>IF(BD$2=1,Reported!BD187,Reported!BD187-Reported!BC187)</f>
        <v/>
      </c>
      <c r="BE102" s="671">
        <f>IF(BE$2=1,Reported!BE187,Reported!BE187-Reported!BD187)</f>
        <v/>
      </c>
      <c r="BF102" s="671">
        <f>IF(BF$2=1,Reported!BF187,Reported!BF187-Reported!BE187)</f>
        <v/>
      </c>
      <c r="BG102" s="671">
        <f>IF(BG$2=1,Reported!BG187,Reported!BG187-Reported!BF187)</f>
        <v/>
      </c>
      <c r="BH102" s="671">
        <f>IF(BH$2=1,Reported!BH187,Reported!BH187-Reported!BG187)</f>
        <v/>
      </c>
      <c r="BI102" s="671">
        <f>IF(BI$2=1,Reported!BI187,Reported!BI187-Reported!BH187)</f>
        <v/>
      </c>
      <c r="BJ102" s="671">
        <f>IF(BJ$2=1,Reported!BJ187,Reported!BJ187-Reported!BI187)</f>
        <v/>
      </c>
      <c r="BK102" s="671">
        <f>IF(BK$2=1,Reported!BK187,Reported!BK187-Reported!BJ187)</f>
        <v/>
      </c>
      <c r="BL102" s="671">
        <f>IF(BL$2=1,Reported!BL187,Reported!BL187-Reported!BK187)</f>
        <v/>
      </c>
      <c r="BM102" s="671">
        <f>IF(BM$2=1,Reported!BM187,Reported!BM187-Reported!BL187)</f>
        <v/>
      </c>
      <c r="BN102" s="671">
        <f>IF(BN$2=1,Reported!BN187,Reported!BN187-Reported!BM187)</f>
        <v/>
      </c>
      <c r="BO102" s="671">
        <f>IF(BO$2=1,Reported!BO187,Reported!BO187-Reported!BN187)</f>
        <v/>
      </c>
      <c r="BP102" s="671">
        <f>IF(BP$2=1,Reported!BP187,Reported!BP187-Reported!BO187)</f>
        <v/>
      </c>
      <c r="BQ102" s="671">
        <f>IF(BQ$2=1,Reported!BQ187,Reported!BQ187-Reported!BP187)</f>
        <v/>
      </c>
      <c r="BR102" s="671">
        <f>IF(BR$2=1,Reported!BR187,Reported!BR187-Reported!BQ187)</f>
        <v/>
      </c>
      <c r="BS102" s="519">
        <f>SUM(BS91:BS101)</f>
        <v/>
      </c>
      <c r="BT102" s="519">
        <f>SUM(BT91:BT101)</f>
        <v/>
      </c>
      <c r="BU102" s="519">
        <f>SUM(BU91:BU101)</f>
        <v/>
      </c>
      <c r="BV102" s="519">
        <f>SUM(BV91:BV101)</f>
        <v/>
      </c>
      <c r="BW102" s="519">
        <f>SUM(BW91:BW101)</f>
        <v/>
      </c>
      <c r="BX102" s="519">
        <f>SUM(BX91:BX101)</f>
        <v/>
      </c>
      <c r="BY102" s="519">
        <f>SUM(BY91:BY101)</f>
        <v/>
      </c>
      <c r="BZ102" s="519">
        <f>SUM(BZ91:BZ101)</f>
        <v/>
      </c>
      <c r="CA102" s="519">
        <f>SUM(CA91:CA101)</f>
        <v/>
      </c>
      <c r="CB102" s="519">
        <f>SUM(CB91:CB101)</f>
        <v/>
      </c>
      <c r="CC102" s="519">
        <f>SUM(CC91:CC101)</f>
        <v/>
      </c>
      <c r="CD102" s="519">
        <f>SUM(CD91:CD101)</f>
        <v/>
      </c>
      <c r="CE102" s="519">
        <f>SUM(CE91:CE101)</f>
        <v/>
      </c>
      <c r="CF102" s="519">
        <f>SUM(CF91:CF101)</f>
        <v/>
      </c>
      <c r="CG102" s="519">
        <f>SUM(CG91:CG101)</f>
        <v/>
      </c>
      <c r="CH102" s="519">
        <f>SUM(CH91:CH101)</f>
        <v/>
      </c>
      <c r="CI102" s="519">
        <f>SUM(CI91:CI101)</f>
        <v/>
      </c>
      <c r="CJ102" s="519">
        <f>SUM(CJ91:CJ101)</f>
        <v/>
      </c>
      <c r="CK102" s="519">
        <f>SUM(CK91:CK101)</f>
        <v/>
      </c>
    </row>
    <row r="103">
      <c r="B103" s="145" t="n"/>
      <c r="C103" s="145" t="n"/>
      <c r="D103" s="145" t="n"/>
      <c r="E103" s="145" t="n"/>
      <c r="F103" s="145" t="n"/>
      <c r="G103" s="145" t="n"/>
      <c r="H103" s="145" t="n"/>
      <c r="I103" s="145" t="n"/>
      <c r="J103" s="145" t="n"/>
      <c r="K103" s="145" t="n"/>
      <c r="L103" s="145" t="n"/>
      <c r="M103" s="145" t="n"/>
      <c r="N103" s="509" t="n"/>
      <c r="O103" s="509" t="n"/>
      <c r="P103" s="509" t="n"/>
      <c r="Q103" s="509" t="n"/>
      <c r="R103" s="509" t="n"/>
      <c r="S103" s="509" t="n"/>
      <c r="T103" s="509" t="n"/>
      <c r="U103" s="509" t="n"/>
      <c r="V103" s="509" t="n"/>
      <c r="W103" s="509" t="n"/>
      <c r="X103" s="509" t="n"/>
      <c r="Y103" s="509" t="n"/>
      <c r="Z103" s="509" t="n"/>
      <c r="AA103" s="509" t="n"/>
      <c r="AB103" s="509" t="n"/>
      <c r="AC103" s="509" t="n"/>
      <c r="AD103" s="509" t="n"/>
      <c r="AE103" s="509" t="n"/>
      <c r="AF103" s="509" t="n"/>
      <c r="AG103" s="509" t="n"/>
      <c r="AH103" s="509" t="n"/>
      <c r="AI103" s="509" t="n"/>
      <c r="AJ103" s="509" t="n"/>
      <c r="AK103" s="509" t="n"/>
      <c r="AL103" s="509" t="n"/>
      <c r="AM103" s="509" t="n"/>
      <c r="AN103" s="509" t="n"/>
      <c r="AO103" s="509" t="n"/>
      <c r="AP103" s="509" t="n"/>
      <c r="AQ103" s="509" t="n"/>
      <c r="AR103" s="509" t="n"/>
      <c r="AS103" s="509" t="n"/>
      <c r="AT103" s="509" t="n"/>
      <c r="AU103" s="509" t="n"/>
      <c r="AV103" s="509" t="n"/>
      <c r="AW103" s="509" t="n"/>
      <c r="AX103" s="509" t="n"/>
      <c r="AY103" s="509" t="n"/>
      <c r="AZ103" s="509" t="n"/>
      <c r="BA103" s="509" t="n"/>
      <c r="BB103" s="509" t="n"/>
      <c r="BC103" s="509" t="n"/>
      <c r="BD103" s="509" t="n"/>
      <c r="BE103" s="509" t="n"/>
      <c r="BF103" s="509" t="n"/>
      <c r="BG103" s="509" t="n"/>
      <c r="BH103" s="509" t="n"/>
      <c r="BI103" s="509" t="n"/>
      <c r="BJ103" s="509" t="n"/>
      <c r="BK103" s="509" t="n"/>
      <c r="BL103" s="509" t="n"/>
      <c r="BM103" s="509" t="n"/>
      <c r="BN103" s="509" t="n"/>
      <c r="BO103" s="509" t="n"/>
      <c r="BP103" s="509" t="n"/>
      <c r="BQ103" s="509" t="n"/>
      <c r="BR103" s="509" t="n"/>
    </row>
    <row r="104">
      <c r="A104" s="22" t="inlineStr">
        <is>
          <t>CASH FLOWS FROM INVESTING ACTIVITIES:</t>
        </is>
      </c>
      <c r="B104" s="145" t="n"/>
      <c r="C104" s="145" t="n"/>
      <c r="D104" s="145" t="n"/>
      <c r="E104" s="145" t="n"/>
      <c r="F104" s="145" t="n"/>
      <c r="G104" s="145" t="n"/>
      <c r="H104" s="145" t="n"/>
      <c r="I104" s="145" t="n"/>
      <c r="J104" s="145" t="n"/>
      <c r="K104" s="145" t="n"/>
      <c r="L104" s="145" t="n"/>
      <c r="M104" s="145" t="n"/>
      <c r="N104" s="509" t="n"/>
      <c r="O104" s="509" t="n"/>
      <c r="P104" s="509" t="n"/>
      <c r="Q104" s="509" t="n"/>
      <c r="R104" s="509" t="n"/>
      <c r="S104" s="509" t="n"/>
      <c r="T104" s="509" t="n"/>
      <c r="U104" s="509" t="n"/>
      <c r="V104" s="509" t="n"/>
      <c r="W104" s="509" t="n"/>
      <c r="X104" s="509" t="n"/>
      <c r="Y104" s="509" t="n"/>
      <c r="Z104" s="509" t="n"/>
      <c r="AA104" s="509" t="n"/>
      <c r="AB104" s="509" t="n"/>
      <c r="AC104" s="509" t="n"/>
      <c r="AD104" s="509" t="n"/>
      <c r="AE104" s="509" t="n"/>
      <c r="AF104" s="509" t="n"/>
      <c r="AG104" s="509" t="n"/>
      <c r="AH104" s="509" t="n"/>
      <c r="AI104" s="509" t="n"/>
      <c r="AJ104" s="509" t="n"/>
      <c r="AK104" s="509" t="n"/>
      <c r="AL104" s="509" t="n"/>
      <c r="AM104" s="509" t="n"/>
      <c r="AN104" s="509" t="n"/>
      <c r="AO104" s="509" t="n"/>
      <c r="AP104" s="509" t="n"/>
      <c r="AQ104" s="509" t="n"/>
      <c r="AR104" s="509" t="n"/>
      <c r="AS104" s="509" t="n"/>
      <c r="AT104" s="509" t="n"/>
      <c r="AU104" s="509" t="n"/>
      <c r="AV104" s="509" t="n"/>
      <c r="AW104" s="509" t="n"/>
      <c r="AX104" s="509" t="n"/>
      <c r="AY104" s="509" t="n"/>
      <c r="AZ104" s="509" t="n"/>
      <c r="BA104" s="509" t="n"/>
      <c r="BB104" s="509" t="n"/>
      <c r="BC104" s="509" t="n"/>
      <c r="BD104" s="509" t="n"/>
      <c r="BE104" s="509" t="n"/>
      <c r="BF104" s="509" t="n"/>
      <c r="BG104" s="509" t="n"/>
      <c r="BH104" s="509" t="n"/>
      <c r="BI104" s="509" t="n"/>
      <c r="BJ104" s="509" t="n"/>
      <c r="BK104" s="509" t="n"/>
      <c r="BL104" s="509" t="n"/>
      <c r="BM104" s="509" t="n"/>
      <c r="BN104" s="509" t="n"/>
      <c r="BO104" s="509" t="n"/>
      <c r="BP104" s="509" t="n"/>
      <c r="BQ104" s="509" t="n"/>
      <c r="BR104" s="509" t="n"/>
    </row>
    <row r="105">
      <c r="A105" s="74" t="inlineStr">
        <is>
          <t>Proceeds from (Purchases of) PP&amp;E and intangible assets, net</t>
        </is>
      </c>
      <c r="B105" s="145" t="n"/>
      <c r="C105" s="145" t="n"/>
      <c r="D105" s="145" t="n"/>
      <c r="E105" s="145" t="n"/>
      <c r="F105" s="145" t="n"/>
      <c r="G105" s="145" t="n"/>
      <c r="H105" s="145" t="n"/>
      <c r="I105" s="145" t="n"/>
      <c r="J105" s="145" t="n"/>
      <c r="K105" s="145" t="n"/>
      <c r="L105" s="145" t="n"/>
      <c r="M105" s="145" t="n"/>
      <c r="N105" s="143">
        <f>IF(N$2=1,SUM(Reported!N190:N192),SUM(Reported!N190:N192)-SUM(Reported!M190:M192))</f>
        <v/>
      </c>
      <c r="O105" s="143">
        <f>IF(O$2=1,SUM(Reported!O190:O192),SUM(Reported!O190:O192)-SUM(Reported!N190:N192))</f>
        <v/>
      </c>
      <c r="P105" s="143">
        <f>IF(P$2=1,SUM(Reported!P190:P192),SUM(Reported!P190:P192)-SUM(Reported!O190:O192))</f>
        <v/>
      </c>
      <c r="Q105" s="143">
        <f>IF(Q$2=1,SUM(Reported!Q190:Q192),SUM(Reported!Q190:Q192)-SUM(Reported!P190:P192))</f>
        <v/>
      </c>
      <c r="R105" s="143">
        <f>IF(R$2=1,SUM(Reported!R190:R192),SUM(Reported!R190:R192)-SUM(Reported!Q190:Q192))</f>
        <v/>
      </c>
      <c r="S105" s="143">
        <f>IF(S$2=1,SUM(Reported!S190:S192),SUM(Reported!S190:S192)-SUM(Reported!R190:R192))</f>
        <v/>
      </c>
      <c r="T105" s="143">
        <f>IF(T$2=1,SUM(Reported!T190:T192),SUM(Reported!T190:T192)-SUM(Reported!S190:S192))</f>
        <v/>
      </c>
      <c r="U105" s="143">
        <f>IF(U$2=1,SUM(Reported!U190:U192),SUM(Reported!U190:U192)-SUM(Reported!T190:T192))</f>
        <v/>
      </c>
      <c r="V105" s="143">
        <f>IF(V$2=1,SUM(Reported!V190:V192),SUM(Reported!V190:V192)-SUM(Reported!U190:U192))</f>
        <v/>
      </c>
      <c r="W105" s="143">
        <f>IF(W$2=1,SUM(Reported!W190:W192),SUM(Reported!W190:W192)-SUM(Reported!V190:V192))</f>
        <v/>
      </c>
      <c r="X105" s="143">
        <f>IF(X$2=1,SUM(Reported!X190:X192),SUM(Reported!X190:X192)-SUM(Reported!W190:W192))</f>
        <v/>
      </c>
      <c r="Y105" s="143">
        <f>IF(Y$2=1,SUM(Reported!Y190:Y192),SUM(Reported!Y190:Y192)-SUM(Reported!X190:X192))</f>
        <v/>
      </c>
      <c r="Z105" s="143">
        <f>IF(Z$2=1,SUM(Reported!Z190:Z192),SUM(Reported!Z190:Z192)-SUM(Reported!Y190:Y192))</f>
        <v/>
      </c>
      <c r="AA105" s="143">
        <f>IF(AA$2=1,SUM(Reported!AA190:AA192),SUM(Reported!AA190:AA192)-SUM(Reported!Z190:Z192))</f>
        <v/>
      </c>
      <c r="AB105" s="143">
        <f>IF(AB$2=1,SUM(Reported!AB190:AB192),SUM(Reported!AB190:AB192)-SUM(Reported!AA190:AA192))</f>
        <v/>
      </c>
      <c r="AC105" s="143">
        <f>IF(AC$2=1,SUM(Reported!AC190:AC192),SUM(Reported!AC190:AC192)-SUM(Reported!AB190:AB192))</f>
        <v/>
      </c>
      <c r="AD105" s="143">
        <f>IF(AD$2=1,SUM(Reported!AD190:AD192),SUM(Reported!AD190:AD192)-SUM(Reported!AC190:AC192))</f>
        <v/>
      </c>
      <c r="AE105" s="143">
        <f>IF(AE$2=1,SUM(Reported!AE190:AE192),SUM(Reported!AE190:AE192)-SUM(Reported!AD190:AD192))</f>
        <v/>
      </c>
      <c r="AF105" s="143">
        <f>IF(AF$2=1,SUM(Reported!AF190:AF192),SUM(Reported!AF190:AF192)-SUM(Reported!AE190:AE192))</f>
        <v/>
      </c>
      <c r="AG105" s="143">
        <f>IF(AG$2=1,SUM(Reported!AG190:AG192),SUM(Reported!AG190:AG192)-SUM(Reported!AF190:AF192))</f>
        <v/>
      </c>
      <c r="AH105" s="143">
        <f>IF(AH$2=1,SUM(Reported!AH190:AH192),SUM(Reported!AH190:AH192)-SUM(Reported!AG190:AG192))</f>
        <v/>
      </c>
      <c r="AI105" s="143">
        <f>IF(AI$2=1,SUM(Reported!AI190:AI192),SUM(Reported!AI190:AI192)-SUM(Reported!AH190:AH192))</f>
        <v/>
      </c>
      <c r="AJ105" s="143">
        <f>IF(AJ$2=1,SUM(Reported!AJ190:AJ192),SUM(Reported!AJ190:AJ192)-SUM(Reported!AI190:AI192))</f>
        <v/>
      </c>
      <c r="AK105" s="143">
        <f>IF(AK$2=1,SUM(Reported!AK190:AK192),SUM(Reported!AK190:AK192)-SUM(Reported!AJ190:AJ192))</f>
        <v/>
      </c>
      <c r="AL105" s="143">
        <f>IF(AL$2=1,SUM(Reported!AL190:AL192),SUM(Reported!AL190:AL192)-SUM(Reported!AK190:AK192))</f>
        <v/>
      </c>
      <c r="AM105" s="143">
        <f>IF(AM$2=1,SUM(Reported!AM190:AM192),SUM(Reported!AM190:AM192)-SUM(Reported!AL190:AL192))</f>
        <v/>
      </c>
      <c r="AN105" s="143">
        <f>IF(AN$2=1,SUM(Reported!AN190:AN192),SUM(Reported!AN190:AN192)-SUM(Reported!AM190:AM192))</f>
        <v/>
      </c>
      <c r="AO105" s="143">
        <f>IF(AO$2=1,SUM(Reported!AO190:AO192),SUM(Reported!AO190:AO192)-SUM(Reported!AN190:AN192))</f>
        <v/>
      </c>
      <c r="AP105" s="143">
        <f>IF(AP$2=1,SUM(Reported!AP190:AP192),SUM(Reported!AP190:AP192)-SUM(Reported!AO190:AO192))</f>
        <v/>
      </c>
      <c r="AQ105" s="143">
        <f>IF(AQ$2=1,SUM(Reported!AQ190:AQ192),SUM(Reported!AQ190:AQ192)-SUM(Reported!AP190:AP192))</f>
        <v/>
      </c>
      <c r="AR105" s="143">
        <f>IF(AR$2=1,SUM(Reported!AR190:AR192),SUM(Reported!AR190:AR192)-SUM(Reported!AQ190:AQ192))</f>
        <v/>
      </c>
      <c r="AS105" s="143">
        <f>IF(AS$2=1,SUM(Reported!AS190:AS192),SUM(Reported!AS190:AS192)-SUM(Reported!AR190:AR192))</f>
        <v/>
      </c>
      <c r="AT105" s="143">
        <f>IF(AT$2=1,SUM(Reported!AT190:AT192),SUM(Reported!AT190:AT192)-SUM(Reported!AS190:AS192))</f>
        <v/>
      </c>
      <c r="AU105" s="143">
        <f>IF(AU$2=1,SUM(Reported!AU190:AU192),SUM(Reported!AU190:AU192)-SUM(Reported!AT190:AT192))</f>
        <v/>
      </c>
      <c r="AV105" s="143">
        <f>IF(AV$2=1,SUM(Reported!AV190:AV192),SUM(Reported!AV190:AV192)-SUM(Reported!AU190:AU192))</f>
        <v/>
      </c>
      <c r="AW105" s="143">
        <f>IF(AW$2=1,SUM(Reported!AW190:AW192),SUM(Reported!AW190:AW192)-SUM(Reported!AV190:AV192))</f>
        <v/>
      </c>
      <c r="AX105" s="143">
        <f>IF(AX$2=1,SUM(Reported!AX190:AX192),SUM(Reported!AX190:AX192)-SUM(Reported!AW190:AW192))</f>
        <v/>
      </c>
      <c r="AY105" s="143">
        <f>IF(AY$2=1,SUM(Reported!AY190:AY192),SUM(Reported!AY190:AY192)-SUM(Reported!AX190:AX192))</f>
        <v/>
      </c>
      <c r="AZ105" s="143">
        <f>IF(AZ$2=1,SUM(Reported!AZ190:AZ192),SUM(Reported!AZ190:AZ192)-SUM(Reported!AY190:AY192))</f>
        <v/>
      </c>
      <c r="BA105" s="143">
        <f>IF(BA$2=1,SUM(Reported!BA190:BA192),SUM(Reported!BA190:BA192)-SUM(Reported!AZ190:AZ192))</f>
        <v/>
      </c>
      <c r="BB105" s="143">
        <f>IF(BB$2=1,SUM(Reported!BB190:BB192),SUM(Reported!BB190:BB192)-SUM(Reported!BA190:BA192))</f>
        <v/>
      </c>
      <c r="BC105" s="143">
        <f>IF(BC$2=1,SUM(Reported!BC190:BC192),SUM(Reported!BC190:BC192)-SUM(Reported!BB190:BB192))</f>
        <v/>
      </c>
      <c r="BD105" s="143">
        <f>IF(BD$2=1,SUM(Reported!BD190:BD192),SUM(Reported!BD190:BD192)-SUM(Reported!BC190:BC192))</f>
        <v/>
      </c>
      <c r="BE105" s="143">
        <f>IF(BE$2=1,SUM(Reported!BE190:BE192),SUM(Reported!BE190:BE192)-SUM(Reported!BD190:BD192))</f>
        <v/>
      </c>
      <c r="BF105" s="143">
        <f>IF(BF$2=1,SUM(Reported!BF190:BF192),SUM(Reported!BF190:BF192)-SUM(Reported!BE190:BE192))</f>
        <v/>
      </c>
      <c r="BG105" s="143">
        <f>IF(BG$2=1,SUM(Reported!BG190:BG192),SUM(Reported!BG190:BG192)-SUM(Reported!BF190:BF192))</f>
        <v/>
      </c>
      <c r="BH105" s="143">
        <f>IF(BH$2=1,SUM(Reported!BH190:BH192),SUM(Reported!BH190:BH192)-SUM(Reported!BG190:BG192))</f>
        <v/>
      </c>
      <c r="BI105" s="143">
        <f>IF(BI$2=1,SUM(Reported!BI190:BI192),SUM(Reported!BI190:BI192)-SUM(Reported!BH190:BH192))</f>
        <v/>
      </c>
      <c r="BJ105" s="143">
        <f>IF(BJ$2=1,SUM(Reported!BJ190:BJ192),SUM(Reported!BJ190:BJ192)-SUM(Reported!BI190:BI192))</f>
        <v/>
      </c>
      <c r="BK105" s="143">
        <f>IF(BK$2=1,SUM(Reported!BK190:BK192),SUM(Reported!BK190:BK192)-SUM(Reported!BJ190:BJ192))</f>
        <v/>
      </c>
      <c r="BL105" s="143">
        <f>IF(BL$2=1,SUM(Reported!BL190:BL192),SUM(Reported!BL190:BL192)-SUM(Reported!BK190:BK192))</f>
        <v/>
      </c>
      <c r="BM105" s="143">
        <f>IF(BM$2=1,SUM(Reported!BM190:BM192),SUM(Reported!BM190:BM192)-SUM(Reported!BL190:BL192))</f>
        <v/>
      </c>
      <c r="BN105" s="143">
        <f>IF(BN$2=1,SUM(Reported!BN190:BN192),SUM(Reported!BN190:BN192)-SUM(Reported!BM190:BM192))</f>
        <v/>
      </c>
      <c r="BO105" s="143">
        <f>IF(BO$2=1,SUM(Reported!BO190:BO192),SUM(Reported!BO190:BO192)-SUM(Reported!BN190:BN192))</f>
        <v/>
      </c>
      <c r="BP105" s="143">
        <f>IF(BP$2=1,SUM(Reported!BP190:BP192),SUM(Reported!BP190:BP192)-SUM(Reported!BO190:BO192))</f>
        <v/>
      </c>
      <c r="BQ105" s="143">
        <f>IF(BQ$2=1,SUM(Reported!BQ190:BQ192),SUM(Reported!BQ190:BQ192)-SUM(Reported!BP190:BP192))</f>
        <v/>
      </c>
      <c r="BR105" s="143">
        <f>IF(BR$2=1,SUM(Reported!BR190:BR192),SUM(Reported!BR190:BR192)-SUM(Reported!BQ190:BQ192))</f>
        <v/>
      </c>
      <c r="BS105" s="517">
        <f>-Assumption!BS187</f>
        <v/>
      </c>
      <c r="BT105" s="517">
        <f>-Assumption!BT187</f>
        <v/>
      </c>
      <c r="BU105" s="517">
        <f>-Assumption!BU187</f>
        <v/>
      </c>
      <c r="BV105" s="517">
        <f>-Assumption!BV187</f>
        <v/>
      </c>
      <c r="BW105" s="517">
        <f>-Assumption!BW187</f>
        <v/>
      </c>
      <c r="BX105" s="517">
        <f>-Assumption!BX187</f>
        <v/>
      </c>
      <c r="BY105" s="517">
        <f>-Assumption!BY187</f>
        <v/>
      </c>
      <c r="BZ105" s="517">
        <f>-Assumption!BZ187</f>
        <v/>
      </c>
      <c r="CA105" s="517">
        <f>-Assumption!CA187</f>
        <v/>
      </c>
      <c r="CB105" s="517">
        <f>-Assumption!CB187</f>
        <v/>
      </c>
      <c r="CC105" s="517">
        <f>-Assumption!CC187</f>
        <v/>
      </c>
      <c r="CD105" s="517">
        <f>-Assumption!CD187</f>
        <v/>
      </c>
      <c r="CE105" s="517">
        <f>-Assumption!CE187</f>
        <v/>
      </c>
      <c r="CF105" s="517">
        <f>-Assumption!CF187</f>
        <v/>
      </c>
      <c r="CG105" s="517">
        <f>-Assumption!CG187</f>
        <v/>
      </c>
      <c r="CH105" s="517">
        <f>-Assumption!CH187</f>
        <v/>
      </c>
      <c r="CI105" s="517">
        <f>-Assumption!CI187</f>
        <v/>
      </c>
      <c r="CJ105" s="517">
        <f>-Assumption!CJ187</f>
        <v/>
      </c>
      <c r="CK105" s="517">
        <f>-Assumption!CK187</f>
        <v/>
      </c>
    </row>
    <row r="106">
      <c r="A106" s="74" t="inlineStr">
        <is>
          <t>Short-term investment, M&amp;A, and Others</t>
        </is>
      </c>
      <c r="B106" s="145" t="n"/>
      <c r="C106" s="145" t="n"/>
      <c r="D106" s="145" t="n"/>
      <c r="E106" s="145" t="n"/>
      <c r="F106" s="145" t="n"/>
      <c r="G106" s="145" t="n"/>
      <c r="H106" s="145" t="n"/>
      <c r="I106" s="145" t="n"/>
      <c r="J106" s="145" t="n"/>
      <c r="K106" s="145" t="n"/>
      <c r="L106" s="145" t="n"/>
      <c r="M106" s="145" t="n"/>
      <c r="N106" s="143">
        <f>IF(N$2=1,SUM(Reported!N193:N196),SUM(Reported!N193:N196)-SUM(Reported!M193:M196))</f>
        <v/>
      </c>
      <c r="O106" s="143">
        <f>IF(O$2=1,SUM(Reported!O193:O196),SUM(Reported!O193:O196)-SUM(Reported!N193:N196))</f>
        <v/>
      </c>
      <c r="P106" s="143">
        <f>IF(P$2=1,SUM(Reported!P193:P196),SUM(Reported!P193:P196)-SUM(Reported!O193:O196))</f>
        <v/>
      </c>
      <c r="Q106" s="143">
        <f>IF(Q$2=1,SUM(Reported!Q193:Q196),SUM(Reported!Q193:Q196)-SUM(Reported!P193:P196))</f>
        <v/>
      </c>
      <c r="R106" s="143">
        <f>IF(R$2=1,SUM(Reported!R193:R196),SUM(Reported!R193:R196)-SUM(Reported!Q193:Q196))</f>
        <v/>
      </c>
      <c r="S106" s="143">
        <f>IF(S$2=1,SUM(Reported!S193:S196),SUM(Reported!S193:S196)-SUM(Reported!R193:R196))</f>
        <v/>
      </c>
      <c r="T106" s="143">
        <f>IF(T$2=1,SUM(Reported!T193:T196),SUM(Reported!T193:T196)-SUM(Reported!S193:S196))</f>
        <v/>
      </c>
      <c r="U106" s="143">
        <f>IF(U$2=1,SUM(Reported!U193:U196),SUM(Reported!U193:U196)-SUM(Reported!T193:T196))</f>
        <v/>
      </c>
      <c r="V106" s="143">
        <f>IF(V$2=1,SUM(Reported!V193:V196),SUM(Reported!V193:V196)-SUM(Reported!U193:U196))</f>
        <v/>
      </c>
      <c r="W106" s="143">
        <f>IF(W$2=1,SUM(Reported!W193:W196),SUM(Reported!W193:W196)-SUM(Reported!V193:V196))</f>
        <v/>
      </c>
      <c r="X106" s="143">
        <f>IF(X$2=1,SUM(Reported!X193:X196),SUM(Reported!X193:X196)-SUM(Reported!W193:W196))</f>
        <v/>
      </c>
      <c r="Y106" s="143">
        <f>IF(Y$2=1,SUM(Reported!Y193:Y196),SUM(Reported!Y193:Y196)-SUM(Reported!X193:X196))</f>
        <v/>
      </c>
      <c r="Z106" s="143">
        <f>IF(Z$2=1,SUM(Reported!Z193:Z196),SUM(Reported!Z193:Z196)-SUM(Reported!Y193:Y196))</f>
        <v/>
      </c>
      <c r="AA106" s="143">
        <f>IF(AA$2=1,SUM(Reported!AA193:AA196),SUM(Reported!AA193:AA196)-SUM(Reported!Z193:Z196))</f>
        <v/>
      </c>
      <c r="AB106" s="143">
        <f>IF(AB$2=1,SUM(Reported!AB193:AB196),SUM(Reported!AB193:AB196)-SUM(Reported!AA193:AA196))</f>
        <v/>
      </c>
      <c r="AC106" s="143">
        <f>IF(AC$2=1,SUM(Reported!AC193:AC196),SUM(Reported!AC193:AC196)-SUM(Reported!AB193:AB196))</f>
        <v/>
      </c>
      <c r="AD106" s="143">
        <f>IF(AD$2=1,SUM(Reported!AD193:AD196),SUM(Reported!AD193:AD196)-SUM(Reported!AC193:AC196))</f>
        <v/>
      </c>
      <c r="AE106" s="143">
        <f>IF(AE$2=1,SUM(Reported!AE193:AE196),SUM(Reported!AE193:AE196)-SUM(Reported!AD193:AD196))</f>
        <v/>
      </c>
      <c r="AF106" s="143">
        <f>IF(AF$2=1,SUM(Reported!AF193:AF196),SUM(Reported!AF193:AF196)-SUM(Reported!AE193:AE196))</f>
        <v/>
      </c>
      <c r="AG106" s="143">
        <f>IF(AG$2=1,SUM(Reported!AG193:AG196),SUM(Reported!AG193:AG196)-SUM(Reported!AF193:AF196))</f>
        <v/>
      </c>
      <c r="AH106" s="143">
        <f>IF(AH$2=1,SUM(Reported!AH193:AH196),SUM(Reported!AH193:AH196)-SUM(Reported!AG193:AG196))</f>
        <v/>
      </c>
      <c r="AI106" s="143">
        <f>IF(AI$2=1,SUM(Reported!AI193:AI196),SUM(Reported!AI193:AI196)-SUM(Reported!AH193:AH196))</f>
        <v/>
      </c>
      <c r="AJ106" s="143">
        <f>IF(AJ$2=1,SUM(Reported!AJ193:AJ196),SUM(Reported!AJ193:AJ196)-SUM(Reported!AI193:AI196))</f>
        <v/>
      </c>
      <c r="AK106" s="143">
        <f>IF(AK$2=1,SUM(Reported!AK193:AK196),SUM(Reported!AK193:AK196)-SUM(Reported!AJ193:AJ196))</f>
        <v/>
      </c>
      <c r="AL106" s="143">
        <f>IF(AL$2=1,SUM(Reported!AL193:AL196),SUM(Reported!AL193:AL196)-SUM(Reported!AK193:AK196))</f>
        <v/>
      </c>
      <c r="AM106" s="143">
        <f>IF(AM$2=1,SUM(Reported!AM193:AM196),SUM(Reported!AM193:AM196)-SUM(Reported!AL193:AL196))</f>
        <v/>
      </c>
      <c r="AN106" s="143">
        <f>IF(AN$2=1,SUM(Reported!AN193:AN196),SUM(Reported!AN193:AN196)-SUM(Reported!AM193:AM196))</f>
        <v/>
      </c>
      <c r="AO106" s="143">
        <f>IF(AO$2=1,SUM(Reported!AO193:AO196),SUM(Reported!AO193:AO196)-SUM(Reported!AN193:AN196))</f>
        <v/>
      </c>
      <c r="AP106" s="143">
        <f>IF(AP$2=1,SUM(Reported!AP193:AP196),SUM(Reported!AP193:AP196)-SUM(Reported!AO193:AO196))</f>
        <v/>
      </c>
      <c r="AQ106" s="143">
        <f>IF(AQ$2=1,SUM(Reported!AQ193:AQ196),SUM(Reported!AQ193:AQ196)-SUM(Reported!AP193:AP196))</f>
        <v/>
      </c>
      <c r="AR106" s="143">
        <f>IF(AR$2=1,SUM(Reported!AR193:AR196),SUM(Reported!AR193:AR196)-SUM(Reported!AQ193:AQ196))</f>
        <v/>
      </c>
      <c r="AS106" s="143">
        <f>IF(AS$2=1,SUM(Reported!AS193:AS196),SUM(Reported!AS193:AS196)-SUM(Reported!AR193:AR196))</f>
        <v/>
      </c>
      <c r="AT106" s="143">
        <f>IF(AT$2=1,SUM(Reported!AT193:AT196),SUM(Reported!AT193:AT196)-SUM(Reported!AS193:AS196))</f>
        <v/>
      </c>
      <c r="AU106" s="143">
        <f>IF(AU$2=1,SUM(Reported!AU193:AU196),SUM(Reported!AU193:AU196)-SUM(Reported!AT193:AT196))</f>
        <v/>
      </c>
      <c r="AV106" s="143">
        <f>IF(AV$2=1,SUM(Reported!AV193:AV196),SUM(Reported!AV193:AV196)-SUM(Reported!AU193:AU196))</f>
        <v/>
      </c>
      <c r="AW106" s="143">
        <f>IF(AW$2=1,SUM(Reported!AW193:AW196),SUM(Reported!AW193:AW196)-SUM(Reported!AV193:AV196))</f>
        <v/>
      </c>
      <c r="AX106" s="143">
        <f>IF(AX$2=1,SUM(Reported!AX193:AX196),SUM(Reported!AX193:AX196)-SUM(Reported!AW193:AW196))</f>
        <v/>
      </c>
      <c r="AY106" s="143">
        <f>IF(AY$2=1,SUM(Reported!AY193:AY196),SUM(Reported!AY193:AY196)-SUM(Reported!AX193:AX196))</f>
        <v/>
      </c>
      <c r="AZ106" s="143">
        <f>IF(AZ$2=1,SUM(Reported!AZ193:AZ196),SUM(Reported!AZ193:AZ196)-SUM(Reported!AY193:AY196))</f>
        <v/>
      </c>
      <c r="BA106" s="143">
        <f>IF(BA$2=1,SUM(Reported!BA193:BA196),SUM(Reported!BA193:BA196)-SUM(Reported!AZ193:AZ196))</f>
        <v/>
      </c>
      <c r="BB106" s="143">
        <f>IF(BB$2=1,SUM(Reported!BB193:BB196),SUM(Reported!BB193:BB196)-SUM(Reported!BA193:BA196))</f>
        <v/>
      </c>
      <c r="BC106" s="143">
        <f>IF(BC$2=1,SUM(Reported!BC193:BC196),SUM(Reported!BC193:BC196)-SUM(Reported!BB193:BB196))</f>
        <v/>
      </c>
      <c r="BD106" s="143">
        <f>IF(BD$2=1,SUM(Reported!BD193:BD196),SUM(Reported!BD193:BD196)-SUM(Reported!BC193:BC196))</f>
        <v/>
      </c>
      <c r="BE106" s="143">
        <f>IF(BE$2=1,SUM(Reported!BE193:BE196),SUM(Reported!BE193:BE196)-SUM(Reported!BD193:BD196))</f>
        <v/>
      </c>
      <c r="BF106" s="143">
        <f>IF(BF$2=1,SUM(Reported!BF193:BF196),SUM(Reported!BF193:BF196)-SUM(Reported!BE193:BE196))</f>
        <v/>
      </c>
      <c r="BG106" s="143">
        <f>IF(BG$2=1,SUM(Reported!BG193:BG196),SUM(Reported!BG193:BG196)-SUM(Reported!BF193:BF196))</f>
        <v/>
      </c>
      <c r="BH106" s="143">
        <f>IF(BH$2=1,SUM(Reported!BH193:BH196),SUM(Reported!BH193:BH196)-SUM(Reported!BG193:BG196))</f>
        <v/>
      </c>
      <c r="BI106" s="143">
        <f>IF(BI$2=1,SUM(Reported!BI193:BI196),SUM(Reported!BI193:BI196)-SUM(Reported!BH193:BH196))</f>
        <v/>
      </c>
      <c r="BJ106" s="143">
        <f>IF(BJ$2=1,SUM(Reported!BJ193:BJ196),SUM(Reported!BJ193:BJ196)-SUM(Reported!BI193:BI196))</f>
        <v/>
      </c>
      <c r="BK106" s="143">
        <f>IF(BK$2=1,SUM(Reported!BK193:BK196),SUM(Reported!BK193:BK196)-SUM(Reported!BJ193:BJ196))</f>
        <v/>
      </c>
      <c r="BL106" s="143">
        <f>IF(BL$2=1,SUM(Reported!BL193:BL196),SUM(Reported!BL193:BL196)-SUM(Reported!BK193:BK196))</f>
        <v/>
      </c>
      <c r="BM106" s="143">
        <f>IF(BM$2=1,SUM(Reported!BM193:BM196),SUM(Reported!BM193:BM196)-SUM(Reported!BL193:BL196))</f>
        <v/>
      </c>
      <c r="BN106" s="143">
        <f>IF(BN$2=1,SUM(Reported!BN193:BN196),SUM(Reported!BN193:BN196)-SUM(Reported!BM193:BM196))</f>
        <v/>
      </c>
      <c r="BO106" s="143">
        <f>IF(BO$2=1,SUM(Reported!BO193:BO196),SUM(Reported!BO193:BO196)-SUM(Reported!BN193:BN196))</f>
        <v/>
      </c>
      <c r="BP106" s="143">
        <f>IF(BP$2=1,SUM(Reported!BP193:BP196),SUM(Reported!BP193:BP196)-SUM(Reported!BO193:BO196))</f>
        <v/>
      </c>
      <c r="BQ106" s="143">
        <f>IF(BQ$2=1,SUM(Reported!BQ193:BQ196),SUM(Reported!BQ193:BQ196)-SUM(Reported!BP193:BP196))</f>
        <v/>
      </c>
      <c r="BR106" s="143">
        <f>IF(BR$2=1,SUM(Reported!BR193:BR196),SUM(Reported!BR193:BR196)-SUM(Reported!BQ193:BQ196))</f>
        <v/>
      </c>
      <c r="BS106" s="517">
        <f>SUM(BR45,BR52:BR53,BR55)-SUM(BS45,BS52:BS53,BS55)+BS64-BR64</f>
        <v/>
      </c>
      <c r="BT106" s="517">
        <f>SUM(BS45,BS52:BS53,BS55)-SUM(BT45,BT52:BT53,BT55)+BT64-BS64</f>
        <v/>
      </c>
      <c r="BU106" s="517">
        <f>SUM(BT45,BT52:BT53,BT55)-SUM(BU45,BU52:BU53,BU55)+BU64-BT64</f>
        <v/>
      </c>
      <c r="BV106" s="517">
        <f>SUM(BU45,BU52:BU53,BU55)-SUM(BV45,BV52:BV53,BV55)+BV64-BU64</f>
        <v/>
      </c>
      <c r="BW106" s="517">
        <f>SUM(BV45,BV52:BV53,BV55)-SUM(BW45,BW52:BW53,BW55)+BW64-BV64</f>
        <v/>
      </c>
      <c r="BX106" s="517">
        <f>SUM(BW45,BW52:BW53,BW55)-SUM(BX45,BX52:BX53,BX55)+BX64-BW64</f>
        <v/>
      </c>
      <c r="BY106" s="517">
        <f>SUM(BX45,BX52:BX53,BX55)-SUM(BY45,BY52:BY53,BY55)+BY64-BX64</f>
        <v/>
      </c>
      <c r="BZ106" s="517">
        <f>SUM(BY45,BY52:BY53,BY55)-SUM(BZ45,BZ52:BZ53,BZ55)+BZ64-BY64</f>
        <v/>
      </c>
      <c r="CA106" s="517">
        <f>SUM(BZ45,BZ52:BZ53,BZ55)-SUM(CA45,CA52:CA53,CA55)+CA64-BZ64</f>
        <v/>
      </c>
      <c r="CB106" s="517">
        <f>SUM(CA45,CA52:CA53,CA55)-SUM(CB45,CB52:CB53,CB55)+CB64-CA64</f>
        <v/>
      </c>
      <c r="CC106" s="517">
        <f>SUM(CB45,CB52:CB53,CB55)-SUM(CC45,CC52:CC53,CC55)+CC64-CB64</f>
        <v/>
      </c>
      <c r="CD106" s="517">
        <f>SUM(CC45,CC52:CC53,CC55)-SUM(CD45,CD52:CD53,CD55)+CD64-CC64</f>
        <v/>
      </c>
      <c r="CE106" s="517">
        <f>SUM(CD45,CD52:CD53,CD55)-SUM(CE45,CE52:CE53,CE55)+CE64-CD64</f>
        <v/>
      </c>
      <c r="CF106" s="517">
        <f>SUM(CE45,CE52:CE53,CE55)-SUM(CF45,CF52:CF53,CF55)+CF64-CE64</f>
        <v/>
      </c>
      <c r="CG106" s="517">
        <f>SUM(CF45,CF52:CF53,CF55)-SUM(CG45,CG52:CG53,CG55)+CG64-CF64</f>
        <v/>
      </c>
      <c r="CH106" s="517">
        <f>SUM(CG45,CG52:CG53,CG55)-SUM(CH45,CH52:CH53,CH55)+CH64-CG64</f>
        <v/>
      </c>
      <c r="CI106" s="517">
        <f>SUM(CH45,CH52:CH53,CH55)-SUM(CI45,CI52:CI53,CI55)+CI64-CH64</f>
        <v/>
      </c>
      <c r="CJ106" s="517">
        <f>SUM(CI45,CI52:CI53,CI55)-SUM(CJ45,CJ52:CJ53,CJ55)+CJ64-CI64</f>
        <v/>
      </c>
      <c r="CK106" s="517">
        <f>SUM(CJ45,CJ52:CJ53,CJ55)-SUM(CK45,CK52:CK53,CK55)+CK64-CJ64</f>
        <v/>
      </c>
    </row>
    <row r="107" customFormat="1" s="22">
      <c r="A107" s="22" t="inlineStr">
        <is>
          <t>Net cash used in investing activities</t>
        </is>
      </c>
      <c r="B107" s="133" t="n"/>
      <c r="C107" s="133" t="n"/>
      <c r="D107" s="133" t="n"/>
      <c r="E107" s="133" t="n"/>
      <c r="F107" s="133" t="n"/>
      <c r="G107" s="133" t="n"/>
      <c r="H107" s="133" t="n"/>
      <c r="I107" s="133" t="n"/>
      <c r="J107" s="133" t="n"/>
      <c r="K107" s="133" t="n"/>
      <c r="L107" s="133" t="n"/>
      <c r="M107" s="133" t="n"/>
      <c r="N107" s="671">
        <f>IF(N$2=1,Reported!N197,Reported!N197-Reported!M197)</f>
        <v/>
      </c>
      <c r="O107" s="671">
        <f>IF(O$2=1,Reported!O197,Reported!O197-Reported!N197)</f>
        <v/>
      </c>
      <c r="P107" s="671">
        <f>IF(P$2=1,Reported!P197,Reported!P197-Reported!O197)</f>
        <v/>
      </c>
      <c r="Q107" s="671">
        <f>IF(Q$2=1,Reported!Q197,Reported!Q197-Reported!P197)</f>
        <v/>
      </c>
      <c r="R107" s="671">
        <f>IF(R$2=1,Reported!R197,Reported!R197-Reported!Q197)</f>
        <v/>
      </c>
      <c r="S107" s="671">
        <f>IF(S$2=1,Reported!S197,Reported!S197-Reported!R197)</f>
        <v/>
      </c>
      <c r="T107" s="671">
        <f>IF(T$2=1,Reported!T197,Reported!T197-Reported!S197)</f>
        <v/>
      </c>
      <c r="U107" s="671">
        <f>IF(U$2=1,Reported!U197,Reported!U197-Reported!T197)</f>
        <v/>
      </c>
      <c r="V107" s="671">
        <f>IF(V$2=1,Reported!V197,Reported!V197-Reported!U197)</f>
        <v/>
      </c>
      <c r="W107" s="671">
        <f>IF(W$2=1,Reported!W197,Reported!W197-Reported!V197)</f>
        <v/>
      </c>
      <c r="X107" s="671">
        <f>IF(X$2=1,Reported!X197,Reported!X197-Reported!W197)</f>
        <v/>
      </c>
      <c r="Y107" s="671">
        <f>IF(Y$2=1,Reported!Y197,Reported!Y197-Reported!X197)</f>
        <v/>
      </c>
      <c r="Z107" s="671">
        <f>IF(Z$2=1,Reported!Z197,Reported!Z197-Reported!Y197)</f>
        <v/>
      </c>
      <c r="AA107" s="671">
        <f>IF(AA$2=1,Reported!AA197,Reported!AA197-Reported!Z197)</f>
        <v/>
      </c>
      <c r="AB107" s="671">
        <f>IF(AB$2=1,Reported!AB197,Reported!AB197-Reported!AA197)</f>
        <v/>
      </c>
      <c r="AC107" s="671">
        <f>IF(AC$2=1,Reported!AC197,Reported!AC197-Reported!AB197)</f>
        <v/>
      </c>
      <c r="AD107" s="671">
        <f>IF(AD$2=1,Reported!AD197,Reported!AD197-Reported!AC197)</f>
        <v/>
      </c>
      <c r="AE107" s="671">
        <f>IF(AE$2=1,Reported!AE197,Reported!AE197-Reported!AD197)</f>
        <v/>
      </c>
      <c r="AF107" s="671">
        <f>IF(AF$2=1,Reported!AF197,Reported!AF197-Reported!AE197)</f>
        <v/>
      </c>
      <c r="AG107" s="671">
        <f>IF(AG$2=1,Reported!AG197,Reported!AG197-Reported!AF197)</f>
        <v/>
      </c>
      <c r="AH107" s="671">
        <f>IF(AH$2=1,Reported!AH197,Reported!AH197-Reported!AG197)</f>
        <v/>
      </c>
      <c r="AI107" s="671">
        <f>IF(AI$2=1,Reported!AI197,Reported!AI197-Reported!AH197)</f>
        <v/>
      </c>
      <c r="AJ107" s="671">
        <f>IF(AJ$2=1,Reported!AJ197,Reported!AJ197-Reported!AI197)</f>
        <v/>
      </c>
      <c r="AK107" s="671">
        <f>IF(AK$2=1,Reported!AK197,Reported!AK197-Reported!AJ197)</f>
        <v/>
      </c>
      <c r="AL107" s="671">
        <f>IF(AL$2=1,Reported!AL197,Reported!AL197-Reported!AK197)</f>
        <v/>
      </c>
      <c r="AM107" s="671">
        <f>IF(AM$2=1,Reported!AM197,Reported!AM197-Reported!AL197)</f>
        <v/>
      </c>
      <c r="AN107" s="671">
        <f>IF(AN$2=1,Reported!AN197,Reported!AN197-Reported!AM197)</f>
        <v/>
      </c>
      <c r="AO107" s="671">
        <f>IF(AO$2=1,Reported!AO197,Reported!AO197-Reported!AN197)</f>
        <v/>
      </c>
      <c r="AP107" s="671">
        <f>IF(AP$2=1,Reported!AP197,Reported!AP197-Reported!AO197)</f>
        <v/>
      </c>
      <c r="AQ107" s="671">
        <f>IF(AQ$2=1,Reported!AQ197,Reported!AQ197-Reported!AP197)</f>
        <v/>
      </c>
      <c r="AR107" s="671">
        <f>IF(AR$2=1,Reported!AR197,Reported!AR197-Reported!AQ197)</f>
        <v/>
      </c>
      <c r="AS107" s="671">
        <f>IF(AS$2=1,Reported!AS197,Reported!AS197-Reported!AR197)</f>
        <v/>
      </c>
      <c r="AT107" s="671">
        <f>IF(AT$2=1,Reported!AT197,Reported!AT197-Reported!AS197)</f>
        <v/>
      </c>
      <c r="AU107" s="671">
        <f>IF(AU$2=1,Reported!AU197,Reported!AU197-Reported!AT197)</f>
        <v/>
      </c>
      <c r="AV107" s="671">
        <f>IF(AV$2=1,Reported!AV197,Reported!AV197-Reported!AU197)</f>
        <v/>
      </c>
      <c r="AW107" s="671">
        <f>IF(AW$2=1,Reported!AW197,Reported!AW197-Reported!AV197)</f>
        <v/>
      </c>
      <c r="AX107" s="671">
        <f>IF(AX$2=1,Reported!AX197,Reported!AX197-Reported!AW197)</f>
        <v/>
      </c>
      <c r="AY107" s="671">
        <f>IF(AY$2=1,Reported!AY197,Reported!AY197-Reported!AX197)</f>
        <v/>
      </c>
      <c r="AZ107" s="671">
        <f>IF(AZ$2=1,Reported!AZ197,Reported!AZ197-Reported!AY197)</f>
        <v/>
      </c>
      <c r="BA107" s="671">
        <f>IF(BA$2=1,Reported!BA197,Reported!BA197-Reported!AZ197)</f>
        <v/>
      </c>
      <c r="BB107" s="671">
        <f>IF(BB$2=1,Reported!BB197,Reported!BB197-Reported!BA197)</f>
        <v/>
      </c>
      <c r="BC107" s="671">
        <f>IF(BC$2=1,Reported!BC197,Reported!BC197-Reported!BB197)</f>
        <v/>
      </c>
      <c r="BD107" s="671">
        <f>IF(BD$2=1,Reported!BD197,Reported!BD197-Reported!BC197)</f>
        <v/>
      </c>
      <c r="BE107" s="671">
        <f>IF(BE$2=1,Reported!BE197,Reported!BE197-Reported!BD197)</f>
        <v/>
      </c>
      <c r="BF107" s="671">
        <f>IF(BF$2=1,Reported!BF197,Reported!BF197-Reported!BE197)</f>
        <v/>
      </c>
      <c r="BG107" s="671">
        <f>IF(BG$2=1,Reported!BG197,Reported!BG197-Reported!BF197)</f>
        <v/>
      </c>
      <c r="BH107" s="671">
        <f>IF(BH$2=1,Reported!BH197,Reported!BH197-Reported!BG197)</f>
        <v/>
      </c>
      <c r="BI107" s="671">
        <f>IF(BI$2=1,Reported!BI197,Reported!BI197-Reported!BH197)</f>
        <v/>
      </c>
      <c r="BJ107" s="671">
        <f>IF(BJ$2=1,Reported!BJ197,Reported!BJ197-Reported!BI197)</f>
        <v/>
      </c>
      <c r="BK107" s="671">
        <f>IF(BK$2=1,Reported!BK197,Reported!BK197-Reported!BJ197)</f>
        <v/>
      </c>
      <c r="BL107" s="671">
        <f>IF(BL$2=1,Reported!BL197,Reported!BL197-Reported!BK197)</f>
        <v/>
      </c>
      <c r="BM107" s="671">
        <f>IF(BM$2=1,Reported!BM197,Reported!BM197-Reported!BL197)</f>
        <v/>
      </c>
      <c r="BN107" s="671">
        <f>IF(BN$2=1,Reported!BN197,Reported!BN197-Reported!BM197)</f>
        <v/>
      </c>
      <c r="BO107" s="671">
        <f>IF(BO$2=1,Reported!BO197,Reported!BO197-Reported!BN197)</f>
        <v/>
      </c>
      <c r="BP107" s="671">
        <f>IF(BP$2=1,Reported!BP197,Reported!BP197-Reported!BO197)</f>
        <v/>
      </c>
      <c r="BQ107" s="671">
        <f>IF(BQ$2=1,Reported!BQ197,Reported!BQ197-Reported!BP197)</f>
        <v/>
      </c>
      <c r="BR107" s="671">
        <f>IF(BR$2=1,Reported!BR197,Reported!BR197-Reported!BQ197)</f>
        <v/>
      </c>
      <c r="BS107" s="519">
        <f>SUM(BS105:BS106)</f>
        <v/>
      </c>
      <c r="BT107" s="519">
        <f>SUM(BT105:BT106)</f>
        <v/>
      </c>
      <c r="BU107" s="519">
        <f>SUM(BU105:BU106)</f>
        <v/>
      </c>
      <c r="BV107" s="519">
        <f>SUM(BV105:BV106)</f>
        <v/>
      </c>
      <c r="BW107" s="519">
        <f>SUM(BW105:BW106)</f>
        <v/>
      </c>
      <c r="BX107" s="519">
        <f>SUM(BX105:BX106)</f>
        <v/>
      </c>
      <c r="BY107" s="519">
        <f>SUM(BY105:BY106)</f>
        <v/>
      </c>
      <c r="BZ107" s="519">
        <f>SUM(BZ105:BZ106)</f>
        <v/>
      </c>
      <c r="CA107" s="519">
        <f>SUM(CA105:CA106)</f>
        <v/>
      </c>
      <c r="CB107" s="519">
        <f>SUM(CB105:CB106)</f>
        <v/>
      </c>
      <c r="CC107" s="519">
        <f>SUM(CC105:CC106)</f>
        <v/>
      </c>
      <c r="CD107" s="519">
        <f>SUM(CD105:CD106)</f>
        <v/>
      </c>
      <c r="CE107" s="519">
        <f>SUM(CE105:CE106)</f>
        <v/>
      </c>
      <c r="CF107" s="519">
        <f>SUM(CF105:CF106)</f>
        <v/>
      </c>
      <c r="CG107" s="519">
        <f>SUM(CG105:CG106)</f>
        <v/>
      </c>
      <c r="CH107" s="519">
        <f>SUM(CH105:CH106)</f>
        <v/>
      </c>
      <c r="CI107" s="519">
        <f>SUM(CI105:CI106)</f>
        <v/>
      </c>
      <c r="CJ107" s="519">
        <f>SUM(CJ105:CJ106)</f>
        <v/>
      </c>
      <c r="CK107" s="519">
        <f>SUM(CK105:CK106)</f>
        <v/>
      </c>
    </row>
    <row r="108">
      <c r="B108" s="145" t="n"/>
      <c r="C108" s="145" t="n"/>
      <c r="D108" s="145" t="n"/>
      <c r="E108" s="145" t="n"/>
      <c r="F108" s="145" t="n"/>
      <c r="G108" s="145" t="n"/>
      <c r="H108" s="145" t="n"/>
      <c r="I108" s="145" t="n"/>
      <c r="J108" s="145" t="n"/>
      <c r="K108" s="145" t="n"/>
      <c r="L108" s="145" t="n"/>
      <c r="M108" s="145" t="n"/>
      <c r="N108" s="509" t="n"/>
      <c r="O108" s="509" t="n"/>
      <c r="P108" s="509" t="n"/>
      <c r="Q108" s="509" t="n"/>
      <c r="R108" s="509" t="n"/>
      <c r="S108" s="509" t="n"/>
      <c r="T108" s="509" t="n"/>
      <c r="U108" s="509" t="n"/>
      <c r="V108" s="509" t="n"/>
      <c r="W108" s="509" t="n"/>
      <c r="X108" s="509" t="n"/>
      <c r="Y108" s="509" t="n"/>
      <c r="Z108" s="509" t="n"/>
      <c r="AA108" s="509" t="n"/>
      <c r="AB108" s="509" t="n"/>
      <c r="AC108" s="509" t="n"/>
      <c r="AD108" s="509" t="n"/>
      <c r="AE108" s="509" t="n"/>
      <c r="AF108" s="509" t="n"/>
      <c r="AG108" s="509" t="n"/>
      <c r="AH108" s="509" t="n"/>
      <c r="AI108" s="509" t="n"/>
      <c r="AJ108" s="509" t="n"/>
      <c r="AK108" s="509" t="n"/>
      <c r="AL108" s="509" t="n"/>
      <c r="AM108" s="509" t="n"/>
      <c r="AN108" s="509" t="n"/>
      <c r="AO108" s="509" t="n"/>
      <c r="AP108" s="509" t="n"/>
      <c r="AQ108" s="509" t="n"/>
      <c r="AR108" s="509" t="n"/>
      <c r="AS108" s="509" t="n"/>
      <c r="AT108" s="509" t="n"/>
      <c r="AU108" s="509" t="n"/>
      <c r="AV108" s="509" t="n"/>
      <c r="AW108" s="509" t="n"/>
      <c r="AX108" s="509" t="n"/>
      <c r="AY108" s="509" t="n"/>
      <c r="AZ108" s="509" t="n"/>
      <c r="BA108" s="509" t="n"/>
      <c r="BB108" s="509" t="n"/>
      <c r="BC108" s="509" t="n"/>
      <c r="BD108" s="509" t="n"/>
      <c r="BE108" s="509" t="n"/>
      <c r="BF108" s="509" t="n"/>
      <c r="BG108" s="509" t="n"/>
      <c r="BH108" s="509" t="n"/>
      <c r="BI108" s="509" t="n"/>
      <c r="BJ108" s="509" t="n"/>
      <c r="BK108" s="509" t="n"/>
      <c r="BL108" s="509" t="n"/>
      <c r="BM108" s="509" t="n"/>
      <c r="BN108" s="509" t="n"/>
      <c r="BO108" s="509" t="n"/>
      <c r="BP108" s="509" t="n"/>
      <c r="BQ108" s="509" t="n"/>
      <c r="BR108" s="509" t="n"/>
    </row>
    <row r="109">
      <c r="A109" s="22" t="inlineStr">
        <is>
          <t>CASH FLOWS FROM FINANCING ACTIVITIES:</t>
        </is>
      </c>
      <c r="B109" s="22" t="n"/>
      <c r="C109" s="22" t="n"/>
      <c r="D109" s="22" t="n"/>
      <c r="E109" s="22" t="n"/>
      <c r="F109" s="22" t="n"/>
      <c r="G109" s="22" t="n"/>
      <c r="H109" s="22" t="n"/>
      <c r="I109" s="22" t="n"/>
      <c r="J109" s="22" t="n"/>
      <c r="K109" s="22" t="n"/>
      <c r="L109" s="22" t="n"/>
      <c r="M109" s="22" t="n"/>
      <c r="N109" s="511" t="n"/>
      <c r="O109" s="511" t="n"/>
      <c r="P109" s="511" t="n"/>
      <c r="Q109" s="511" t="n"/>
      <c r="R109" s="511" t="n"/>
      <c r="S109" s="511" t="n"/>
      <c r="T109" s="511" t="n"/>
      <c r="U109" s="511" t="n"/>
      <c r="V109" s="511" t="n"/>
      <c r="W109" s="511" t="n"/>
      <c r="X109" s="511" t="n"/>
      <c r="Y109" s="511" t="n"/>
      <c r="Z109" s="511" t="n"/>
      <c r="AA109" s="511" t="n"/>
      <c r="AB109" s="511" t="n"/>
      <c r="AC109" s="511" t="n"/>
      <c r="AD109" s="511" t="n"/>
      <c r="AE109" s="511" t="n"/>
      <c r="AF109" s="511" t="n"/>
      <c r="AG109" s="511" t="n"/>
      <c r="AH109" s="511" t="n"/>
      <c r="AI109" s="511" t="n"/>
      <c r="AJ109" s="511" t="n"/>
      <c r="AK109" s="511" t="n"/>
      <c r="AL109" s="511" t="n"/>
      <c r="AM109" s="511" t="n"/>
      <c r="AN109" s="511" t="n"/>
      <c r="AO109" s="511" t="n"/>
      <c r="AP109" s="511" t="n"/>
      <c r="AQ109" s="511" t="n"/>
      <c r="AR109" s="511" t="n"/>
      <c r="AS109" s="511" t="n"/>
      <c r="AT109" s="511" t="n"/>
      <c r="AU109" s="511" t="n"/>
      <c r="AV109" s="511" t="n"/>
      <c r="AW109" s="511" t="n"/>
      <c r="AX109" s="511" t="n"/>
      <c r="AY109" s="511" t="n"/>
      <c r="AZ109" s="511" t="n"/>
      <c r="BA109" s="511" t="n"/>
      <c r="BB109" s="511" t="n"/>
      <c r="BC109" s="511" t="n"/>
      <c r="BD109" s="511" t="n"/>
      <c r="BE109" s="511" t="n"/>
      <c r="BF109" s="511" t="n"/>
      <c r="BG109" s="511" t="n"/>
      <c r="BH109" s="511" t="n"/>
      <c r="BI109" s="511" t="n"/>
      <c r="BJ109" s="511" t="n"/>
      <c r="BK109" s="511" t="n"/>
      <c r="BL109" s="511" t="n"/>
      <c r="BM109" s="511" t="n"/>
      <c r="BN109" s="511" t="n"/>
      <c r="BO109" s="511" t="n"/>
      <c r="BP109" s="511" t="n"/>
      <c r="BQ109" s="511" t="n"/>
      <c r="BR109" s="511" t="n"/>
    </row>
    <row r="110">
      <c r="A110" s="74" t="inlineStr">
        <is>
          <t>Line-of-credit facilities, net</t>
        </is>
      </c>
      <c r="B110" s="145" t="n"/>
      <c r="C110" s="145" t="n"/>
      <c r="D110" s="145" t="n"/>
      <c r="E110" s="145" t="n"/>
      <c r="F110" s="145" t="n"/>
      <c r="G110" s="145" t="n"/>
      <c r="H110" s="145" t="n"/>
      <c r="I110" s="145" t="n"/>
      <c r="J110" s="145" t="n"/>
      <c r="K110" s="145" t="n"/>
      <c r="L110" s="145" t="n"/>
      <c r="M110" s="145" t="n"/>
      <c r="N110" s="143">
        <f>IF(N$2=1,SUM(Reported!N200:N201),SUM(Reported!N200:N201)-SUM(Reported!M200:M201))</f>
        <v/>
      </c>
      <c r="O110" s="143">
        <f>IF(O$2=1,SUM(Reported!O200:O201),SUM(Reported!O200:O201)-SUM(Reported!N200:N201))</f>
        <v/>
      </c>
      <c r="P110" s="143">
        <f>IF(P$2=1,SUM(Reported!P200:P201),SUM(Reported!P200:P201)-SUM(Reported!O200:O201))</f>
        <v/>
      </c>
      <c r="Q110" s="143">
        <f>IF(Q$2=1,SUM(Reported!Q200:Q201),SUM(Reported!Q200:Q201)-SUM(Reported!P200:P201))</f>
        <v/>
      </c>
      <c r="R110" s="143">
        <f>IF(R$2=1,SUM(Reported!R200:R201),SUM(Reported!R200:R201)-SUM(Reported!Q200:Q201))</f>
        <v/>
      </c>
      <c r="S110" s="143">
        <f>IF(S$2=1,SUM(Reported!S200:S201),SUM(Reported!S200:S201)-SUM(Reported!R200:R201))</f>
        <v/>
      </c>
      <c r="T110" s="143">
        <f>IF(T$2=1,SUM(Reported!T200:T201),SUM(Reported!T200:T201)-SUM(Reported!S200:S201))</f>
        <v/>
      </c>
      <c r="U110" s="143">
        <f>IF(U$2=1,SUM(Reported!U200:U201),SUM(Reported!U200:U201)-SUM(Reported!T200:T201))</f>
        <v/>
      </c>
      <c r="V110" s="143">
        <f>IF(V$2=1,SUM(Reported!V200:V201),SUM(Reported!V200:V201)-SUM(Reported!U200:U201))</f>
        <v/>
      </c>
      <c r="W110" s="143">
        <f>IF(W$2=1,SUM(Reported!W200:W201),SUM(Reported!W200:W201)-SUM(Reported!V200:V201))</f>
        <v/>
      </c>
      <c r="X110" s="143">
        <f>IF(X$2=1,SUM(Reported!X200:X201),SUM(Reported!X200:X201)-SUM(Reported!W200:W201))</f>
        <v/>
      </c>
      <c r="Y110" s="143">
        <f>IF(Y$2=1,SUM(Reported!Y200:Y201),SUM(Reported!Y200:Y201)-SUM(Reported!X200:X201))</f>
        <v/>
      </c>
      <c r="Z110" s="143">
        <f>IF(Z$2=1,SUM(Reported!Z200:Z201),SUM(Reported!Z200:Z201)-SUM(Reported!Y200:Y201))</f>
        <v/>
      </c>
      <c r="AA110" s="143">
        <f>IF(AA$2=1,SUM(Reported!AA200:AA201),SUM(Reported!AA200:AA201)-SUM(Reported!Z200:Z201))</f>
        <v/>
      </c>
      <c r="AB110" s="143">
        <f>IF(AB$2=1,SUM(Reported!AB200:AB201),SUM(Reported!AB200:AB201)-SUM(Reported!AA200:AA201))</f>
        <v/>
      </c>
      <c r="AC110" s="143">
        <f>IF(AC$2=1,SUM(Reported!AC200:AC201),SUM(Reported!AC200:AC201)-SUM(Reported!AB200:AB201))</f>
        <v/>
      </c>
      <c r="AD110" s="143">
        <f>IF(AD$2=1,SUM(Reported!AD200:AD201),SUM(Reported!AD200:AD201)-SUM(Reported!AC200:AC201))</f>
        <v/>
      </c>
      <c r="AE110" s="143">
        <f>IF(AE$2=1,SUM(Reported!AE200:AE201),SUM(Reported!AE200:AE201)-SUM(Reported!AD200:AD201))</f>
        <v/>
      </c>
      <c r="AF110" s="143">
        <f>IF(AF$2=1,SUM(Reported!AF200:AF201),SUM(Reported!AF200:AF201)-SUM(Reported!AE200:AE201))</f>
        <v/>
      </c>
      <c r="AG110" s="143">
        <f>IF(AG$2=1,SUM(Reported!AG200:AG201),SUM(Reported!AG200:AG201)-SUM(Reported!AF200:AF201))</f>
        <v/>
      </c>
      <c r="AH110" s="143">
        <f>IF(AH$2=1,SUM(Reported!AH200:AH201),SUM(Reported!AH200:AH201)-SUM(Reported!AG200:AG201))</f>
        <v/>
      </c>
      <c r="AI110" s="143">
        <f>IF(AI$2=1,SUM(Reported!AI200:AI201),SUM(Reported!AI200:AI201)-SUM(Reported!AH200:AH201))</f>
        <v/>
      </c>
      <c r="AJ110" s="143">
        <f>IF(AJ$2=1,SUM(Reported!AJ200:AJ201),SUM(Reported!AJ200:AJ201)-SUM(Reported!AI200:AI201))</f>
        <v/>
      </c>
      <c r="AK110" s="143">
        <f>IF(AK$2=1,SUM(Reported!AK200:AK201),SUM(Reported!AK200:AK201)-SUM(Reported!AJ200:AJ201))</f>
        <v/>
      </c>
      <c r="AL110" s="143">
        <f>IF(AL$2=1,SUM(Reported!AL200:AL201),SUM(Reported!AL200:AL201)-SUM(Reported!AK200:AK201))</f>
        <v/>
      </c>
      <c r="AM110" s="143">
        <f>IF(AM$2=1,SUM(Reported!AM200:AM201),SUM(Reported!AM200:AM201)-SUM(Reported!AL200:AL201))</f>
        <v/>
      </c>
      <c r="AN110" s="143">
        <f>IF(AN$2=1,SUM(Reported!AN200:AN201),SUM(Reported!AN200:AN201)-SUM(Reported!AM200:AM201))</f>
        <v/>
      </c>
      <c r="AO110" s="143">
        <f>IF(AO$2=1,SUM(Reported!AO200:AO201),SUM(Reported!AO200:AO201)-SUM(Reported!AN200:AN201))</f>
        <v/>
      </c>
      <c r="AP110" s="143">
        <f>IF(AP$2=1,SUM(Reported!AP200:AP201),SUM(Reported!AP200:AP201)-SUM(Reported!AO200:AO201))</f>
        <v/>
      </c>
      <c r="AQ110" s="143">
        <f>IF(AQ$2=1,SUM(Reported!AQ200:AQ201),SUM(Reported!AQ200:AQ201)-SUM(Reported!AP200:AP201))</f>
        <v/>
      </c>
      <c r="AR110" s="143">
        <f>IF(AR$2=1,SUM(Reported!AR200:AR201),SUM(Reported!AR200:AR201)-SUM(Reported!AQ200:AQ201))</f>
        <v/>
      </c>
      <c r="AS110" s="143">
        <f>IF(AS$2=1,SUM(Reported!AS200:AS201),SUM(Reported!AS200:AS201)-SUM(Reported!AR200:AR201))</f>
        <v/>
      </c>
      <c r="AT110" s="143">
        <f>IF(AT$2=1,SUM(Reported!AT200:AT201),SUM(Reported!AT200:AT201)-SUM(Reported!AS200:AS201))</f>
        <v/>
      </c>
      <c r="AU110" s="143">
        <f>IF(AU$2=1,SUM(Reported!AU200:AU201),SUM(Reported!AU200:AU201)-SUM(Reported!AT200:AT201))</f>
        <v/>
      </c>
      <c r="AV110" s="143">
        <f>IF(AV$2=1,SUM(Reported!AV200:AV201),SUM(Reported!AV200:AV201)-SUM(Reported!AU200:AU201))</f>
        <v/>
      </c>
      <c r="AW110" s="143">
        <f>IF(AW$2=1,SUM(Reported!AW200:AW201),SUM(Reported!AW200:AW201)-SUM(Reported!AV200:AV201))</f>
        <v/>
      </c>
      <c r="AX110" s="143">
        <f>IF(AX$2=1,SUM(Reported!AX200:AX201),SUM(Reported!AX200:AX201)-SUM(Reported!AW200:AW201))</f>
        <v/>
      </c>
      <c r="AY110" s="143">
        <f>IF(AY$2=1,SUM(Reported!AY200:AY201),SUM(Reported!AY200:AY201)-SUM(Reported!AX200:AX201))</f>
        <v/>
      </c>
      <c r="AZ110" s="143">
        <f>IF(AZ$2=1,SUM(Reported!AZ200:AZ201),SUM(Reported!AZ200:AZ201)-SUM(Reported!AY200:AY201))</f>
        <v/>
      </c>
      <c r="BA110" s="143">
        <f>IF(BA$2=1,SUM(Reported!BA200:BA201),SUM(Reported!BA200:BA201)-SUM(Reported!AZ200:AZ201))</f>
        <v/>
      </c>
      <c r="BB110" s="143">
        <f>IF(BB$2=1,SUM(Reported!BB200:BB201),SUM(Reported!BB200:BB201)-SUM(Reported!BA200:BA201))</f>
        <v/>
      </c>
      <c r="BC110" s="143">
        <f>IF(BC$2=1,SUM(Reported!BC200:BC201),SUM(Reported!BC200:BC201)-SUM(Reported!BB200:BB201))</f>
        <v/>
      </c>
      <c r="BD110" s="143">
        <f>IF(BD$2=1,SUM(Reported!BD200:BD201),SUM(Reported!BD200:BD201)-SUM(Reported!BC200:BC201))</f>
        <v/>
      </c>
      <c r="BE110" s="143">
        <f>IF(BE$2=1,SUM(Reported!BE200:BE201),SUM(Reported!BE200:BE201)-SUM(Reported!BD200:BD201))</f>
        <v/>
      </c>
      <c r="BF110" s="143">
        <f>IF(BF$2=1,SUM(Reported!BF200:BF201),SUM(Reported!BF200:BF201)-SUM(Reported!BE200:BE201))</f>
        <v/>
      </c>
      <c r="BG110" s="143">
        <f>IF(BG$2=1,SUM(Reported!BG200:BG201),SUM(Reported!BG200:BG201)-SUM(Reported!BF200:BF201))</f>
        <v/>
      </c>
      <c r="BH110" s="143">
        <f>IF(BH$2=1,SUM(Reported!BH200:BH201),SUM(Reported!BH200:BH201)-SUM(Reported!BG200:BG201))</f>
        <v/>
      </c>
      <c r="BI110" s="143">
        <f>IF(BI$2=1,SUM(Reported!BI200:BI201),SUM(Reported!BI200:BI201)-SUM(Reported!BH200:BH201))</f>
        <v/>
      </c>
      <c r="BJ110" s="143">
        <f>IF(BJ$2=1,SUM(Reported!BJ200:BJ201),SUM(Reported!BJ200:BJ201)-SUM(Reported!BI200:BI201))</f>
        <v/>
      </c>
      <c r="BK110" s="143">
        <f>IF(BK$2=1,SUM(Reported!BK200:BK201),SUM(Reported!BK200:BK201)-SUM(Reported!BJ200:BJ201))</f>
        <v/>
      </c>
      <c r="BL110" s="143">
        <f>IF(BL$2=1,SUM(Reported!BL200:BL201),SUM(Reported!BL200:BL201)-SUM(Reported!BK200:BK201))</f>
        <v/>
      </c>
      <c r="BM110" s="143">
        <f>IF(BM$2=1,SUM(Reported!BM200:BM201),SUM(Reported!BM200:BM201)-SUM(Reported!BL200:BL201))</f>
        <v/>
      </c>
      <c r="BN110" s="143">
        <f>IF(BN$2=1,SUM(Reported!BN200:BN201),SUM(Reported!BN200:BN201)-SUM(Reported!BM200:BM201))</f>
        <v/>
      </c>
      <c r="BO110" s="143">
        <f>IF(BO$2=1,SUM(Reported!BO200:BO201),SUM(Reported!BO200:BO201)-SUM(Reported!BN200:BN201))</f>
        <v/>
      </c>
      <c r="BP110" s="143">
        <f>IF(BP$2=1,SUM(Reported!BP200:BP201),SUM(Reported!BP200:BP201)-SUM(Reported!BO200:BO201))</f>
        <v/>
      </c>
      <c r="BQ110" s="143">
        <f>IF(BQ$2=1,SUM(Reported!BQ200:BQ201),SUM(Reported!BQ200:BQ201)-SUM(Reported!BP200:BP201))</f>
        <v/>
      </c>
      <c r="BR110" s="143">
        <f>IF(BR$2=1,SUM(Reported!BR200:BR201),SUM(Reported!BR200:BR201)-SUM(Reported!BQ200:BQ201))</f>
        <v/>
      </c>
      <c r="BS110" s="458" t="n">
        <v>0</v>
      </c>
      <c r="BT110" s="458" t="n">
        <v>0</v>
      </c>
      <c r="BU110" s="458" t="n">
        <v>0</v>
      </c>
      <c r="BV110" s="458" t="n">
        <v>0</v>
      </c>
      <c r="BW110" s="458" t="n">
        <v>0</v>
      </c>
      <c r="BX110" s="458" t="n">
        <v>0</v>
      </c>
      <c r="BY110" s="458" t="n">
        <v>0</v>
      </c>
      <c r="BZ110" s="458" t="n">
        <v>0</v>
      </c>
      <c r="CA110" s="458" t="n">
        <v>0</v>
      </c>
      <c r="CB110" s="458" t="n">
        <v>0</v>
      </c>
      <c r="CC110" s="458" t="n">
        <v>0</v>
      </c>
      <c r="CD110" s="458" t="n">
        <v>0</v>
      </c>
      <c r="CE110" s="458" t="n">
        <v>0</v>
      </c>
      <c r="CF110" s="458" t="n">
        <v>0</v>
      </c>
      <c r="CG110" s="458" t="n">
        <v>0</v>
      </c>
      <c r="CH110" s="458" t="n">
        <v>0</v>
      </c>
      <c r="CI110" s="458" t="n">
        <v>0</v>
      </c>
      <c r="CJ110" s="458" t="n">
        <v>0</v>
      </c>
      <c r="CK110" s="458" t="n">
        <v>0</v>
      </c>
    </row>
    <row r="111">
      <c r="A111" s="74" t="inlineStr">
        <is>
          <t>Borrowings, net</t>
        </is>
      </c>
      <c r="B111" s="145" t="n"/>
      <c r="C111" s="145" t="n"/>
      <c r="D111" s="145" t="n"/>
      <c r="E111" s="145" t="n"/>
      <c r="F111" s="145" t="n"/>
      <c r="G111" s="145" t="n"/>
      <c r="H111" s="145" t="n"/>
      <c r="I111" s="145" t="n"/>
      <c r="J111" s="145" t="n"/>
      <c r="K111" s="145" t="n"/>
      <c r="L111" s="145" t="n"/>
      <c r="M111" s="145" t="n"/>
      <c r="N111" s="143">
        <f>IF(N$2=1,SUM(Reported!N204:N205),SUM(Reported!N204:N205)-SUM(Reported!M204:M205))</f>
        <v/>
      </c>
      <c r="O111" s="143">
        <f>IF(O$2=1,SUM(Reported!O204:O205),SUM(Reported!O204:O205)-SUM(Reported!N204:N205))</f>
        <v/>
      </c>
      <c r="P111" s="143">
        <f>IF(P$2=1,SUM(Reported!P204:P205),SUM(Reported!P204:P205)-SUM(Reported!O204:O205))</f>
        <v/>
      </c>
      <c r="Q111" s="143">
        <f>IF(Q$2=1,SUM(Reported!Q204:Q205),SUM(Reported!Q204:Q205)-SUM(Reported!P204:P205))</f>
        <v/>
      </c>
      <c r="R111" s="143">
        <f>IF(R$2=1,SUM(Reported!R204:R205),SUM(Reported!R204:R205)-SUM(Reported!Q204:Q205))</f>
        <v/>
      </c>
      <c r="S111" s="143">
        <f>IF(S$2=1,SUM(Reported!S204:S205),SUM(Reported!S204:S205)-SUM(Reported!R204:R205))</f>
        <v/>
      </c>
      <c r="T111" s="143">
        <f>IF(T$2=1,SUM(Reported!T204:T205),SUM(Reported!T204:T205)-SUM(Reported!S204:S205))</f>
        <v/>
      </c>
      <c r="U111" s="143">
        <f>IF(U$2=1,SUM(Reported!U204:U205),SUM(Reported!U204:U205)-SUM(Reported!T204:T205))</f>
        <v/>
      </c>
      <c r="V111" s="143">
        <f>IF(V$2=1,SUM(Reported!V204:V205),SUM(Reported!V204:V205)-SUM(Reported!U204:U205))</f>
        <v/>
      </c>
      <c r="W111" s="143">
        <f>IF(W$2=1,SUM(Reported!W204:W205),SUM(Reported!W204:W205)-SUM(Reported!V204:V205))</f>
        <v/>
      </c>
      <c r="X111" s="143">
        <f>IF(X$2=1,SUM(Reported!X204:X205),SUM(Reported!X204:X205)-SUM(Reported!W204:W205))</f>
        <v/>
      </c>
      <c r="Y111" s="143">
        <f>IF(Y$2=1,SUM(Reported!Y204:Y205),SUM(Reported!Y204:Y205)-SUM(Reported!X204:X205))</f>
        <v/>
      </c>
      <c r="Z111" s="143">
        <f>IF(Z$2=1,SUM(Reported!Z204:Z205),SUM(Reported!Z204:Z205)-SUM(Reported!Y204:Y205))</f>
        <v/>
      </c>
      <c r="AA111" s="143">
        <f>IF(AA$2=1,SUM(Reported!AA204:AA205),SUM(Reported!AA204:AA205)-SUM(Reported!Z204:Z205))</f>
        <v/>
      </c>
      <c r="AB111" s="143">
        <f>IF(AB$2=1,SUM(Reported!AB204:AB205),SUM(Reported!AB204:AB205)-SUM(Reported!AA204:AA205))</f>
        <v/>
      </c>
      <c r="AC111" s="143">
        <f>IF(AC$2=1,SUM(Reported!AC204:AC205),SUM(Reported!AC204:AC205)-SUM(Reported!AB204:AB205))</f>
        <v/>
      </c>
      <c r="AD111" s="143">
        <f>IF(AD$2=1,SUM(Reported!AD204:AD205),SUM(Reported!AD204:AD205)-SUM(Reported!AC204:AC205))</f>
        <v/>
      </c>
      <c r="AE111" s="143">
        <f>IF(AE$2=1,SUM(Reported!AE204:AE205),SUM(Reported!AE204:AE205)-SUM(Reported!AD204:AD205))</f>
        <v/>
      </c>
      <c r="AF111" s="143">
        <f>IF(AF$2=1,SUM(Reported!AF204:AF205),SUM(Reported!AF204:AF205)-SUM(Reported!AE204:AE205))</f>
        <v/>
      </c>
      <c r="AG111" s="143">
        <f>IF(AG$2=1,SUM(Reported!AG204:AG205),SUM(Reported!AG204:AG205)-SUM(Reported!AF204:AF205))</f>
        <v/>
      </c>
      <c r="AH111" s="143">
        <f>IF(AH$2=1,SUM(Reported!AH204:AH205),SUM(Reported!AH204:AH205)-SUM(Reported!AG204:AG205))</f>
        <v/>
      </c>
      <c r="AI111" s="143">
        <f>IF(AI$2=1,SUM(Reported!AI204:AI205),SUM(Reported!AI204:AI205)-SUM(Reported!AH204:AH205))</f>
        <v/>
      </c>
      <c r="AJ111" s="143">
        <f>IF(AJ$2=1,SUM(Reported!AJ204:AJ205),SUM(Reported!AJ204:AJ205)-SUM(Reported!AI204:AI205))</f>
        <v/>
      </c>
      <c r="AK111" s="143">
        <f>IF(AK$2=1,SUM(Reported!AK204:AK205),SUM(Reported!AK204:AK205)-SUM(Reported!AJ204:AJ205))</f>
        <v/>
      </c>
      <c r="AL111" s="143">
        <f>IF(AL$2=1,SUM(Reported!AL204:AL205),SUM(Reported!AL204:AL205)-SUM(Reported!AK204:AK205))</f>
        <v/>
      </c>
      <c r="AM111" s="143">
        <f>IF(AM$2=1,SUM(Reported!AM204:AM205),SUM(Reported!AM204:AM205)-SUM(Reported!AL204:AL205))</f>
        <v/>
      </c>
      <c r="AN111" s="143">
        <f>IF(AN$2=1,SUM(Reported!AN204:AN205),SUM(Reported!AN204:AN205)-SUM(Reported!AM204:AM205))</f>
        <v/>
      </c>
      <c r="AO111" s="143">
        <f>IF(AO$2=1,SUM(Reported!AO204:AO205),SUM(Reported!AO204:AO205)-SUM(Reported!AN204:AN205))</f>
        <v/>
      </c>
      <c r="AP111" s="143">
        <f>IF(AP$2=1,SUM(Reported!AP204:AP205),SUM(Reported!AP204:AP205)-SUM(Reported!AO204:AO205))</f>
        <v/>
      </c>
      <c r="AQ111" s="143">
        <f>IF(AQ$2=1,SUM(Reported!AQ204:AQ205),SUM(Reported!AQ204:AQ205)-SUM(Reported!AP204:AP205))</f>
        <v/>
      </c>
      <c r="AR111" s="143">
        <f>IF(AR$2=1,SUM(Reported!AR204:AR205),SUM(Reported!AR204:AR205)-SUM(Reported!AQ204:AQ205))</f>
        <v/>
      </c>
      <c r="AS111" s="143">
        <f>IF(AS$2=1,SUM(Reported!AS204:AS205),SUM(Reported!AS204:AS205)-SUM(Reported!AR204:AR205))</f>
        <v/>
      </c>
      <c r="AT111" s="143">
        <f>IF(AT$2=1,SUM(Reported!AT204:AT205),SUM(Reported!AT204:AT205)-SUM(Reported!AS204:AS205))</f>
        <v/>
      </c>
      <c r="AU111" s="143">
        <f>IF(AU$2=1,SUM(Reported!AU204:AU205),SUM(Reported!AU204:AU205)-SUM(Reported!AT204:AT205))</f>
        <v/>
      </c>
      <c r="AV111" s="143">
        <f>IF(AV$2=1,SUM(Reported!AV204:AV205),SUM(Reported!AV204:AV205)-SUM(Reported!AU204:AU205))</f>
        <v/>
      </c>
      <c r="AW111" s="143">
        <f>IF(AW$2=1,SUM(Reported!AW204:AW205),SUM(Reported!AW204:AW205)-SUM(Reported!AV204:AV205))</f>
        <v/>
      </c>
      <c r="AX111" s="143">
        <f>IF(AX$2=1,SUM(Reported!AX204:AX205),SUM(Reported!AX204:AX205)-SUM(Reported!AW204:AW205))</f>
        <v/>
      </c>
      <c r="AY111" s="143">
        <f>IF(AY$2=1,SUM(Reported!AY204:AY205),SUM(Reported!AY204:AY205)-SUM(Reported!AX204:AX205))</f>
        <v/>
      </c>
      <c r="AZ111" s="143">
        <f>IF(AZ$2=1,SUM(Reported!AZ204:AZ205),SUM(Reported!AZ204:AZ205)-SUM(Reported!AY204:AY205))</f>
        <v/>
      </c>
      <c r="BA111" s="143">
        <f>IF(BA$2=1,SUM(Reported!BA204:BA205),SUM(Reported!BA204:BA205)-SUM(Reported!AZ204:AZ205))</f>
        <v/>
      </c>
      <c r="BB111" s="143">
        <f>IF(BB$2=1,SUM(Reported!BB204:BB205),SUM(Reported!BB204:BB205)-SUM(Reported!BA204:BA205))</f>
        <v/>
      </c>
      <c r="BC111" s="143">
        <f>IF(BC$2=1,SUM(Reported!BC204:BC205),SUM(Reported!BC204:BC205)-SUM(Reported!BB204:BB205))</f>
        <v/>
      </c>
      <c r="BD111" s="143">
        <f>IF(BD$2=1,SUM(Reported!BD204:BD205),SUM(Reported!BD204:BD205)-SUM(Reported!BC204:BC205))</f>
        <v/>
      </c>
      <c r="BE111" s="143">
        <f>IF(BE$2=1,SUM(Reported!BE204:BE205),SUM(Reported!BE204:BE205)-SUM(Reported!BD204:BD205))</f>
        <v/>
      </c>
      <c r="BF111" s="143">
        <f>IF(BF$2=1,SUM(Reported!BF204:BF205),SUM(Reported!BF204:BF205)-SUM(Reported!BE204:BE205))</f>
        <v/>
      </c>
      <c r="BG111" s="143">
        <f>IF(BG$2=1,SUM(Reported!BG204:BG205),SUM(Reported!BG204:BG205)-SUM(Reported!BF204:BF205))</f>
        <v/>
      </c>
      <c r="BH111" s="143">
        <f>IF(BH$2=1,SUM(Reported!BH204:BH205),SUM(Reported!BH204:BH205)-SUM(Reported!BG204:BG205))</f>
        <v/>
      </c>
      <c r="BI111" s="143">
        <f>IF(BI$2=1,SUM(Reported!BI204:BI205),SUM(Reported!BI204:BI205)-SUM(Reported!BH204:BH205))</f>
        <v/>
      </c>
      <c r="BJ111" s="143">
        <f>IF(BJ$2=1,SUM(Reported!BJ204:BJ205),SUM(Reported!BJ204:BJ205)-SUM(Reported!BI204:BI205))</f>
        <v/>
      </c>
      <c r="BK111" s="143">
        <f>IF(BK$2=1,SUM(Reported!BK204:BK205),SUM(Reported!BK204:BK205)-SUM(Reported!BJ204:BJ205))</f>
        <v/>
      </c>
      <c r="BL111" s="143">
        <f>IF(BL$2=1,SUM(Reported!BL204:BL205),SUM(Reported!BL204:BL205)-SUM(Reported!BK204:BK205))</f>
        <v/>
      </c>
      <c r="BM111" s="143">
        <f>IF(BM$2=1,SUM(Reported!BM204:BM205),SUM(Reported!BM204:BM205)-SUM(Reported!BL204:BL205))</f>
        <v/>
      </c>
      <c r="BN111" s="143">
        <f>IF(BN$2=1,SUM(Reported!BN204:BN205),SUM(Reported!BN204:BN205)-SUM(Reported!BM204:BM205))</f>
        <v/>
      </c>
      <c r="BO111" s="143">
        <f>IF(BO$2=1,SUM(Reported!BO204:BO205),SUM(Reported!BO204:BO205)-SUM(Reported!BN204:BN205))</f>
        <v/>
      </c>
      <c r="BP111" s="143">
        <f>IF(BP$2=1,SUM(Reported!BP204:BP205),SUM(Reported!BP204:BP205)-SUM(Reported!BO204:BO205))</f>
        <v/>
      </c>
      <c r="BQ111" s="143">
        <f>IF(BQ$2=1,SUM(Reported!BQ204:BQ205),SUM(Reported!BQ204:BQ205)-SUM(Reported!BP204:BP205))</f>
        <v/>
      </c>
      <c r="BR111" s="143">
        <f>IF(BR$2=1,SUM(Reported!BR204:BR205),SUM(Reported!BR204:BR205)-SUM(Reported!BQ204:BQ205))</f>
        <v/>
      </c>
      <c r="BS111" s="517">
        <f>SUM(BS58,BS65)-SUM(BR58,BR65)</f>
        <v/>
      </c>
      <c r="BT111" s="517">
        <f>SUM(BT58,BT65)-SUM(BS58,BS65)</f>
        <v/>
      </c>
      <c r="BU111" s="517">
        <f>SUM(BU58,BU65)-SUM(BT58,BT65)</f>
        <v/>
      </c>
      <c r="BV111" s="517">
        <f>SUM(BV58,BV65)-SUM(BU58,BU65)</f>
        <v/>
      </c>
      <c r="BW111" s="517">
        <f>SUM(BW58,BW65)-SUM(BV58,BV65)</f>
        <v/>
      </c>
      <c r="BX111" s="517">
        <f>SUM(BX58,BX65)-SUM(BW58,BW65)</f>
        <v/>
      </c>
      <c r="BY111" s="517">
        <f>SUM(BY58,BY65)-SUM(BX58,BX65)</f>
        <v/>
      </c>
      <c r="BZ111" s="517">
        <f>SUM(BZ58,BZ65)-SUM(BY58,BY65)</f>
        <v/>
      </c>
      <c r="CA111" s="517">
        <f>SUM(CA58,CA65)-SUM(BZ58,BZ65)</f>
        <v/>
      </c>
      <c r="CB111" s="517">
        <f>SUM(CB58,CB65)-SUM(CA58,CA65)</f>
        <v/>
      </c>
      <c r="CC111" s="517">
        <f>SUM(CC58,CC65)-SUM(CB58,CB65)</f>
        <v/>
      </c>
      <c r="CD111" s="517">
        <f>SUM(CD58,CD65)-SUM(CC58,CC65)</f>
        <v/>
      </c>
      <c r="CE111" s="517">
        <f>SUM(CE58,CE65)-SUM(CD58,CD65)</f>
        <v/>
      </c>
      <c r="CF111" s="517">
        <f>SUM(CF58,CF65)-SUM(CE58,CE65)</f>
        <v/>
      </c>
      <c r="CG111" s="517">
        <f>SUM(CG58,CG65)-SUM(CF58,CF65)</f>
        <v/>
      </c>
      <c r="CH111" s="517">
        <f>SUM(CH58,CH65)-SUM(CG58,CG65)</f>
        <v/>
      </c>
      <c r="CI111" s="517">
        <f>SUM(CI58,CI65)-SUM(CH58,CH65)</f>
        <v/>
      </c>
      <c r="CJ111" s="517">
        <f>SUM(CJ58,CJ65)-SUM(CI58,CI65)</f>
        <v/>
      </c>
      <c r="CK111" s="517">
        <f>SUM(CK58,CK65)-SUM(CJ58,CJ65)</f>
        <v/>
      </c>
    </row>
    <row r="112">
      <c r="A112" s="74" t="inlineStr">
        <is>
          <t>Equity-related financing, net</t>
        </is>
      </c>
      <c r="B112" s="145" t="n"/>
      <c r="C112" s="145" t="n"/>
      <c r="D112" s="145" t="n"/>
      <c r="E112" s="145" t="n"/>
      <c r="F112" s="145" t="n"/>
      <c r="G112" s="145" t="n"/>
      <c r="H112" s="145" t="n"/>
      <c r="I112" s="145" t="n"/>
      <c r="J112" s="145" t="n"/>
      <c r="K112" s="145" t="n"/>
      <c r="L112" s="145" t="n"/>
      <c r="M112" s="145" t="n"/>
      <c r="N112" s="143">
        <f>IF(N$2=1,SUM(Reported!N202:N203,Reported!N206:N211),SUM(Reported!N202:N203,Reported!N206:N211)-SUM(Reported!M202:M203,Reported!M206:M211))</f>
        <v/>
      </c>
      <c r="O112" s="143">
        <f>IF(O$2=1,SUM(Reported!O202:O203,Reported!O206:O211),SUM(Reported!O202:O203,Reported!O206:O211)-SUM(Reported!N202:N203,Reported!N206:N211))</f>
        <v/>
      </c>
      <c r="P112" s="143">
        <f>IF(P$2=1,SUM(Reported!P202:P203,Reported!P206:P211),SUM(Reported!P202:P203,Reported!P206:P211)-SUM(Reported!O202:O203,Reported!O206:O211))</f>
        <v/>
      </c>
      <c r="Q112" s="143">
        <f>IF(Q$2=1,SUM(Reported!Q202:Q203,Reported!Q206:Q211),SUM(Reported!Q202:Q203,Reported!Q206:Q211)-SUM(Reported!P202:P203,Reported!P206:P211))</f>
        <v/>
      </c>
      <c r="R112" s="143">
        <f>IF(R$2=1,SUM(Reported!R202:R203,Reported!R206:R211),SUM(Reported!R202:R203,Reported!R206:R211)-SUM(Reported!Q202:Q203,Reported!Q206:Q211))</f>
        <v/>
      </c>
      <c r="S112" s="143">
        <f>IF(S$2=1,SUM(Reported!S202:S203,Reported!S206:S211),SUM(Reported!S202:S203,Reported!S206:S211)-SUM(Reported!R202:R203,Reported!R206:R211))</f>
        <v/>
      </c>
      <c r="T112" s="143">
        <f>IF(T$2=1,SUM(Reported!T202:T203,Reported!T206:T211),SUM(Reported!T202:T203,Reported!T206:T211)-SUM(Reported!S202:S203,Reported!S206:S211))</f>
        <v/>
      </c>
      <c r="U112" s="143">
        <f>IF(U$2=1,SUM(Reported!U202:U203,Reported!U206:U211),SUM(Reported!U202:U203,Reported!U206:U211)-SUM(Reported!T202:T203,Reported!T206:T211))</f>
        <v/>
      </c>
      <c r="V112" s="143">
        <f>IF(V$2=1,SUM(Reported!V202:V203,Reported!V206:V211),SUM(Reported!V202:V203,Reported!V206:V211)-SUM(Reported!U202:U203,Reported!U206:U211))</f>
        <v/>
      </c>
      <c r="W112" s="143">
        <f>IF(W$2=1,SUM(Reported!W202:W203,Reported!W206:W211),SUM(Reported!W202:W203,Reported!W206:W211)-SUM(Reported!V202:V203,Reported!V206:V211))</f>
        <v/>
      </c>
      <c r="X112" s="143">
        <f>IF(X$2=1,SUM(Reported!X202:X203,Reported!X206:X211),SUM(Reported!X202:X203,Reported!X206:X211)-SUM(Reported!W202:W203,Reported!W206:W211))</f>
        <v/>
      </c>
      <c r="Y112" s="143">
        <f>IF(Y$2=1,SUM(Reported!Y202:Y203,Reported!Y206:Y211),SUM(Reported!Y202:Y203,Reported!Y206:Y211)-SUM(Reported!X202:X203,Reported!X206:X211))</f>
        <v/>
      </c>
      <c r="Z112" s="143">
        <f>IF(Z$2=1,SUM(Reported!Z202:Z203,Reported!Z206:Z211),SUM(Reported!Z202:Z203,Reported!Z206:Z211)-SUM(Reported!Y202:Y203,Reported!Y206:Y211))</f>
        <v/>
      </c>
      <c r="AA112" s="143">
        <f>IF(AA$2=1,SUM(Reported!AA202:AA203,Reported!AA206:AA211),SUM(Reported!AA202:AA203,Reported!AA206:AA211)-SUM(Reported!Z202:Z203,Reported!Z206:Z211))</f>
        <v/>
      </c>
      <c r="AB112" s="143">
        <f>IF(AB$2=1,SUM(Reported!AB202:AB203,Reported!AB206:AB211),SUM(Reported!AB202:AB203,Reported!AB206:AB211)-SUM(Reported!AA202:AA203,Reported!AA206:AA211))</f>
        <v/>
      </c>
      <c r="AC112" s="143">
        <f>IF(AC$2=1,SUM(Reported!AC202:AC203,Reported!AC206:AC211),SUM(Reported!AC202:AC203,Reported!AC206:AC211)-SUM(Reported!AB202:AB203,Reported!AB206:AB211))</f>
        <v/>
      </c>
      <c r="AD112" s="143">
        <f>IF(AD$2=1,SUM(Reported!AD202:AD203,Reported!AD206:AD211),SUM(Reported!AD202:AD203,Reported!AD206:AD211)-SUM(Reported!AC202:AC203,Reported!AC206:AC211))</f>
        <v/>
      </c>
      <c r="AE112" s="143">
        <f>IF(AE$2=1,SUM(Reported!AE202:AE203,Reported!AE206:AE211),SUM(Reported!AE202:AE203,Reported!AE206:AE211)-SUM(Reported!AD202:AD203,Reported!AD206:AD211))</f>
        <v/>
      </c>
      <c r="AF112" s="143">
        <f>IF(AF$2=1,SUM(Reported!AF202:AF203,Reported!AF206:AF211),SUM(Reported!AF202:AF203,Reported!AF206:AF211)-SUM(Reported!AE202:AE203,Reported!AE206:AE211))</f>
        <v/>
      </c>
      <c r="AG112" s="143">
        <f>IF(AG$2=1,SUM(Reported!AG202:AG203,Reported!AG206:AG211),SUM(Reported!AG202:AG203,Reported!AG206:AG211)-SUM(Reported!AF202:AF203,Reported!AF206:AF211))</f>
        <v/>
      </c>
      <c r="AH112" s="143">
        <f>IF(AH$2=1,SUM(Reported!AH202:AH203,Reported!AH206:AH211),SUM(Reported!AH202:AH203,Reported!AH206:AH211)-SUM(Reported!AG202:AG203,Reported!AG206:AG211))</f>
        <v/>
      </c>
      <c r="AI112" s="143">
        <f>IF(AI$2=1,SUM(Reported!AI202:AI203,Reported!AI206:AI211),SUM(Reported!AI202:AI203,Reported!AI206:AI211)-SUM(Reported!AH202:AH203,Reported!AH206:AH211))</f>
        <v/>
      </c>
      <c r="AJ112" s="143">
        <f>IF(AJ$2=1,SUM(Reported!AJ202:AJ203,Reported!AJ206:AJ211),SUM(Reported!AJ202:AJ203,Reported!AJ206:AJ211)-SUM(Reported!AI202:AI203,Reported!AI206:AI211))</f>
        <v/>
      </c>
      <c r="AK112" s="143">
        <f>IF(AK$2=1,SUM(Reported!AK202:AK203,Reported!AK206:AK211),SUM(Reported!AK202:AK203,Reported!AK206:AK211)-SUM(Reported!AJ202:AJ203,Reported!AJ206:AJ211))</f>
        <v/>
      </c>
      <c r="AL112" s="143">
        <f>IF(AL$2=1,SUM(Reported!AL202:AL203,Reported!AL206:AL211),SUM(Reported!AL202:AL203,Reported!AL206:AL211)-SUM(Reported!AK202:AK203,Reported!AK206:AK211))</f>
        <v/>
      </c>
      <c r="AM112" s="143">
        <f>IF(AM$2=1,SUM(Reported!AM202:AM203,Reported!AM206:AM211),SUM(Reported!AM202:AM203,Reported!AM206:AM211)-SUM(Reported!AL202:AL203,Reported!AL206:AL211))</f>
        <v/>
      </c>
      <c r="AN112" s="143">
        <f>IF(AN$2=1,SUM(Reported!AN202:AN203,Reported!AN206:AN211),SUM(Reported!AN202:AN203,Reported!AN206:AN211)-SUM(Reported!AM202:AM203,Reported!AM206:AM211))</f>
        <v/>
      </c>
      <c r="AO112" s="143">
        <f>IF(AO$2=1,SUM(Reported!AO202:AO203,Reported!AO206:AO211),SUM(Reported!AO202:AO203,Reported!AO206:AO211)-SUM(Reported!AN202:AN203,Reported!AN206:AN211))</f>
        <v/>
      </c>
      <c r="AP112" s="143">
        <f>IF(AP$2=1,SUM(Reported!AP202:AP203,Reported!AP206:AP211),SUM(Reported!AP202:AP203,Reported!AP206:AP211)-SUM(Reported!AO202:AO203,Reported!AO206:AO211))</f>
        <v/>
      </c>
      <c r="AQ112" s="143">
        <f>IF(AQ$2=1,SUM(Reported!AQ202:AQ203,Reported!AQ206:AQ211),SUM(Reported!AQ202:AQ203,Reported!AQ206:AQ211)-SUM(Reported!AP202:AP203,Reported!AP206:AP211))</f>
        <v/>
      </c>
      <c r="AR112" s="143">
        <f>IF(AR$2=1,SUM(Reported!AR202:AR203,Reported!AR206:AR211),SUM(Reported!AR202:AR203,Reported!AR206:AR211)-SUM(Reported!AQ202:AQ203,Reported!AQ206:AQ211))</f>
        <v/>
      </c>
      <c r="AS112" s="143">
        <f>IF(AS$2=1,SUM(Reported!AS202:AS203,Reported!AS206:AS211),SUM(Reported!AS202:AS203,Reported!AS206:AS211)-SUM(Reported!AR202:AR203,Reported!AR206:AR211))</f>
        <v/>
      </c>
      <c r="AT112" s="143">
        <f>IF(AT$2=1,SUM(Reported!AT202:AT203,Reported!AT206:AT211),SUM(Reported!AT202:AT203,Reported!AT206:AT211)-SUM(Reported!AS202:AS203,Reported!AS206:AS211))</f>
        <v/>
      </c>
      <c r="AU112" s="143">
        <f>IF(AU$2=1,SUM(Reported!AU202:AU203,Reported!AU206:AU211),SUM(Reported!AU202:AU203,Reported!AU206:AU211)-SUM(Reported!AT202:AT203,Reported!AT206:AT211))</f>
        <v/>
      </c>
      <c r="AV112" s="143">
        <f>IF(AV$2=1,SUM(Reported!AV202:AV203,Reported!AV206:AV211),SUM(Reported!AV202:AV203,Reported!AV206:AV211)-SUM(Reported!AU202:AU203,Reported!AU206:AU211))</f>
        <v/>
      </c>
      <c r="AW112" s="143">
        <f>IF(AW$2=1,SUM(Reported!AW202:AW203,Reported!AW206:AW211),SUM(Reported!AW202:AW203,Reported!AW206:AW211)-SUM(Reported!AV202:AV203,Reported!AV206:AV211))</f>
        <v/>
      </c>
      <c r="AX112" s="143">
        <f>IF(AX$2=1,SUM(Reported!AX202:AX203,Reported!AX206:AX211),SUM(Reported!AX202:AX203,Reported!AX206:AX211)-SUM(Reported!AW202:AW203,Reported!AW206:AW211))</f>
        <v/>
      </c>
      <c r="AY112" s="143">
        <f>IF(AY$2=1,SUM(Reported!AY202:AY203,Reported!AY206:AY211),SUM(Reported!AY202:AY203,Reported!AY206:AY211)-SUM(Reported!AX202:AX203,Reported!AX206:AX211))</f>
        <v/>
      </c>
      <c r="AZ112" s="143">
        <f>IF(AZ$2=1,SUM(Reported!AZ202:AZ203,Reported!AZ206:AZ211),SUM(Reported!AZ202:AZ203,Reported!AZ206:AZ211)-SUM(Reported!AY202:AY203,Reported!AY206:AY211))</f>
        <v/>
      </c>
      <c r="BA112" s="143">
        <f>IF(BA$2=1,SUM(Reported!BA202:BA203,Reported!BA206:BA211),SUM(Reported!BA202:BA203,Reported!BA206:BA211)-SUM(Reported!AZ202:AZ203,Reported!AZ206:AZ211))</f>
        <v/>
      </c>
      <c r="BB112" s="143">
        <f>IF(BB$2=1,SUM(Reported!BB202:BB203,Reported!BB206:BB211),SUM(Reported!BB202:BB203,Reported!BB206:BB211)-SUM(Reported!BA202:BA203,Reported!BA206:BA211))</f>
        <v/>
      </c>
      <c r="BC112" s="143">
        <f>IF(BC$2=1,SUM(Reported!BC202:BC203,Reported!BC206:BC211),SUM(Reported!BC202:BC203,Reported!BC206:BC211)-SUM(Reported!BB202:BB203,Reported!BB206:BB211))</f>
        <v/>
      </c>
      <c r="BD112" s="143">
        <f>IF(BD$2=1,SUM(Reported!BD202:BD203,Reported!BD206:BD211),SUM(Reported!BD202:BD203,Reported!BD206:BD211)-SUM(Reported!BC202:BC203,Reported!BC206:BC211))</f>
        <v/>
      </c>
      <c r="BE112" s="143">
        <f>IF(BE$2=1,SUM(Reported!BE202:BE203,Reported!BE206:BE211),SUM(Reported!BE202:BE203,Reported!BE206:BE211)-SUM(Reported!BD202:BD203,Reported!BD206:BD211))</f>
        <v/>
      </c>
      <c r="BF112" s="143">
        <f>IF(BF$2=1,SUM(Reported!BF202:BF203,Reported!BF206:BF211),SUM(Reported!BF202:BF203,Reported!BF206:BF211)-SUM(Reported!BE202:BE203,Reported!BE206:BE211))</f>
        <v/>
      </c>
      <c r="BG112" s="143">
        <f>IF(BG$2=1,SUM(Reported!BG202:BG203,Reported!BG206:BG211),SUM(Reported!BG202:BG203,Reported!BG206:BG211)-SUM(Reported!BF202:BF203,Reported!BF206:BF211))</f>
        <v/>
      </c>
      <c r="BH112" s="143">
        <f>IF(BH$2=1,SUM(Reported!BH202:BH203,Reported!BH206:BH211),SUM(Reported!BH202:BH203,Reported!BH206:BH211)-SUM(Reported!BG202:BG203,Reported!BG206:BG211))</f>
        <v/>
      </c>
      <c r="BI112" s="143">
        <f>IF(BI$2=1,SUM(Reported!BI202:BI203,Reported!BI206:BI211),SUM(Reported!BI202:BI203,Reported!BI206:BI211)-SUM(Reported!BH202:BH203,Reported!BH206:BH211))</f>
        <v/>
      </c>
      <c r="BJ112" s="143">
        <f>IF(BJ$2=1,SUM(Reported!BJ202:BJ203,Reported!BJ206:BJ211),SUM(Reported!BJ202:BJ203,Reported!BJ206:BJ211)-SUM(Reported!BI202:BI203,Reported!BI206:BI211))</f>
        <v/>
      </c>
      <c r="BK112" s="143">
        <f>IF(BK$2=1,SUM(Reported!BK202:BK203,Reported!BK206:BK211),SUM(Reported!BK202:BK203,Reported!BK206:BK211)-SUM(Reported!BJ202:BJ203,Reported!BJ206:BJ211))</f>
        <v/>
      </c>
      <c r="BL112" s="143">
        <f>IF(BL$2=1,SUM(Reported!BL202:BL203,Reported!BL206:BL211),SUM(Reported!BL202:BL203,Reported!BL206:BL211)-SUM(Reported!BK202:BK203,Reported!BK206:BK211))</f>
        <v/>
      </c>
      <c r="BM112" s="143">
        <f>IF(BM$2=1,SUM(Reported!BM202:BM203,Reported!BM206:BM211),SUM(Reported!BM202:BM203,Reported!BM206:BM211)-SUM(Reported!BL202:BL203,Reported!BL206:BL211))</f>
        <v/>
      </c>
      <c r="BN112" s="143">
        <f>IF(BN$2=1,SUM(Reported!BN202:BN203,Reported!BN206:BN211),SUM(Reported!BN202:BN203,Reported!BN206:BN211)-SUM(Reported!BM202:BM203,Reported!BM206:BM211))</f>
        <v/>
      </c>
      <c r="BO112" s="143">
        <f>IF(BO$2=1,SUM(Reported!BO202:BO203,Reported!BO206:BO211),SUM(Reported!BO202:BO203,Reported!BO206:BO211)-SUM(Reported!BN202:BN203,Reported!BN206:BN211))</f>
        <v/>
      </c>
      <c r="BP112" s="143">
        <f>IF(BP$2=1,SUM(Reported!BP202:BP203,Reported!BP206:BP211),SUM(Reported!BP202:BP203,Reported!BP206:BP211)-SUM(Reported!BO202:BO203,Reported!BO206:BO211))</f>
        <v/>
      </c>
      <c r="BQ112" s="143">
        <f>IF(BQ$2=1,SUM(Reported!BQ202:BQ203,Reported!BQ206:BQ211),SUM(Reported!BQ202:BQ203,Reported!BQ206:BQ211)-SUM(Reported!BP202:BP203,Reported!BP206:BP211))</f>
        <v/>
      </c>
      <c r="BR112" s="143">
        <f>IF(BR$2=1,SUM(Reported!BR202:BR203,Reported!BR206:BR211),SUM(Reported!BR202:BR203,Reported!BR206:BR211)-SUM(Reported!BQ202:BQ203,Reported!BQ206:BQ211))</f>
        <v/>
      </c>
      <c r="BS112" s="517">
        <f>Assumption!BS216-Assumption!BR216</f>
        <v/>
      </c>
      <c r="BT112" s="517">
        <f>Assumption!BT216-Assumption!BS216</f>
        <v/>
      </c>
      <c r="BU112" s="517">
        <f>Assumption!BU216-Assumption!BT216</f>
        <v/>
      </c>
      <c r="BV112" s="517">
        <f>Assumption!BV216-Assumption!BU216</f>
        <v/>
      </c>
      <c r="BW112" s="517">
        <f>Assumption!BW216-Assumption!BV216</f>
        <v/>
      </c>
      <c r="BX112" s="517">
        <f>Assumption!BX216-Assumption!BW216</f>
        <v/>
      </c>
      <c r="BY112" s="517">
        <f>Assumption!BY216-Assumption!BX216</f>
        <v/>
      </c>
      <c r="BZ112" s="517">
        <f>Assumption!BZ216-Assumption!BY216</f>
        <v/>
      </c>
      <c r="CA112" s="517">
        <f>Assumption!CA216-Assumption!BZ216</f>
        <v/>
      </c>
      <c r="CB112" s="517">
        <f>Assumption!CB216-Assumption!CA216</f>
        <v/>
      </c>
      <c r="CC112" s="517">
        <f>Assumption!CC216-Assumption!CB216</f>
        <v/>
      </c>
      <c r="CD112" s="517">
        <f>Assumption!CD216-Assumption!CC216</f>
        <v/>
      </c>
      <c r="CE112" s="517">
        <f>Assumption!CE216-Assumption!CD216</f>
        <v/>
      </c>
      <c r="CF112" s="517">
        <f>Assumption!CF216-Assumption!CE216</f>
        <v/>
      </c>
      <c r="CG112" s="517">
        <f>Assumption!CG216-Assumption!CF216</f>
        <v/>
      </c>
      <c r="CH112" s="517">
        <f>Assumption!CH216-Assumption!CG216</f>
        <v/>
      </c>
      <c r="CI112" s="517">
        <f>Assumption!CI216-Assumption!CH216</f>
        <v/>
      </c>
      <c r="CJ112" s="517">
        <f>Assumption!CJ216-Assumption!CI216</f>
        <v/>
      </c>
      <c r="CK112" s="517">
        <f>Assumption!CK216-Assumption!CJ216</f>
        <v/>
      </c>
    </row>
    <row r="113" customFormat="1" s="22">
      <c r="A113" s="22" t="inlineStr">
        <is>
          <t>Net cash provided by financing activities</t>
        </is>
      </c>
      <c r="B113" s="133" t="n"/>
      <c r="C113" s="133" t="n"/>
      <c r="D113" s="133" t="n"/>
      <c r="E113" s="133" t="n"/>
      <c r="F113" s="133" t="n"/>
      <c r="G113" s="133" t="n"/>
      <c r="H113" s="133" t="n"/>
      <c r="I113" s="133" t="n"/>
      <c r="J113" s="133" t="n"/>
      <c r="K113" s="133" t="n"/>
      <c r="L113" s="133" t="n"/>
      <c r="M113" s="133" t="n"/>
      <c r="N113" s="671">
        <f>IF(N$2=1,Reported!N212,Reported!N212-Reported!M212)</f>
        <v/>
      </c>
      <c r="O113" s="671">
        <f>IF(O$2=1,Reported!O212,Reported!O212-Reported!N212)</f>
        <v/>
      </c>
      <c r="P113" s="671">
        <f>IF(P$2=1,Reported!P212,Reported!P212-Reported!O212)</f>
        <v/>
      </c>
      <c r="Q113" s="671">
        <f>IF(Q$2=1,Reported!Q212,Reported!Q212-Reported!P212)</f>
        <v/>
      </c>
      <c r="R113" s="671">
        <f>IF(R$2=1,Reported!R212,Reported!R212-Reported!Q212)</f>
        <v/>
      </c>
      <c r="S113" s="671">
        <f>IF(S$2=1,Reported!S212,Reported!S212-Reported!R212)</f>
        <v/>
      </c>
      <c r="T113" s="671">
        <f>IF(T$2=1,Reported!T212,Reported!T212-Reported!S212)</f>
        <v/>
      </c>
      <c r="U113" s="671">
        <f>IF(U$2=1,Reported!U212,Reported!U212-Reported!T212)</f>
        <v/>
      </c>
      <c r="V113" s="671">
        <f>IF(V$2=1,Reported!V212,Reported!V212-Reported!U212)</f>
        <v/>
      </c>
      <c r="W113" s="671">
        <f>IF(W$2=1,Reported!W212,Reported!W212-Reported!V212)</f>
        <v/>
      </c>
      <c r="X113" s="671">
        <f>IF(X$2=1,Reported!X212,Reported!X212-Reported!W212)</f>
        <v/>
      </c>
      <c r="Y113" s="671">
        <f>IF(Y$2=1,Reported!Y212,Reported!Y212-Reported!X212)</f>
        <v/>
      </c>
      <c r="Z113" s="671">
        <f>IF(Z$2=1,Reported!Z212,Reported!Z212-Reported!Y212)</f>
        <v/>
      </c>
      <c r="AA113" s="671">
        <f>IF(AA$2=1,Reported!AA212,Reported!AA212-Reported!Z212)</f>
        <v/>
      </c>
      <c r="AB113" s="671">
        <f>IF(AB$2=1,Reported!AB212,Reported!AB212-Reported!AA212)</f>
        <v/>
      </c>
      <c r="AC113" s="671">
        <f>IF(AC$2=1,Reported!AC212,Reported!AC212-Reported!AB212)</f>
        <v/>
      </c>
      <c r="AD113" s="671">
        <f>IF(AD$2=1,Reported!AD212,Reported!AD212-Reported!AC212)</f>
        <v/>
      </c>
      <c r="AE113" s="671">
        <f>IF(AE$2=1,Reported!AE212,Reported!AE212-Reported!AD212)</f>
        <v/>
      </c>
      <c r="AF113" s="671">
        <f>IF(AF$2=1,Reported!AF212,Reported!AF212-Reported!AE212)</f>
        <v/>
      </c>
      <c r="AG113" s="671">
        <f>IF(AG$2=1,Reported!AG212,Reported!AG212-Reported!AF212)</f>
        <v/>
      </c>
      <c r="AH113" s="671">
        <f>IF(AH$2=1,Reported!AH212,Reported!AH212-Reported!AG212)</f>
        <v/>
      </c>
      <c r="AI113" s="671">
        <f>IF(AI$2=1,Reported!AI212,Reported!AI212-Reported!AH212)</f>
        <v/>
      </c>
      <c r="AJ113" s="671">
        <f>IF(AJ$2=1,Reported!AJ212,Reported!AJ212-Reported!AI212)</f>
        <v/>
      </c>
      <c r="AK113" s="671">
        <f>IF(AK$2=1,Reported!AK212,Reported!AK212-Reported!AJ212)</f>
        <v/>
      </c>
      <c r="AL113" s="671">
        <f>IF(AL$2=1,Reported!AL212,Reported!AL212-Reported!AK212)</f>
        <v/>
      </c>
      <c r="AM113" s="671">
        <f>IF(AM$2=1,Reported!AM212,Reported!AM212-Reported!AL212)</f>
        <v/>
      </c>
      <c r="AN113" s="671">
        <f>IF(AN$2=1,Reported!AN212,Reported!AN212-Reported!AM212)</f>
        <v/>
      </c>
      <c r="AO113" s="671">
        <f>IF(AO$2=1,Reported!AO212,Reported!AO212-Reported!AN212)</f>
        <v/>
      </c>
      <c r="AP113" s="671">
        <f>IF(AP$2=1,Reported!AP212,Reported!AP212-Reported!AO212)</f>
        <v/>
      </c>
      <c r="AQ113" s="671">
        <f>IF(AQ$2=1,Reported!AQ212,Reported!AQ212-Reported!AP212)</f>
        <v/>
      </c>
      <c r="AR113" s="671">
        <f>IF(AR$2=1,Reported!AR212,Reported!AR212-Reported!AQ212)</f>
        <v/>
      </c>
      <c r="AS113" s="671">
        <f>IF(AS$2=1,Reported!AS212,Reported!AS212-Reported!AR212)</f>
        <v/>
      </c>
      <c r="AT113" s="671">
        <f>IF(AT$2=1,Reported!AT212,Reported!AT212-Reported!AS212)</f>
        <v/>
      </c>
      <c r="AU113" s="671">
        <f>IF(AU$2=1,Reported!AU212,Reported!AU212-Reported!AT212)</f>
        <v/>
      </c>
      <c r="AV113" s="671">
        <f>IF(AV$2=1,Reported!AV212,Reported!AV212-Reported!AU212)</f>
        <v/>
      </c>
      <c r="AW113" s="671">
        <f>IF(AW$2=1,Reported!AW212,Reported!AW212-Reported!AV212)</f>
        <v/>
      </c>
      <c r="AX113" s="671">
        <f>IF(AX$2=1,Reported!AX212,Reported!AX212-Reported!AW212)</f>
        <v/>
      </c>
      <c r="AY113" s="671">
        <f>IF(AY$2=1,Reported!AY212,Reported!AY212-Reported!AX212)</f>
        <v/>
      </c>
      <c r="AZ113" s="671">
        <f>IF(AZ$2=1,Reported!AZ212,Reported!AZ212-Reported!AY212)</f>
        <v/>
      </c>
      <c r="BA113" s="671">
        <f>IF(BA$2=1,Reported!BA212,Reported!BA212-Reported!AZ212)</f>
        <v/>
      </c>
      <c r="BB113" s="671">
        <f>IF(BB$2=1,Reported!BB212,Reported!BB212-Reported!BA212)</f>
        <v/>
      </c>
      <c r="BC113" s="671">
        <f>IF(BC$2=1,Reported!BC212,Reported!BC212-Reported!BB212)</f>
        <v/>
      </c>
      <c r="BD113" s="671">
        <f>IF(BD$2=1,Reported!BD212,Reported!BD212-Reported!BC212)</f>
        <v/>
      </c>
      <c r="BE113" s="671">
        <f>IF(BE$2=1,Reported!BE212,Reported!BE212-Reported!BD212)</f>
        <v/>
      </c>
      <c r="BF113" s="671">
        <f>IF(BF$2=1,Reported!BF212,Reported!BF212-Reported!BE212)</f>
        <v/>
      </c>
      <c r="BG113" s="671">
        <f>IF(BG$2=1,Reported!BG212,Reported!BG212-Reported!BF212)</f>
        <v/>
      </c>
      <c r="BH113" s="671">
        <f>IF(BH$2=1,Reported!BH212,Reported!BH212-Reported!BG212)</f>
        <v/>
      </c>
      <c r="BI113" s="671">
        <f>IF(BI$2=1,Reported!BI212,Reported!BI212-Reported!BH212)</f>
        <v/>
      </c>
      <c r="BJ113" s="671">
        <f>IF(BJ$2=1,Reported!BJ212,Reported!BJ212-Reported!BI212)</f>
        <v/>
      </c>
      <c r="BK113" s="671">
        <f>IF(BK$2=1,Reported!BK212,Reported!BK212-Reported!BJ212)</f>
        <v/>
      </c>
      <c r="BL113" s="671">
        <f>IF(BL$2=1,Reported!BL212,Reported!BL212-Reported!BK212)</f>
        <v/>
      </c>
      <c r="BM113" s="671">
        <f>IF(BM$2=1,Reported!BM212,Reported!BM212-Reported!BL212)</f>
        <v/>
      </c>
      <c r="BN113" s="671">
        <f>IF(BN$2=1,Reported!BN212,Reported!BN212-Reported!BM212)</f>
        <v/>
      </c>
      <c r="BO113" s="671">
        <f>IF(BO$2=1,Reported!BO212,Reported!BO212-Reported!BN212)</f>
        <v/>
      </c>
      <c r="BP113" s="671">
        <f>IF(BP$2=1,Reported!BP212,Reported!BP212-Reported!BO212)</f>
        <v/>
      </c>
      <c r="BQ113" s="671">
        <f>IF(BQ$2=1,Reported!BQ212,Reported!BQ212-Reported!BP212)</f>
        <v/>
      </c>
      <c r="BR113" s="671">
        <f>IF(BR$2=1,Reported!BR212,Reported!BR212-Reported!BQ212)</f>
        <v/>
      </c>
      <c r="BS113" s="128">
        <f>SUM(BS110:BS112)</f>
        <v/>
      </c>
      <c r="BT113" s="128">
        <f>SUM(BT110:BT112)</f>
        <v/>
      </c>
      <c r="BU113" s="128">
        <f>SUM(BU110:BU112)</f>
        <v/>
      </c>
      <c r="BV113" s="128">
        <f>SUM(BV110:BV112)</f>
        <v/>
      </c>
      <c r="BW113" s="128">
        <f>SUM(BW110:BW112)</f>
        <v/>
      </c>
      <c r="BX113" s="128">
        <f>SUM(BX110:BX112)</f>
        <v/>
      </c>
      <c r="BY113" s="128">
        <f>SUM(BY110:BY112)</f>
        <v/>
      </c>
      <c r="BZ113" s="128">
        <f>SUM(BZ110:BZ112)</f>
        <v/>
      </c>
      <c r="CA113" s="128">
        <f>SUM(CA110:CA112)</f>
        <v/>
      </c>
      <c r="CB113" s="128">
        <f>SUM(CB110:CB112)</f>
        <v/>
      </c>
      <c r="CC113" s="128">
        <f>SUM(CC110:CC112)</f>
        <v/>
      </c>
      <c r="CD113" s="128">
        <f>SUM(CD110:CD112)</f>
        <v/>
      </c>
      <c r="CE113" s="128">
        <f>SUM(CE110:CE112)</f>
        <v/>
      </c>
      <c r="CF113" s="128">
        <f>SUM(CF110:CF112)</f>
        <v/>
      </c>
      <c r="CG113" s="128">
        <f>SUM(CG110:CG112)</f>
        <v/>
      </c>
      <c r="CH113" s="128">
        <f>SUM(CH110:CH112)</f>
        <v/>
      </c>
      <c r="CI113" s="128">
        <f>SUM(CI110:CI112)</f>
        <v/>
      </c>
      <c r="CJ113" s="128">
        <f>SUM(CJ110:CJ112)</f>
        <v/>
      </c>
      <c r="CK113" s="128">
        <f>SUM(CK110:CK112)</f>
        <v/>
      </c>
    </row>
    <row r="114">
      <c r="B114" s="20" t="n"/>
      <c r="C114" s="20" t="n"/>
      <c r="D114" s="20" t="n"/>
      <c r="E114" s="20" t="n"/>
      <c r="F114" s="20" t="n"/>
      <c r="G114" s="20" t="n"/>
      <c r="H114" s="20" t="n"/>
      <c r="I114" s="20" t="n"/>
      <c r="J114" s="20" t="n"/>
      <c r="K114" s="20" t="n"/>
      <c r="L114" s="20" t="n"/>
      <c r="M114" s="20" t="n"/>
      <c r="N114" s="512" t="n"/>
      <c r="O114" s="512" t="n"/>
      <c r="P114" s="512" t="n"/>
      <c r="Q114" s="512" t="n"/>
      <c r="R114" s="512" t="n"/>
      <c r="S114" s="512" t="n"/>
      <c r="T114" s="512" t="n"/>
      <c r="U114" s="512" t="n"/>
      <c r="V114" s="512" t="n"/>
      <c r="W114" s="512" t="n"/>
      <c r="X114" s="512" t="n"/>
      <c r="Y114" s="512" t="n"/>
      <c r="Z114" s="512" t="n"/>
      <c r="AA114" s="512" t="n"/>
      <c r="AB114" s="512" t="n"/>
      <c r="AC114" s="512" t="n"/>
      <c r="AD114" s="512" t="n"/>
      <c r="AE114" s="512" t="n"/>
      <c r="AF114" s="512" t="n"/>
      <c r="AG114" s="512" t="n"/>
      <c r="AH114" s="512" t="n"/>
      <c r="AI114" s="512" t="n"/>
      <c r="AJ114" s="512" t="n"/>
      <c r="AK114" s="512" t="n"/>
      <c r="AL114" s="512" t="n"/>
      <c r="AM114" s="512" t="n"/>
      <c r="AN114" s="512" t="n"/>
      <c r="AO114" s="512" t="n"/>
      <c r="AP114" s="512" t="n"/>
      <c r="AQ114" s="512" t="n"/>
      <c r="AR114" s="512" t="n"/>
      <c r="AS114" s="512" t="n"/>
      <c r="AT114" s="512" t="n"/>
      <c r="AU114" s="512" t="n"/>
      <c r="AV114" s="512" t="n"/>
      <c r="AW114" s="512" t="n"/>
      <c r="AX114" s="512" t="n"/>
      <c r="AY114" s="512" t="n"/>
      <c r="AZ114" s="512" t="n"/>
      <c r="BA114" s="512" t="n"/>
      <c r="BB114" s="512" t="n"/>
      <c r="BC114" s="512" t="n"/>
      <c r="BD114" s="512" t="n"/>
      <c r="BE114" s="512" t="n"/>
      <c r="BF114" s="512" t="n"/>
      <c r="BG114" s="512" t="n"/>
      <c r="BH114" s="512" t="n"/>
      <c r="BI114" s="512" t="n"/>
      <c r="BJ114" s="512" t="n"/>
      <c r="BK114" s="512" t="n"/>
      <c r="BL114" s="512" t="n"/>
      <c r="BM114" s="512" t="n"/>
      <c r="BN114" s="512" t="n"/>
      <c r="BO114" s="512" t="n"/>
      <c r="BP114" s="512" t="n"/>
      <c r="BQ114" s="512" t="n"/>
      <c r="BR114" s="512" t="n"/>
    </row>
    <row r="115">
      <c r="A115" s="502" t="inlineStr">
        <is>
          <t>Effect of changes in exchange rates on cash and cash equivalents</t>
        </is>
      </c>
      <c r="B115" s="145" t="n"/>
      <c r="C115" s="145" t="n"/>
      <c r="D115" s="145" t="n"/>
      <c r="E115" s="145" t="n"/>
      <c r="F115" s="145" t="n"/>
      <c r="G115" s="145" t="n"/>
      <c r="H115" s="145" t="n"/>
      <c r="I115" s="145" t="n"/>
      <c r="J115" s="145" t="n"/>
      <c r="K115" s="145" t="n"/>
      <c r="L115" s="145" t="n"/>
      <c r="M115" s="145" t="n"/>
      <c r="N115" s="509">
        <f>IF(N$2=1,Reported!N214,Reported!N214-Reported!M214)</f>
        <v/>
      </c>
      <c r="O115" s="509">
        <f>IF(O$2=1,Reported!O214,Reported!O214-Reported!N214)</f>
        <v/>
      </c>
      <c r="P115" s="509">
        <f>IF(P$2=1,Reported!P214,Reported!P214-Reported!O214)</f>
        <v/>
      </c>
      <c r="Q115" s="509">
        <f>IF(Q$2=1,Reported!Q214,Reported!Q214-Reported!P214)</f>
        <v/>
      </c>
      <c r="R115" s="509">
        <f>IF(R$2=1,Reported!R214,Reported!R214-Reported!Q214)</f>
        <v/>
      </c>
      <c r="S115" s="509">
        <f>IF(S$2=1,Reported!S214,Reported!S214-Reported!R214)</f>
        <v/>
      </c>
      <c r="T115" s="509">
        <f>IF(T$2=1,Reported!T214,Reported!T214-Reported!S214)</f>
        <v/>
      </c>
      <c r="U115" s="509">
        <f>IF(U$2=1,Reported!U214,Reported!U214-Reported!T214)</f>
        <v/>
      </c>
      <c r="V115" s="509">
        <f>IF(V$2=1,Reported!V214,Reported!V214-Reported!U214)</f>
        <v/>
      </c>
      <c r="W115" s="509">
        <f>IF(W$2=1,Reported!W214,Reported!W214-Reported!V214)</f>
        <v/>
      </c>
      <c r="X115" s="509">
        <f>IF(X$2=1,Reported!X214,Reported!X214-Reported!W214)</f>
        <v/>
      </c>
      <c r="Y115" s="509">
        <f>IF(Y$2=1,Reported!Y214,Reported!Y214-Reported!X214)</f>
        <v/>
      </c>
      <c r="Z115" s="509">
        <f>IF(Z$2=1,Reported!Z214,Reported!Z214-Reported!Y214)</f>
        <v/>
      </c>
      <c r="AA115" s="509">
        <f>IF(AA$2=1,Reported!AA214,Reported!AA214-Reported!Z214)</f>
        <v/>
      </c>
      <c r="AB115" s="509">
        <f>IF(AB$2=1,Reported!AB214,Reported!AB214-Reported!AA214)</f>
        <v/>
      </c>
      <c r="AC115" s="509">
        <f>IF(AC$2=1,Reported!AC214,Reported!AC214-Reported!AB214)</f>
        <v/>
      </c>
      <c r="AD115" s="509">
        <f>IF(AD$2=1,Reported!AD214,Reported!AD214-Reported!AC214)</f>
        <v/>
      </c>
      <c r="AE115" s="509">
        <f>IF(AE$2=1,Reported!AE214,Reported!AE214-Reported!AD214)</f>
        <v/>
      </c>
      <c r="AF115" s="509">
        <f>IF(AF$2=1,Reported!AF214,Reported!AF214-Reported!AE214)</f>
        <v/>
      </c>
      <c r="AG115" s="509">
        <f>IF(AG$2=1,Reported!AG214,Reported!AG214-Reported!AF214)</f>
        <v/>
      </c>
      <c r="AH115" s="509">
        <f>IF(AH$2=1,Reported!AH214,Reported!AH214-Reported!AG214)</f>
        <v/>
      </c>
      <c r="AI115" s="509">
        <f>IF(AI$2=1,Reported!AI214,Reported!AI214-Reported!AH214)</f>
        <v/>
      </c>
      <c r="AJ115" s="509">
        <f>IF(AJ$2=1,Reported!AJ214,Reported!AJ214-Reported!AI214)</f>
        <v/>
      </c>
      <c r="AK115" s="509">
        <f>IF(AK$2=1,Reported!AK214,Reported!AK214-Reported!AJ214)</f>
        <v/>
      </c>
      <c r="AL115" s="509">
        <f>IF(AL$2=1,Reported!AL214,Reported!AL214-Reported!AK214)</f>
        <v/>
      </c>
      <c r="AM115" s="509">
        <f>IF(AM$2=1,Reported!AM214,Reported!AM214-Reported!AL214)</f>
        <v/>
      </c>
      <c r="AN115" s="509">
        <f>IF(AN$2=1,Reported!AN214,Reported!AN214-Reported!AM214)</f>
        <v/>
      </c>
      <c r="AO115" s="509">
        <f>IF(AO$2=1,Reported!AO214,Reported!AO214-Reported!AN214)</f>
        <v/>
      </c>
      <c r="AP115" s="509">
        <f>IF(AP$2=1,Reported!AP214,Reported!AP214-Reported!AO214)</f>
        <v/>
      </c>
      <c r="AQ115" s="509">
        <f>IF(AQ$2=1,Reported!AQ214,Reported!AQ214-Reported!AP214)</f>
        <v/>
      </c>
      <c r="AR115" s="509">
        <f>IF(AR$2=1,Reported!AR214,Reported!AR214-Reported!AQ214)</f>
        <v/>
      </c>
      <c r="AS115" s="509">
        <f>IF(AS$2=1,Reported!AS214,Reported!AS214-Reported!AR214)</f>
        <v/>
      </c>
      <c r="AT115" s="509">
        <f>IF(AT$2=1,Reported!AT214,Reported!AT214-Reported!AS214)</f>
        <v/>
      </c>
      <c r="AU115" s="509">
        <f>IF(AU$2=1,Reported!AU214,Reported!AU214-Reported!AT214)</f>
        <v/>
      </c>
      <c r="AV115" s="509">
        <f>IF(AV$2=1,Reported!AV214,Reported!AV214-Reported!AU214)</f>
        <v/>
      </c>
      <c r="AW115" s="509">
        <f>IF(AW$2=1,Reported!AW214,Reported!AW214-Reported!AV214)</f>
        <v/>
      </c>
      <c r="AX115" s="509">
        <f>IF(AX$2=1,Reported!AX214,Reported!AX214-Reported!AW214)</f>
        <v/>
      </c>
      <c r="AY115" s="509">
        <f>IF(AY$2=1,Reported!AY214,Reported!AY214-Reported!AX214)</f>
        <v/>
      </c>
      <c r="AZ115" s="509">
        <f>IF(AZ$2=1,Reported!AZ214,Reported!AZ214-Reported!AY214)</f>
        <v/>
      </c>
      <c r="BA115" s="509">
        <f>IF(BA$2=1,Reported!BA214,Reported!BA214-Reported!AZ214)</f>
        <v/>
      </c>
      <c r="BB115" s="509">
        <f>IF(BB$2=1,Reported!BB214,Reported!BB214-Reported!BA214)</f>
        <v/>
      </c>
      <c r="BC115" s="509">
        <f>IF(BC$2=1,Reported!BC214,Reported!BC214-Reported!BB214)</f>
        <v/>
      </c>
      <c r="BD115" s="509">
        <f>IF(BD$2=1,Reported!BD214,Reported!BD214-Reported!BC214)</f>
        <v/>
      </c>
      <c r="BE115" s="509">
        <f>IF(BE$2=1,Reported!BE214,Reported!BE214-Reported!BD214)</f>
        <v/>
      </c>
      <c r="BF115" s="509">
        <f>IF(BF$2=1,Reported!BF214,Reported!BF214-Reported!BE214)</f>
        <v/>
      </c>
      <c r="BG115" s="509">
        <f>IF(BG$2=1,Reported!BG214,Reported!BG214-Reported!BF214)</f>
        <v/>
      </c>
      <c r="BH115" s="509">
        <f>IF(BH$2=1,Reported!BH214,Reported!BH214-Reported!BG214)</f>
        <v/>
      </c>
      <c r="BI115" s="509">
        <f>IF(BI$2=1,Reported!BI214,Reported!BI214-Reported!BH214)</f>
        <v/>
      </c>
      <c r="BJ115" s="509">
        <f>IF(BJ$2=1,Reported!BJ214,Reported!BJ214-Reported!BI214)</f>
        <v/>
      </c>
      <c r="BK115" s="509">
        <f>IF(BK$2=1,Reported!BK214,Reported!BK214-Reported!BJ214)</f>
        <v/>
      </c>
      <c r="BL115" s="509">
        <f>IF(BL$2=1,Reported!BL214,Reported!BL214-Reported!BK214)</f>
        <v/>
      </c>
      <c r="BM115" s="509">
        <f>IF(BM$2=1,Reported!BM214,Reported!BM214-Reported!BL214)</f>
        <v/>
      </c>
      <c r="BN115" s="509">
        <f>IF(BN$2=1,Reported!BN214,Reported!BN214-Reported!BM214)</f>
        <v/>
      </c>
      <c r="BO115" s="509">
        <f>IF(BO$2=1,Reported!BO214,Reported!BO214-Reported!BN214)</f>
        <v/>
      </c>
      <c r="BP115" s="509">
        <f>IF(BP$2=1,Reported!BP214,Reported!BP214-Reported!BO214)</f>
        <v/>
      </c>
      <c r="BQ115" s="509">
        <f>IF(BQ$2=1,Reported!BQ214,Reported!BQ214-Reported!BP214)</f>
        <v/>
      </c>
      <c r="BR115" s="509">
        <f>IF(BR$2=1,Reported!BR214,Reported!BR214-Reported!BQ214)</f>
        <v/>
      </c>
      <c r="BS115" s="458" t="n">
        <v>0</v>
      </c>
      <c r="BT115" s="458" t="n">
        <v>0</v>
      </c>
      <c r="BU115" s="458" t="n">
        <v>0</v>
      </c>
      <c r="BV115" s="458" t="n">
        <v>0</v>
      </c>
      <c r="BW115" s="458" t="n">
        <v>0</v>
      </c>
      <c r="BX115" s="458" t="n">
        <v>0</v>
      </c>
      <c r="BY115" s="458" t="n">
        <v>0</v>
      </c>
      <c r="BZ115" s="458" t="n">
        <v>0</v>
      </c>
      <c r="CA115" s="458" t="n">
        <v>0</v>
      </c>
      <c r="CB115" s="458" t="n">
        <v>0</v>
      </c>
      <c r="CC115" s="458" t="n">
        <v>0</v>
      </c>
      <c r="CD115" s="458" t="n">
        <v>0</v>
      </c>
      <c r="CE115" s="458" t="n">
        <v>0</v>
      </c>
      <c r="CF115" s="458" t="n">
        <v>0</v>
      </c>
      <c r="CG115" s="458" t="n">
        <v>0</v>
      </c>
      <c r="CH115" s="458" t="n">
        <v>0</v>
      </c>
      <c r="CI115" s="458" t="n">
        <v>0</v>
      </c>
      <c r="CJ115" s="458" t="n">
        <v>0</v>
      </c>
      <c r="CK115" s="458" t="n">
        <v>0</v>
      </c>
    </row>
    <row r="116" customFormat="1" s="22">
      <c r="A116" s="503" t="inlineStr">
        <is>
          <t>Net increase in cash and cash equivalents</t>
        </is>
      </c>
      <c r="B116" s="133" t="n"/>
      <c r="C116" s="133" t="n"/>
      <c r="D116" s="133" t="n"/>
      <c r="E116" s="133" t="n"/>
      <c r="F116" s="133" t="n"/>
      <c r="G116" s="133" t="n"/>
      <c r="H116" s="133" t="n"/>
      <c r="I116" s="133" t="n"/>
      <c r="J116" s="133" t="n"/>
      <c r="K116" s="133" t="n"/>
      <c r="L116" s="133" t="n"/>
      <c r="M116" s="133" t="n"/>
      <c r="N116" s="671">
        <f>IF(N$2=1,Reported!N215,Reported!N215-Reported!M215)</f>
        <v/>
      </c>
      <c r="O116" s="671">
        <f>IF(O$2=1,Reported!O215,Reported!O215-Reported!N215)</f>
        <v/>
      </c>
      <c r="P116" s="671">
        <f>IF(P$2=1,Reported!P215,Reported!P215-Reported!O215)</f>
        <v/>
      </c>
      <c r="Q116" s="671">
        <f>IF(Q$2=1,Reported!Q215,Reported!Q215-Reported!P215)</f>
        <v/>
      </c>
      <c r="R116" s="671">
        <f>IF(R$2=1,Reported!R215,Reported!R215-Reported!Q215)</f>
        <v/>
      </c>
      <c r="S116" s="671">
        <f>IF(S$2=1,Reported!S215,Reported!S215-Reported!R215)</f>
        <v/>
      </c>
      <c r="T116" s="671">
        <f>IF(T$2=1,Reported!T215,Reported!T215-Reported!S215)</f>
        <v/>
      </c>
      <c r="U116" s="671">
        <f>IF(U$2=1,Reported!U215,Reported!U215-Reported!T215)</f>
        <v/>
      </c>
      <c r="V116" s="671">
        <f>IF(V$2=1,Reported!V215,Reported!V215-Reported!U215)</f>
        <v/>
      </c>
      <c r="W116" s="671">
        <f>IF(W$2=1,Reported!W215,Reported!W215-Reported!V215)</f>
        <v/>
      </c>
      <c r="X116" s="671">
        <f>IF(X$2=1,Reported!X215,Reported!X215-Reported!W215)</f>
        <v/>
      </c>
      <c r="Y116" s="671">
        <f>IF(Y$2=1,Reported!Y215,Reported!Y215-Reported!X215)</f>
        <v/>
      </c>
      <c r="Z116" s="671">
        <f>IF(Z$2=1,Reported!Z215,Reported!Z215-Reported!Y215)</f>
        <v/>
      </c>
      <c r="AA116" s="671">
        <f>IF(AA$2=1,Reported!AA215,Reported!AA215-Reported!Z215)</f>
        <v/>
      </c>
      <c r="AB116" s="671">
        <f>IF(AB$2=1,Reported!AB215,Reported!AB215-Reported!AA215)</f>
        <v/>
      </c>
      <c r="AC116" s="671">
        <f>IF(AC$2=1,Reported!AC215,Reported!AC215-Reported!AB215)</f>
        <v/>
      </c>
      <c r="AD116" s="671">
        <f>IF(AD$2=1,Reported!AD215,Reported!AD215-Reported!AC215)</f>
        <v/>
      </c>
      <c r="AE116" s="671">
        <f>IF(AE$2=1,Reported!AE215,Reported!AE215-Reported!AD215)</f>
        <v/>
      </c>
      <c r="AF116" s="671">
        <f>IF(AF$2=1,Reported!AF215,Reported!AF215-Reported!AE215)</f>
        <v/>
      </c>
      <c r="AG116" s="671">
        <f>IF(AG$2=1,Reported!AG215,Reported!AG215-Reported!AF215)</f>
        <v/>
      </c>
      <c r="AH116" s="671">
        <f>IF(AH$2=1,Reported!AH215,Reported!AH215-Reported!AG215)</f>
        <v/>
      </c>
      <c r="AI116" s="671">
        <f>IF(AI$2=1,Reported!AI215,Reported!AI215-Reported!AH215)</f>
        <v/>
      </c>
      <c r="AJ116" s="671">
        <f>IF(AJ$2=1,Reported!AJ215,Reported!AJ215-Reported!AI215)</f>
        <v/>
      </c>
      <c r="AK116" s="671">
        <f>IF(AK$2=1,Reported!AK215,Reported!AK215-Reported!AJ215)</f>
        <v/>
      </c>
      <c r="AL116" s="671">
        <f>IF(AL$2=1,Reported!AL215,Reported!AL215-Reported!AK215)</f>
        <v/>
      </c>
      <c r="AM116" s="671">
        <f>IF(AM$2=1,Reported!AM215,Reported!AM215-Reported!AL215)</f>
        <v/>
      </c>
      <c r="AN116" s="671">
        <f>IF(AN$2=1,Reported!AN215,Reported!AN215-Reported!AM215)</f>
        <v/>
      </c>
      <c r="AO116" s="671">
        <f>IF(AO$2=1,Reported!AO215,Reported!AO215-Reported!AN215)</f>
        <v/>
      </c>
      <c r="AP116" s="671">
        <f>IF(AP$2=1,Reported!AP215,Reported!AP215-Reported!AO215)</f>
        <v/>
      </c>
      <c r="AQ116" s="671">
        <f>IF(AQ$2=1,Reported!AQ215,Reported!AQ215-Reported!AP215)</f>
        <v/>
      </c>
      <c r="AR116" s="671">
        <f>IF(AR$2=1,Reported!AR215,Reported!AR215-Reported!AQ215)</f>
        <v/>
      </c>
      <c r="AS116" s="671">
        <f>IF(AS$2=1,Reported!AS215,Reported!AS215-Reported!AR215)</f>
        <v/>
      </c>
      <c r="AT116" s="671">
        <f>IF(AT$2=1,Reported!AT215,Reported!AT215-Reported!AS215)</f>
        <v/>
      </c>
      <c r="AU116" s="671">
        <f>IF(AU$2=1,Reported!AU215,Reported!AU215-Reported!AT215)</f>
        <v/>
      </c>
      <c r="AV116" s="671">
        <f>IF(AV$2=1,Reported!AV215,Reported!AV215-Reported!AU215)</f>
        <v/>
      </c>
      <c r="AW116" s="671">
        <f>IF(AW$2=1,Reported!AW215,Reported!AW215-Reported!AV215)</f>
        <v/>
      </c>
      <c r="AX116" s="671">
        <f>IF(AX$2=1,Reported!AX215,Reported!AX215-Reported!AW215)</f>
        <v/>
      </c>
      <c r="AY116" s="671">
        <f>IF(AY$2=1,Reported!AY215,Reported!AY215-Reported!AX215)</f>
        <v/>
      </c>
      <c r="AZ116" s="671">
        <f>IF(AZ$2=1,Reported!AZ215,Reported!AZ215-Reported!AY215)</f>
        <v/>
      </c>
      <c r="BA116" s="671">
        <f>IF(BA$2=1,Reported!BA215,Reported!BA215-Reported!AZ215)</f>
        <v/>
      </c>
      <c r="BB116" s="671">
        <f>IF(BB$2=1,Reported!BB215,Reported!BB215-Reported!BA215)</f>
        <v/>
      </c>
      <c r="BC116" s="671">
        <f>IF(BC$2=1,Reported!BC215,Reported!BC215-Reported!BB215)</f>
        <v/>
      </c>
      <c r="BD116" s="671">
        <f>IF(BD$2=1,Reported!BD215,Reported!BD215-Reported!BC215)</f>
        <v/>
      </c>
      <c r="BE116" s="671">
        <f>IF(BE$2=1,Reported!BE215,Reported!BE215-Reported!BD215)</f>
        <v/>
      </c>
      <c r="BF116" s="671">
        <f>IF(BF$2=1,Reported!BF215,Reported!BF215-Reported!BE215)</f>
        <v/>
      </c>
      <c r="BG116" s="671">
        <f>IF(BG$2=1,Reported!BG215,Reported!BG215-Reported!BF215)</f>
        <v/>
      </c>
      <c r="BH116" s="671">
        <f>IF(BH$2=1,Reported!BH215,Reported!BH215-Reported!BG215)</f>
        <v/>
      </c>
      <c r="BI116" s="671">
        <f>IF(BI$2=1,Reported!BI215,Reported!BI215-Reported!BH215)</f>
        <v/>
      </c>
      <c r="BJ116" s="671">
        <f>IF(BJ$2=1,Reported!BJ215,Reported!BJ215-Reported!BI215)</f>
        <v/>
      </c>
      <c r="BK116" s="671">
        <f>IF(BK$2=1,Reported!BK215,Reported!BK215-Reported!BJ215)</f>
        <v/>
      </c>
      <c r="BL116" s="671">
        <f>IF(BL$2=1,Reported!BL215,Reported!BL215-Reported!BK215)</f>
        <v/>
      </c>
      <c r="BM116" s="671">
        <f>IF(BM$2=1,Reported!BM215,Reported!BM215-Reported!BL215)</f>
        <v/>
      </c>
      <c r="BN116" s="671">
        <f>IF(BN$2=1,Reported!BN215,Reported!BN215-Reported!BM215)</f>
        <v/>
      </c>
      <c r="BO116" s="671">
        <f>IF(BO$2=1,Reported!BO215,Reported!BO215-Reported!BN215)</f>
        <v/>
      </c>
      <c r="BP116" s="671">
        <f>IF(BP$2=1,Reported!BP215,Reported!BP215-Reported!BO215)</f>
        <v/>
      </c>
      <c r="BQ116" s="671">
        <f>IF(BQ$2=1,Reported!BQ215,Reported!BQ215-Reported!BP215)</f>
        <v/>
      </c>
      <c r="BR116" s="671">
        <f>IF(BR$2=1,Reported!BR215,Reported!BR215-Reported!BQ215)</f>
        <v/>
      </c>
      <c r="BS116" s="519">
        <f>BS102+BS107+BS113+BS115</f>
        <v/>
      </c>
      <c r="BT116" s="519">
        <f>BT102+BT107+BT113+BT115</f>
        <v/>
      </c>
      <c r="BU116" s="519">
        <f>BU102+BU107+BU113+BU115</f>
        <v/>
      </c>
      <c r="BV116" s="519">
        <f>BV102+BV107+BV113+BV115</f>
        <v/>
      </c>
      <c r="BW116" s="519">
        <f>BW102+BW107+BW113+BW115</f>
        <v/>
      </c>
      <c r="BX116" s="519">
        <f>BX102+BX107+BX113+BX115</f>
        <v/>
      </c>
      <c r="BY116" s="519">
        <f>BY102+BY107+BY113+BY115</f>
        <v/>
      </c>
      <c r="BZ116" s="519">
        <f>BZ102+BZ107+BZ113+BZ115</f>
        <v/>
      </c>
      <c r="CA116" s="519">
        <f>CA102+CA107+CA113+CA115</f>
        <v/>
      </c>
      <c r="CB116" s="519">
        <f>CB102+CB107+CB113+CB115</f>
        <v/>
      </c>
      <c r="CC116" s="519">
        <f>CC102+CC107+CC113+CC115</f>
        <v/>
      </c>
      <c r="CD116" s="519">
        <f>CD102+CD107+CD113+CD115</f>
        <v/>
      </c>
      <c r="CE116" s="519">
        <f>CE102+CE107+CE113+CE115</f>
        <v/>
      </c>
      <c r="CF116" s="519">
        <f>CF102+CF107+CF113+CF115</f>
        <v/>
      </c>
      <c r="CG116" s="519">
        <f>CG102+CG107+CG113+CG115</f>
        <v/>
      </c>
      <c r="CH116" s="519">
        <f>CH102+CH107+CH113+CH115</f>
        <v/>
      </c>
      <c r="CI116" s="519">
        <f>CI102+CI107+CI113+CI115</f>
        <v/>
      </c>
      <c r="CJ116" s="519">
        <f>CJ102+CJ107+CJ113+CJ115</f>
        <v/>
      </c>
      <c r="CK116" s="519">
        <f>CK102+CK107+CK113+CK115</f>
        <v/>
      </c>
    </row>
    <row r="117">
      <c r="A117" s="502" t="inlineStr">
        <is>
          <t>Cash and cash equivalents - Beginning of period</t>
        </is>
      </c>
      <c r="B117" s="145" t="n"/>
      <c r="C117" s="145" t="n"/>
      <c r="D117" s="145" t="n"/>
      <c r="E117" s="145" t="n"/>
      <c r="F117" s="145" t="n"/>
      <c r="G117" s="145" t="n"/>
      <c r="H117" s="145" t="n"/>
      <c r="I117" s="145" t="n"/>
      <c r="J117" s="145" t="n"/>
      <c r="K117" s="145" t="n"/>
      <c r="L117" s="145" t="n"/>
      <c r="M117" s="145" t="n"/>
      <c r="N117" s="509">
        <f>Reported!N216</f>
        <v/>
      </c>
      <c r="O117" s="143">
        <f>N120</f>
        <v/>
      </c>
      <c r="P117" s="143">
        <f>O120</f>
        <v/>
      </c>
      <c r="Q117" s="143">
        <f>P120</f>
        <v/>
      </c>
      <c r="R117" s="143">
        <f>Q120</f>
        <v/>
      </c>
      <c r="S117" s="143">
        <f>R120</f>
        <v/>
      </c>
      <c r="T117" s="143">
        <f>S120</f>
        <v/>
      </c>
      <c r="U117" s="143">
        <f>T120</f>
        <v/>
      </c>
      <c r="V117" s="143">
        <f>U120</f>
        <v/>
      </c>
      <c r="W117" s="143">
        <f>V120</f>
        <v/>
      </c>
      <c r="X117" s="143">
        <f>W120</f>
        <v/>
      </c>
      <c r="Y117" s="143">
        <f>X120</f>
        <v/>
      </c>
      <c r="Z117" s="143">
        <f>Y120</f>
        <v/>
      </c>
      <c r="AA117" s="143">
        <f>Z120</f>
        <v/>
      </c>
      <c r="AB117" s="143">
        <f>AA120</f>
        <v/>
      </c>
      <c r="AC117" s="143">
        <f>AB120</f>
        <v/>
      </c>
      <c r="AD117" s="143">
        <f>AC120</f>
        <v/>
      </c>
      <c r="AE117" s="143">
        <f>AD120</f>
        <v/>
      </c>
      <c r="AF117" s="143">
        <f>AE120</f>
        <v/>
      </c>
      <c r="AG117" s="143">
        <f>AF120</f>
        <v/>
      </c>
      <c r="AH117" s="143">
        <f>AG120</f>
        <v/>
      </c>
      <c r="AI117" s="143">
        <f>AH120</f>
        <v/>
      </c>
      <c r="AJ117" s="143">
        <f>AI120</f>
        <v/>
      </c>
      <c r="AK117" s="143">
        <f>AJ120</f>
        <v/>
      </c>
      <c r="AL117" s="143">
        <f>AK120</f>
        <v/>
      </c>
      <c r="AM117" s="143">
        <f>AL120</f>
        <v/>
      </c>
      <c r="AN117" s="143">
        <f>AM120</f>
        <v/>
      </c>
      <c r="AO117" s="143">
        <f>AN120</f>
        <v/>
      </c>
      <c r="AP117" s="143">
        <f>AO120</f>
        <v/>
      </c>
      <c r="AQ117" s="143">
        <f>AP120</f>
        <v/>
      </c>
      <c r="AR117" s="143">
        <f>AQ120</f>
        <v/>
      </c>
      <c r="AS117" s="143">
        <f>AR120</f>
        <v/>
      </c>
      <c r="AT117" s="143">
        <f>AS120</f>
        <v/>
      </c>
      <c r="AU117" s="143">
        <f>AT120</f>
        <v/>
      </c>
      <c r="AV117" s="143">
        <f>AU120</f>
        <v/>
      </c>
      <c r="AW117" s="143">
        <f>AV120</f>
        <v/>
      </c>
      <c r="AX117" s="143">
        <f>AW120</f>
        <v/>
      </c>
      <c r="AY117" s="143">
        <f>AX120</f>
        <v/>
      </c>
      <c r="AZ117" s="143">
        <f>AY120</f>
        <v/>
      </c>
      <c r="BA117" s="143">
        <f>AZ120</f>
        <v/>
      </c>
      <c r="BB117" s="143">
        <f>BA118</f>
        <v/>
      </c>
      <c r="BC117" s="143">
        <f>BB118</f>
        <v/>
      </c>
      <c r="BD117" s="143">
        <f>BC118</f>
        <v/>
      </c>
      <c r="BE117" s="143">
        <f>BD118</f>
        <v/>
      </c>
      <c r="BF117" s="143">
        <f>BE118</f>
        <v/>
      </c>
      <c r="BG117" s="143">
        <f>BF118</f>
        <v/>
      </c>
      <c r="BH117" s="143">
        <f>BG118</f>
        <v/>
      </c>
      <c r="BI117" s="143">
        <f>BH118</f>
        <v/>
      </c>
      <c r="BJ117" s="143">
        <f>BI118</f>
        <v/>
      </c>
      <c r="BK117" s="143">
        <f>BJ118</f>
        <v/>
      </c>
      <c r="BL117" s="143">
        <f>BK118</f>
        <v/>
      </c>
      <c r="BM117" s="143">
        <f>BL118</f>
        <v/>
      </c>
      <c r="BN117" s="143">
        <f>BM118</f>
        <v/>
      </c>
      <c r="BO117" s="143">
        <f>BN118</f>
        <v/>
      </c>
      <c r="BP117" s="143">
        <f>BO118</f>
        <v/>
      </c>
      <c r="BQ117" s="143">
        <f>BP118</f>
        <v/>
      </c>
      <c r="BR117" s="143">
        <f>BQ118</f>
        <v/>
      </c>
      <c r="BS117" s="143">
        <f>BR120</f>
        <v/>
      </c>
      <c r="BT117" s="143">
        <f>BS120</f>
        <v/>
      </c>
      <c r="BU117" s="143">
        <f>BT120</f>
        <v/>
      </c>
      <c r="BV117" s="143">
        <f>BU120</f>
        <v/>
      </c>
      <c r="BW117" s="143">
        <f>BV120</f>
        <v/>
      </c>
      <c r="BX117" s="143">
        <f>BW120</f>
        <v/>
      </c>
      <c r="BY117" s="143">
        <f>BX120</f>
        <v/>
      </c>
      <c r="BZ117" s="143">
        <f>BY120</f>
        <v/>
      </c>
      <c r="CA117" s="143">
        <f>BZ120</f>
        <v/>
      </c>
      <c r="CB117" s="143">
        <f>CA120</f>
        <v/>
      </c>
      <c r="CC117" s="143">
        <f>CB120</f>
        <v/>
      </c>
      <c r="CD117" s="143">
        <f>CC120</f>
        <v/>
      </c>
      <c r="CE117" s="143">
        <f>CD120</f>
        <v/>
      </c>
      <c r="CF117" s="143">
        <f>CE120</f>
        <v/>
      </c>
      <c r="CG117" s="143">
        <f>CF120</f>
        <v/>
      </c>
      <c r="CH117" s="143">
        <f>CG120</f>
        <v/>
      </c>
      <c r="CI117" s="143">
        <f>CH120</f>
        <v/>
      </c>
      <c r="CJ117" s="143">
        <f>CI120</f>
        <v/>
      </c>
      <c r="CK117" s="143">
        <f>CJ120</f>
        <v/>
      </c>
    </row>
    <row r="118" outlineLevel="1">
      <c r="A118" s="502" t="inlineStr">
        <is>
          <t>Cash and cash equivalents - Ending balance</t>
        </is>
      </c>
      <c r="B118" s="145" t="n"/>
      <c r="C118" s="145" t="n"/>
      <c r="D118" s="145" t="n"/>
      <c r="E118" s="145" t="n"/>
      <c r="F118" s="145" t="n"/>
      <c r="G118" s="145" t="n"/>
      <c r="H118" s="145" t="n"/>
      <c r="I118" s="145" t="n"/>
      <c r="J118" s="145" t="n"/>
      <c r="K118" s="145" t="n"/>
      <c r="L118" s="145" t="n"/>
      <c r="M118" s="145" t="n"/>
      <c r="N118" s="509" t="n"/>
      <c r="O118" s="143" t="n"/>
      <c r="P118" s="143" t="n"/>
      <c r="Q118" s="143" t="n"/>
      <c r="R118" s="143" t="n"/>
      <c r="S118" s="143" t="n"/>
      <c r="T118" s="143" t="n"/>
      <c r="U118" s="143" t="n"/>
      <c r="V118" s="143" t="n"/>
      <c r="W118" s="143" t="n"/>
      <c r="X118" s="143" t="n"/>
      <c r="Y118" s="143" t="n"/>
      <c r="Z118" s="143" t="n"/>
      <c r="AA118" s="143" t="n"/>
      <c r="AB118" s="143" t="n"/>
      <c r="AC118" s="143" t="n"/>
      <c r="AD118" s="143" t="n"/>
      <c r="AE118" s="143" t="n"/>
      <c r="AF118" s="143" t="n"/>
      <c r="AG118" s="143" t="n"/>
      <c r="AH118" s="143" t="n"/>
      <c r="AI118" s="143" t="n"/>
      <c r="AJ118" s="143" t="n"/>
      <c r="AK118" s="143" t="n"/>
      <c r="AL118" s="143" t="n"/>
      <c r="AM118" s="143" t="n"/>
      <c r="AN118" s="143" t="n"/>
      <c r="AO118" s="143" t="n"/>
      <c r="AP118" s="143" t="n"/>
      <c r="AQ118" s="143" t="n"/>
      <c r="AR118" s="143" t="n"/>
      <c r="AS118" s="143" t="n"/>
      <c r="AT118" s="143" t="n"/>
      <c r="AU118" s="143" t="n"/>
      <c r="AV118" s="143" t="n"/>
      <c r="AW118" s="143" t="n"/>
      <c r="AX118" s="143" t="n"/>
      <c r="AY118" s="143" t="n"/>
      <c r="AZ118" s="143" t="n"/>
      <c r="BA118" s="147">
        <f>BA117+BA116</f>
        <v/>
      </c>
      <c r="BB118" s="147">
        <f>BB117+BB116</f>
        <v/>
      </c>
      <c r="BC118" s="147">
        <f>BC117+BC116</f>
        <v/>
      </c>
      <c r="BD118" s="147">
        <f>BD117+BD116</f>
        <v/>
      </c>
      <c r="BE118" s="147">
        <f>BE117+BE116</f>
        <v/>
      </c>
      <c r="BF118" s="147">
        <f>BF117+BF116</f>
        <v/>
      </c>
      <c r="BG118" s="147">
        <f>BG117+BG116</f>
        <v/>
      </c>
      <c r="BH118" s="147">
        <f>BH117+BH116</f>
        <v/>
      </c>
      <c r="BI118" s="147">
        <f>BI117+BI116</f>
        <v/>
      </c>
      <c r="BJ118" s="147">
        <f>BJ117+BJ116</f>
        <v/>
      </c>
      <c r="BK118" s="147">
        <f>BK117+BK116</f>
        <v/>
      </c>
      <c r="BL118" s="147">
        <f>BL117+BL116</f>
        <v/>
      </c>
      <c r="BM118" s="147">
        <f>BM117+BM116</f>
        <v/>
      </c>
      <c r="BN118" s="147">
        <f>BN117+BN116</f>
        <v/>
      </c>
      <c r="BO118" s="147">
        <f>BO117+BO116</f>
        <v/>
      </c>
      <c r="BP118" s="147">
        <f>BP117+BP116</f>
        <v/>
      </c>
      <c r="BQ118" s="147">
        <f>BQ117+BQ116</f>
        <v/>
      </c>
      <c r="BR118" s="147">
        <f>BR117+BR116</f>
        <v/>
      </c>
      <c r="BS118" s="143" t="n"/>
      <c r="BT118" s="143" t="n"/>
      <c r="BU118" s="143" t="n"/>
      <c r="BV118" s="143" t="n"/>
      <c r="BW118" s="143" t="n"/>
      <c r="BX118" s="143" t="n"/>
      <c r="BY118" s="143" t="n"/>
      <c r="BZ118" s="143" t="n"/>
      <c r="CA118" s="143" t="n"/>
      <c r="CB118" s="143" t="n"/>
      <c r="CC118" s="143" t="n"/>
      <c r="CD118" s="143" t="n"/>
      <c r="CE118" s="143" t="n"/>
      <c r="CF118" s="143" t="n"/>
      <c r="CG118" s="143" t="n"/>
      <c r="CH118" s="143" t="n"/>
      <c r="CI118" s="143" t="n"/>
      <c r="CJ118" s="143" t="n"/>
      <c r="CK118" s="143" t="n"/>
    </row>
    <row r="119" outlineLevel="1">
      <c r="A119" s="502" t="inlineStr">
        <is>
          <t>Less: restricted cash included in other current assets and other assets</t>
        </is>
      </c>
      <c r="B119" s="145" t="n"/>
      <c r="C119" s="145" t="n"/>
      <c r="D119" s="145" t="n"/>
      <c r="E119" s="145" t="n"/>
      <c r="F119" s="145" t="n"/>
      <c r="G119" s="145" t="n"/>
      <c r="H119" s="145" t="n"/>
      <c r="I119" s="145" t="n"/>
      <c r="J119" s="145" t="n"/>
      <c r="K119" s="145" t="n"/>
      <c r="L119" s="145" t="n"/>
      <c r="M119" s="145" t="n"/>
      <c r="N119" s="509" t="n"/>
      <c r="O119" s="143" t="n"/>
      <c r="P119" s="143" t="n"/>
      <c r="Q119" s="143" t="n"/>
      <c r="R119" s="143" t="n"/>
      <c r="S119" s="143" t="n"/>
      <c r="T119" s="143" t="n"/>
      <c r="U119" s="143" t="n"/>
      <c r="V119" s="143" t="n"/>
      <c r="W119" s="143" t="n"/>
      <c r="X119" s="143" t="n"/>
      <c r="Y119" s="143" t="n"/>
      <c r="Z119" s="143" t="n"/>
      <c r="AA119" s="143" t="n"/>
      <c r="AB119" s="143" t="n"/>
      <c r="AC119" s="143" t="n"/>
      <c r="AD119" s="143" t="n"/>
      <c r="AE119" s="143" t="n"/>
      <c r="AF119" s="143" t="n"/>
      <c r="AG119" s="143" t="n"/>
      <c r="AH119" s="143" t="n"/>
      <c r="AI119" s="143" t="n"/>
      <c r="AJ119" s="143" t="n"/>
      <c r="AK119" s="143" t="n"/>
      <c r="AL119" s="143" t="n"/>
      <c r="AM119" s="143" t="n"/>
      <c r="AN119" s="143" t="n"/>
      <c r="AO119" s="143" t="n"/>
      <c r="AP119" s="143" t="n"/>
      <c r="AQ119" s="143" t="n"/>
      <c r="AR119" s="143" t="n"/>
      <c r="AS119" s="143" t="n"/>
      <c r="AT119" s="143" t="n"/>
      <c r="AU119" s="143" t="n"/>
      <c r="AV119" s="143" t="n"/>
      <c r="AW119" s="143" t="n"/>
      <c r="AX119" s="143" t="n"/>
      <c r="AY119" s="143" t="n"/>
      <c r="AZ119" s="143" t="n"/>
      <c r="BA119" s="509">
        <f>Reported!BA218</f>
        <v/>
      </c>
      <c r="BB119" s="509">
        <f>Reported!BB218</f>
        <v/>
      </c>
      <c r="BC119" s="509">
        <f>Reported!BC218</f>
        <v/>
      </c>
      <c r="BD119" s="509">
        <f>Reported!BD218</f>
        <v/>
      </c>
      <c r="BE119" s="509">
        <f>Reported!BE218</f>
        <v/>
      </c>
      <c r="BF119" s="509">
        <f>Reported!BF218</f>
        <v/>
      </c>
      <c r="BG119" s="509">
        <f>Reported!BG218</f>
        <v/>
      </c>
      <c r="BH119" s="509">
        <f>Reported!BH218</f>
        <v/>
      </c>
      <c r="BI119" s="509">
        <f>Reported!BI218</f>
        <v/>
      </c>
      <c r="BJ119" s="509">
        <f>Reported!BJ218</f>
        <v/>
      </c>
      <c r="BK119" s="509">
        <f>Reported!BK218</f>
        <v/>
      </c>
      <c r="BL119" s="509">
        <f>Reported!BL218</f>
        <v/>
      </c>
      <c r="BM119" s="509">
        <f>Reported!BM218</f>
        <v/>
      </c>
      <c r="BN119" s="509">
        <f>Reported!BN218</f>
        <v/>
      </c>
      <c r="BO119" s="509">
        <f>Reported!BO218</f>
        <v/>
      </c>
      <c r="BP119" s="509">
        <f>Reported!BP218</f>
        <v/>
      </c>
      <c r="BQ119" s="509">
        <f>Reported!BQ218</f>
        <v/>
      </c>
      <c r="BR119" s="509">
        <f>Reported!BR218</f>
        <v/>
      </c>
      <c r="BS119" s="143" t="n"/>
      <c r="BT119" s="143" t="n"/>
      <c r="BU119" s="143" t="n"/>
      <c r="BV119" s="143" t="n"/>
      <c r="BW119" s="143" t="n"/>
      <c r="BX119" s="143" t="n"/>
      <c r="BY119" s="143" t="n"/>
      <c r="BZ119" s="143" t="n"/>
      <c r="CA119" s="143" t="n"/>
      <c r="CB119" s="143" t="n"/>
      <c r="CC119" s="143" t="n"/>
      <c r="CD119" s="143" t="n"/>
      <c r="CE119" s="143" t="n"/>
      <c r="CF119" s="143" t="n"/>
      <c r="CG119" s="143" t="n"/>
      <c r="CH119" s="143" t="n"/>
      <c r="CI119" s="143" t="n"/>
      <c r="CJ119" s="143" t="n"/>
      <c r="CK119" s="143" t="n"/>
    </row>
    <row r="120">
      <c r="A120" s="502" t="inlineStr">
        <is>
          <t>Cash and cash equivalents - End of period</t>
        </is>
      </c>
      <c r="B120" s="145" t="n"/>
      <c r="C120" s="145" t="n"/>
      <c r="D120" s="145" t="n"/>
      <c r="E120" s="145" t="n"/>
      <c r="F120" s="145" t="n"/>
      <c r="G120" s="145" t="n"/>
      <c r="H120" s="145" t="n"/>
      <c r="I120" s="145" t="n"/>
      <c r="J120" s="145" t="n"/>
      <c r="K120" s="145" t="n"/>
      <c r="L120" s="145" t="n"/>
      <c r="M120" s="145" t="n"/>
      <c r="N120" s="509">
        <f>Reported!N219</f>
        <v/>
      </c>
      <c r="O120" s="509">
        <f>Reported!O219</f>
        <v/>
      </c>
      <c r="P120" s="509">
        <f>Reported!P219</f>
        <v/>
      </c>
      <c r="Q120" s="509">
        <f>Reported!Q219</f>
        <v/>
      </c>
      <c r="R120" s="509">
        <f>Reported!R219</f>
        <v/>
      </c>
      <c r="S120" s="509">
        <f>Reported!S219</f>
        <v/>
      </c>
      <c r="T120" s="509">
        <f>Reported!T219</f>
        <v/>
      </c>
      <c r="U120" s="509">
        <f>Reported!U219</f>
        <v/>
      </c>
      <c r="V120" s="509">
        <f>Reported!V219</f>
        <v/>
      </c>
      <c r="W120" s="509">
        <f>Reported!W219</f>
        <v/>
      </c>
      <c r="X120" s="509">
        <f>Reported!X219</f>
        <v/>
      </c>
      <c r="Y120" s="509">
        <f>Reported!Y219</f>
        <v/>
      </c>
      <c r="Z120" s="509">
        <f>Reported!Z219</f>
        <v/>
      </c>
      <c r="AA120" s="509">
        <f>Reported!AA219</f>
        <v/>
      </c>
      <c r="AB120" s="509">
        <f>Reported!AB219</f>
        <v/>
      </c>
      <c r="AC120" s="509">
        <f>Reported!AC219</f>
        <v/>
      </c>
      <c r="AD120" s="509">
        <f>Reported!AD219</f>
        <v/>
      </c>
      <c r="AE120" s="509">
        <f>Reported!AE219</f>
        <v/>
      </c>
      <c r="AF120" s="509">
        <f>Reported!AF219</f>
        <v/>
      </c>
      <c r="AG120" s="509">
        <f>Reported!AG219</f>
        <v/>
      </c>
      <c r="AH120" s="509">
        <f>Reported!AH219</f>
        <v/>
      </c>
      <c r="AI120" s="509">
        <f>Reported!AI219</f>
        <v/>
      </c>
      <c r="AJ120" s="509">
        <f>Reported!AJ219</f>
        <v/>
      </c>
      <c r="AK120" s="509">
        <f>Reported!AK219</f>
        <v/>
      </c>
      <c r="AL120" s="509">
        <f>Reported!AL219</f>
        <v/>
      </c>
      <c r="AM120" s="509">
        <f>Reported!AM219</f>
        <v/>
      </c>
      <c r="AN120" s="509">
        <f>Reported!AN219</f>
        <v/>
      </c>
      <c r="AO120" s="509">
        <f>Reported!AO219</f>
        <v/>
      </c>
      <c r="AP120" s="509">
        <f>Reported!AP219</f>
        <v/>
      </c>
      <c r="AQ120" s="509">
        <f>Reported!AQ219</f>
        <v/>
      </c>
      <c r="AR120" s="509">
        <f>Reported!AR219</f>
        <v/>
      </c>
      <c r="AS120" s="509">
        <f>Reported!AS219</f>
        <v/>
      </c>
      <c r="AT120" s="509">
        <f>Reported!AT219</f>
        <v/>
      </c>
      <c r="AU120" s="509">
        <f>Reported!AU219</f>
        <v/>
      </c>
      <c r="AV120" s="509">
        <f>Reported!AV219</f>
        <v/>
      </c>
      <c r="AW120" s="509">
        <f>Reported!AW219</f>
        <v/>
      </c>
      <c r="AX120" s="509">
        <f>Reported!AX219</f>
        <v/>
      </c>
      <c r="AY120" s="509">
        <f>Reported!AY219</f>
        <v/>
      </c>
      <c r="AZ120" s="509">
        <f>Reported!AZ219</f>
        <v/>
      </c>
      <c r="BA120" s="509">
        <f>Reported!BA219</f>
        <v/>
      </c>
      <c r="BB120" s="509">
        <f>Reported!BB219</f>
        <v/>
      </c>
      <c r="BC120" s="509">
        <f>Reported!BC219</f>
        <v/>
      </c>
      <c r="BD120" s="509">
        <f>Reported!BD219</f>
        <v/>
      </c>
      <c r="BE120" s="509">
        <f>Reported!BE219</f>
        <v/>
      </c>
      <c r="BF120" s="509">
        <f>Reported!BF219</f>
        <v/>
      </c>
      <c r="BG120" s="509">
        <f>Reported!BG219</f>
        <v/>
      </c>
      <c r="BH120" s="509">
        <f>Reported!BH219</f>
        <v/>
      </c>
      <c r="BI120" s="509">
        <f>Reported!BI219</f>
        <v/>
      </c>
      <c r="BJ120" s="509">
        <f>Reported!BJ219</f>
        <v/>
      </c>
      <c r="BK120" s="509">
        <f>Reported!BK219</f>
        <v/>
      </c>
      <c r="BL120" s="509">
        <f>Reported!BL219</f>
        <v/>
      </c>
      <c r="BM120" s="509">
        <f>Reported!BM219</f>
        <v/>
      </c>
      <c r="BN120" s="509">
        <f>Reported!BN219</f>
        <v/>
      </c>
      <c r="BO120" s="509">
        <f>Reported!BO219</f>
        <v/>
      </c>
      <c r="BP120" s="509">
        <f>Reported!BP219</f>
        <v/>
      </c>
      <c r="BQ120" s="509">
        <f>Reported!BQ219</f>
        <v/>
      </c>
      <c r="BR120" s="509">
        <f>Reported!BR219</f>
        <v/>
      </c>
      <c r="BS120" s="108">
        <f>BS117+BS116</f>
        <v/>
      </c>
      <c r="BT120" s="108">
        <f>BT117+BT116</f>
        <v/>
      </c>
      <c r="BU120" s="108">
        <f>BU117+BU116</f>
        <v/>
      </c>
      <c r="BV120" s="108">
        <f>BV117+BV116</f>
        <v/>
      </c>
      <c r="BW120" s="108">
        <f>BW117+BW116</f>
        <v/>
      </c>
      <c r="BX120" s="108">
        <f>BX117+BX116</f>
        <v/>
      </c>
      <c r="BY120" s="108">
        <f>BY117+BY116</f>
        <v/>
      </c>
      <c r="BZ120" s="108">
        <f>BZ117+BZ116</f>
        <v/>
      </c>
      <c r="CA120" s="108">
        <f>CA117+CA116</f>
        <v/>
      </c>
      <c r="CB120" s="108">
        <f>CB117+CB116</f>
        <v/>
      </c>
      <c r="CC120" s="108">
        <f>CC117+CC116</f>
        <v/>
      </c>
      <c r="CD120" s="108">
        <f>CD117+CD116</f>
        <v/>
      </c>
      <c r="CE120" s="108">
        <f>CE117+CE116</f>
        <v/>
      </c>
      <c r="CF120" s="108">
        <f>CF117+CF116</f>
        <v/>
      </c>
      <c r="CG120" s="108">
        <f>CG117+CG116</f>
        <v/>
      </c>
      <c r="CH120" s="108">
        <f>CH117+CH116</f>
        <v/>
      </c>
      <c r="CI120" s="108">
        <f>CI117+CI116</f>
        <v/>
      </c>
      <c r="CJ120" s="108">
        <f>CJ117+CJ116</f>
        <v/>
      </c>
      <c r="CK120" s="108">
        <f>CK117+CK116</f>
        <v/>
      </c>
    </row>
    <row r="122">
      <c r="A122" s="455" t="inlineStr">
        <is>
          <t>Check</t>
        </is>
      </c>
      <c r="B122" s="400">
        <f>B91-B25</f>
        <v/>
      </c>
      <c r="C122" s="400">
        <f>C91-C25</f>
        <v/>
      </c>
      <c r="D122" s="400">
        <f>D91-D25</f>
        <v/>
      </c>
      <c r="E122" s="400">
        <f>E91-E25</f>
        <v/>
      </c>
      <c r="F122" s="400">
        <f>F91-F25</f>
        <v/>
      </c>
      <c r="G122" s="400">
        <f>G91-G25</f>
        <v/>
      </c>
      <c r="H122" s="400">
        <f>H91-H25</f>
        <v/>
      </c>
      <c r="I122" s="400">
        <f>I91-I25</f>
        <v/>
      </c>
      <c r="J122" s="400">
        <f>J91-J25</f>
        <v/>
      </c>
      <c r="K122" s="400">
        <f>K91-K25</f>
        <v/>
      </c>
      <c r="L122" s="400">
        <f>L91-L25</f>
        <v/>
      </c>
      <c r="M122" s="400">
        <f>M91-M25</f>
        <v/>
      </c>
      <c r="N122" s="400">
        <f>N91-N25</f>
        <v/>
      </c>
      <c r="O122" s="400">
        <f>O91-O25</f>
        <v/>
      </c>
      <c r="P122" s="400">
        <f>P91-P25</f>
        <v/>
      </c>
      <c r="Q122" s="400">
        <f>Q91-Q25</f>
        <v/>
      </c>
      <c r="R122" s="400">
        <f>R91-R25</f>
        <v/>
      </c>
      <c r="S122" s="400">
        <f>S91-S25</f>
        <v/>
      </c>
      <c r="T122" s="400">
        <f>T91-T25</f>
        <v/>
      </c>
      <c r="U122" s="400">
        <f>U91-U25</f>
        <v/>
      </c>
      <c r="V122" s="400">
        <f>V91-V25</f>
        <v/>
      </c>
      <c r="W122" s="400">
        <f>W91-W25</f>
        <v/>
      </c>
      <c r="X122" s="400">
        <f>X91-X25</f>
        <v/>
      </c>
      <c r="Y122" s="400">
        <f>Y91-Y25</f>
        <v/>
      </c>
      <c r="Z122" s="400">
        <f>Z91-Z25</f>
        <v/>
      </c>
      <c r="AA122" s="400">
        <f>AA91-AA25</f>
        <v/>
      </c>
      <c r="AB122" s="400">
        <f>AB91-AB25</f>
        <v/>
      </c>
      <c r="AC122" s="400">
        <f>AC91-AC25</f>
        <v/>
      </c>
      <c r="AD122" s="400">
        <f>AD91-AD25</f>
        <v/>
      </c>
      <c r="AE122" s="400">
        <f>AE91-AE25</f>
        <v/>
      </c>
      <c r="AF122" s="400">
        <f>AF91-AF25</f>
        <v/>
      </c>
      <c r="AG122" s="400">
        <f>AG91-AG25</f>
        <v/>
      </c>
      <c r="AH122" s="400">
        <f>AH91-AH25</f>
        <v/>
      </c>
      <c r="AI122" s="400">
        <f>AI91-AI25</f>
        <v/>
      </c>
      <c r="AJ122" s="400">
        <f>AJ91-AJ25</f>
        <v/>
      </c>
      <c r="AK122" s="400">
        <f>AK91-AK25</f>
        <v/>
      </c>
      <c r="AL122" s="400">
        <f>AL91-AL25</f>
        <v/>
      </c>
      <c r="AM122" s="400">
        <f>AM91-AM25</f>
        <v/>
      </c>
      <c r="AN122" s="400">
        <f>AN91-AN25</f>
        <v/>
      </c>
      <c r="AO122" s="400">
        <f>AO91-AO25</f>
        <v/>
      </c>
      <c r="AP122" s="400">
        <f>AP91-AP25</f>
        <v/>
      </c>
      <c r="AQ122" s="400">
        <f>AQ91-AQ25</f>
        <v/>
      </c>
      <c r="AR122" s="400">
        <f>AR91-AR25</f>
        <v/>
      </c>
      <c r="AS122" s="400">
        <f>AS91-AS25</f>
        <v/>
      </c>
      <c r="AT122" s="400">
        <f>AT91-AT25</f>
        <v/>
      </c>
      <c r="AU122" s="400">
        <f>AU91-AU25</f>
        <v/>
      </c>
      <c r="AV122" s="400">
        <f>AV91-AV25</f>
        <v/>
      </c>
      <c r="AW122" s="400">
        <f>AW91-AW25</f>
        <v/>
      </c>
      <c r="AX122" s="400">
        <f>AX91-AX25</f>
        <v/>
      </c>
      <c r="AY122" s="400">
        <f>AY91-AY25</f>
        <v/>
      </c>
      <c r="AZ122" s="400">
        <f>AZ91-AZ25</f>
        <v/>
      </c>
      <c r="BA122" s="400">
        <f>BA91-BA25</f>
        <v/>
      </c>
      <c r="BB122" s="400">
        <f>BB91-BB25</f>
        <v/>
      </c>
      <c r="BC122" s="400">
        <f>BC91-BC25</f>
        <v/>
      </c>
      <c r="BD122" s="400">
        <f>BD91-BD25</f>
        <v/>
      </c>
      <c r="BE122" s="400">
        <f>BE91-BE25</f>
        <v/>
      </c>
      <c r="BF122" s="400">
        <f>BF91-BF25</f>
        <v/>
      </c>
      <c r="BG122" s="400">
        <f>BG91-BG25</f>
        <v/>
      </c>
      <c r="BH122" s="400">
        <f>BH91-BH25</f>
        <v/>
      </c>
      <c r="BI122" s="400">
        <f>BI91-BI25</f>
        <v/>
      </c>
      <c r="BJ122" s="400">
        <f>BJ91-BJ25</f>
        <v/>
      </c>
      <c r="BK122" s="400">
        <f>BK91-BK25</f>
        <v/>
      </c>
      <c r="BL122" s="400">
        <f>BL91-BL25</f>
        <v/>
      </c>
      <c r="BM122" s="400">
        <f>BM91-BM25</f>
        <v/>
      </c>
      <c r="BN122" s="400">
        <f>BN91-BN25</f>
        <v/>
      </c>
      <c r="BO122" s="400">
        <f>BO91-BO25</f>
        <v/>
      </c>
      <c r="BP122" s="400">
        <f>BP91-BP25</f>
        <v/>
      </c>
      <c r="BQ122" s="400">
        <f>BQ91-BQ25</f>
        <v/>
      </c>
      <c r="BR122" s="400">
        <f>BR91-BR25</f>
        <v/>
      </c>
      <c r="BS122" s="400">
        <f>BS91-BS25</f>
        <v/>
      </c>
      <c r="BT122" s="400">
        <f>BT91-BT25</f>
        <v/>
      </c>
      <c r="BU122" s="400">
        <f>BU91-BU25</f>
        <v/>
      </c>
      <c r="BV122" s="400">
        <f>BV91-BV25</f>
        <v/>
      </c>
      <c r="BW122" s="400">
        <f>BW91-BW25</f>
        <v/>
      </c>
      <c r="BX122" s="400">
        <f>BX91-BX25</f>
        <v/>
      </c>
      <c r="BY122" s="400">
        <f>BY91-BY25</f>
        <v/>
      </c>
      <c r="BZ122" s="400">
        <f>BZ91-BZ25</f>
        <v/>
      </c>
      <c r="CA122" s="400">
        <f>CA91-CA25</f>
        <v/>
      </c>
      <c r="CB122" s="400">
        <f>CB91-CB25</f>
        <v/>
      </c>
      <c r="CC122" s="400">
        <f>CC91-CC25</f>
        <v/>
      </c>
      <c r="CD122" s="400">
        <f>CD91-CD25</f>
        <v/>
      </c>
      <c r="CE122" s="400">
        <f>CE91-CE25</f>
        <v/>
      </c>
      <c r="CF122" s="400">
        <f>CF91-CF25</f>
        <v/>
      </c>
      <c r="CG122" s="400">
        <f>CG91-CG25</f>
        <v/>
      </c>
      <c r="CH122" s="400">
        <f>CH91-CH25</f>
        <v/>
      </c>
      <c r="CI122" s="400">
        <f>CI91-CI25</f>
        <v/>
      </c>
      <c r="CJ122" s="400">
        <f>CJ91-CJ25</f>
        <v/>
      </c>
      <c r="CK122" s="400">
        <f>CK91-CK25</f>
        <v/>
      </c>
    </row>
    <row r="123">
      <c r="A123" s="455" t="inlineStr">
        <is>
          <t>Check</t>
        </is>
      </c>
      <c r="B123" s="400">
        <f>SUM(B91:B100)-B102</f>
        <v/>
      </c>
      <c r="C123" s="400">
        <f>SUM(C91:C100)-C102</f>
        <v/>
      </c>
      <c r="D123" s="400">
        <f>SUM(D91:D100)-D102</f>
        <v/>
      </c>
      <c r="E123" s="400">
        <f>SUM(E91:E100)-E102</f>
        <v/>
      </c>
      <c r="F123" s="400">
        <f>SUM(F91:F100)-F102</f>
        <v/>
      </c>
      <c r="G123" s="400">
        <f>SUM(G91:G100)-G102</f>
        <v/>
      </c>
      <c r="H123" s="400">
        <f>SUM(H91:H100)-H102</f>
        <v/>
      </c>
      <c r="I123" s="400">
        <f>SUM(I91:I100)-I102</f>
        <v/>
      </c>
      <c r="J123" s="400">
        <f>SUM(J91:J100)-J102</f>
        <v/>
      </c>
      <c r="K123" s="400">
        <f>SUM(K91:K100)-K102</f>
        <v/>
      </c>
      <c r="L123" s="400">
        <f>SUM(L91:L100)-L102</f>
        <v/>
      </c>
      <c r="M123" s="400">
        <f>SUM(M91:M100)-M102</f>
        <v/>
      </c>
      <c r="N123" s="400">
        <f>SUM(N91:N101)-N102</f>
        <v/>
      </c>
      <c r="O123" s="400">
        <f>SUM(O91:O101)-O102</f>
        <v/>
      </c>
      <c r="P123" s="400">
        <f>SUM(P91:P101)-P102</f>
        <v/>
      </c>
      <c r="Q123" s="400">
        <f>SUM(Q91:Q101)-Q102</f>
        <v/>
      </c>
      <c r="R123" s="400">
        <f>SUM(R91:R101)-R102</f>
        <v/>
      </c>
      <c r="S123" s="400">
        <f>SUM(S91:S101)-S102</f>
        <v/>
      </c>
      <c r="T123" s="400">
        <f>SUM(T91:T101)-T102</f>
        <v/>
      </c>
      <c r="U123" s="400">
        <f>SUM(U91:U101)-U102</f>
        <v/>
      </c>
      <c r="V123" s="400">
        <f>SUM(V91:V101)-V102</f>
        <v/>
      </c>
      <c r="W123" s="400">
        <f>SUM(W91:W101)-W102</f>
        <v/>
      </c>
      <c r="X123" s="400">
        <f>SUM(X91:X101)-X102</f>
        <v/>
      </c>
      <c r="Y123" s="400">
        <f>SUM(Y91:Y101)-Y102</f>
        <v/>
      </c>
      <c r="Z123" s="400">
        <f>SUM(Z91:Z101)-Z102</f>
        <v/>
      </c>
      <c r="AA123" s="400">
        <f>SUM(AA91:AA101)-AA102</f>
        <v/>
      </c>
      <c r="AB123" s="400">
        <f>SUM(AB91:AB101)-AB102</f>
        <v/>
      </c>
      <c r="AC123" s="400">
        <f>SUM(AC91:AC101)-AC102</f>
        <v/>
      </c>
      <c r="AD123" s="400">
        <f>SUM(AD91:AD101)-AD102</f>
        <v/>
      </c>
      <c r="AE123" s="400">
        <f>SUM(AE91:AE101)-AE102</f>
        <v/>
      </c>
      <c r="AF123" s="400">
        <f>SUM(AF91:AF101)-AF102</f>
        <v/>
      </c>
      <c r="AG123" s="400">
        <f>SUM(AG91:AG101)-AG102</f>
        <v/>
      </c>
      <c r="AH123" s="400">
        <f>SUM(AH91:AH101)-AH102</f>
        <v/>
      </c>
      <c r="AI123" s="400">
        <f>SUM(AI91:AI101)-AI102</f>
        <v/>
      </c>
      <c r="AJ123" s="400">
        <f>SUM(AJ91:AJ101)-AJ102</f>
        <v/>
      </c>
      <c r="AK123" s="400">
        <f>SUM(AK91:AK101)-AK102</f>
        <v/>
      </c>
      <c r="AL123" s="400">
        <f>SUM(AL91:AL101)-AL102</f>
        <v/>
      </c>
      <c r="AM123" s="400">
        <f>SUM(AM91:AM101)-AM102</f>
        <v/>
      </c>
      <c r="AN123" s="400">
        <f>SUM(AN91:AN101)-AN102</f>
        <v/>
      </c>
      <c r="AO123" s="400">
        <f>SUM(AO91:AO101)-AO102</f>
        <v/>
      </c>
      <c r="AP123" s="400">
        <f>SUM(AP91:AP101)-AP102</f>
        <v/>
      </c>
      <c r="AQ123" s="400">
        <f>SUM(AQ91:AQ101)-AQ102</f>
        <v/>
      </c>
      <c r="AR123" s="400">
        <f>SUM(AR91:AR101)-AR102</f>
        <v/>
      </c>
      <c r="AS123" s="400">
        <f>SUM(AS91:AS101)-AS102</f>
        <v/>
      </c>
      <c r="AT123" s="400">
        <f>SUM(AT91:AT101)-AT102</f>
        <v/>
      </c>
      <c r="AU123" s="400">
        <f>SUM(AU91:AU101)-AU102</f>
        <v/>
      </c>
      <c r="AV123" s="400">
        <f>SUM(AV91:AV101)-AV102</f>
        <v/>
      </c>
      <c r="AW123" s="400">
        <f>SUM(AW91:AW101)-AW102</f>
        <v/>
      </c>
      <c r="AX123" s="400">
        <f>SUM(AX91:AX101)-AX102</f>
        <v/>
      </c>
      <c r="AY123" s="400">
        <f>SUM(AY91:AY101)-AY102</f>
        <v/>
      </c>
      <c r="AZ123" s="400">
        <f>SUM(AZ91:AZ101)-AZ102</f>
        <v/>
      </c>
      <c r="BA123" s="400">
        <f>SUM(BA91:BA101)-BA102</f>
        <v/>
      </c>
      <c r="BB123" s="400">
        <f>SUM(BB91:BB101)-BB102</f>
        <v/>
      </c>
      <c r="BC123" s="400">
        <f>SUM(BC91:BC101)-BC102</f>
        <v/>
      </c>
      <c r="BD123" s="400">
        <f>SUM(BD91:BD101)-BD102</f>
        <v/>
      </c>
      <c r="BE123" s="400">
        <f>SUM(BE91:BE101)-BE102</f>
        <v/>
      </c>
      <c r="BF123" s="400">
        <f>SUM(BF91:BF101)-BF102</f>
        <v/>
      </c>
      <c r="BG123" s="400">
        <f>SUM(BG91:BG101)-BG102</f>
        <v/>
      </c>
      <c r="BH123" s="400">
        <f>SUM(BH91:BH101)-BH102</f>
        <v/>
      </c>
      <c r="BI123" s="400">
        <f>SUM(BI91:BI101)-BI102</f>
        <v/>
      </c>
      <c r="BJ123" s="400">
        <f>SUM(BJ91:BJ101)-BJ102</f>
        <v/>
      </c>
      <c r="BK123" s="400">
        <f>SUM(BK91:BK101)-BK102</f>
        <v/>
      </c>
      <c r="BL123" s="400">
        <f>SUM(BL91:BL101)-BL102</f>
        <v/>
      </c>
      <c r="BM123" s="400">
        <f>SUM(BM91:BM101)-BM102</f>
        <v/>
      </c>
      <c r="BN123" s="400">
        <f>SUM(BN91:BN101)-BN102</f>
        <v/>
      </c>
      <c r="BO123" s="400">
        <f>SUM(BO91:BO101)-BO102</f>
        <v/>
      </c>
      <c r="BP123" s="400">
        <f>SUM(BP91:BP101)-BP102</f>
        <v/>
      </c>
      <c r="BQ123" s="400">
        <f>SUM(BQ91:BQ101)-BQ102</f>
        <v/>
      </c>
      <c r="BR123" s="400">
        <f>SUM(BR91:BR101)-BR102</f>
        <v/>
      </c>
      <c r="BS123" s="400">
        <f>SUM(BS91:BS101)-BS102</f>
        <v/>
      </c>
      <c r="BT123" s="400">
        <f>SUM(BT91:BT101)-BT102</f>
        <v/>
      </c>
      <c r="BU123" s="400">
        <f>SUM(BU91:BU101)-BU102</f>
        <v/>
      </c>
      <c r="BV123" s="400">
        <f>SUM(BV91:BV101)-BV102</f>
        <v/>
      </c>
      <c r="BW123" s="400">
        <f>SUM(BW91:BW101)-BW102</f>
        <v/>
      </c>
      <c r="BX123" s="400">
        <f>SUM(BX91:BX101)-BX102</f>
        <v/>
      </c>
      <c r="BY123" s="400">
        <f>SUM(BY91:BY101)-BY102</f>
        <v/>
      </c>
      <c r="BZ123" s="400">
        <f>SUM(BZ91:BZ101)-BZ102</f>
        <v/>
      </c>
      <c r="CA123" s="400">
        <f>SUM(CA91:CA101)-CA102</f>
        <v/>
      </c>
      <c r="CB123" s="400">
        <f>SUM(CB91:CB101)-CB102</f>
        <v/>
      </c>
      <c r="CC123" s="400">
        <f>SUM(CC91:CC101)-CC102</f>
        <v/>
      </c>
      <c r="CD123" s="400">
        <f>SUM(CD91:CD101)-CD102</f>
        <v/>
      </c>
      <c r="CE123" s="400">
        <f>SUM(CE91:CE101)-CE102</f>
        <v/>
      </c>
      <c r="CF123" s="400">
        <f>SUM(CF91:CF101)-CF102</f>
        <v/>
      </c>
      <c r="CG123" s="400">
        <f>SUM(CG91:CG101)-CG102</f>
        <v/>
      </c>
      <c r="CH123" s="400">
        <f>SUM(CH91:CH101)-CH102</f>
        <v/>
      </c>
      <c r="CI123" s="400">
        <f>SUM(CI91:CI101)-CI102</f>
        <v/>
      </c>
      <c r="CJ123" s="400">
        <f>SUM(CJ91:CJ101)-CJ102</f>
        <v/>
      </c>
      <c r="CK123" s="400">
        <f>SUM(CK91:CK101)-CK102</f>
        <v/>
      </c>
    </row>
    <row r="124">
      <c r="A124" s="455" t="inlineStr">
        <is>
          <t>Check</t>
        </is>
      </c>
      <c r="B124" s="400">
        <f>SUM(B105:B106)-B107</f>
        <v/>
      </c>
      <c r="C124" s="400">
        <f>SUM(C105:C106)-C107</f>
        <v/>
      </c>
      <c r="D124" s="400">
        <f>SUM(D105:D106)-D107</f>
        <v/>
      </c>
      <c r="E124" s="400">
        <f>SUM(E105:E106)-E107</f>
        <v/>
      </c>
      <c r="F124" s="400">
        <f>SUM(F105:F106)-F107</f>
        <v/>
      </c>
      <c r="G124" s="400">
        <f>SUM(G105:G106)-G107</f>
        <v/>
      </c>
      <c r="H124" s="400">
        <f>SUM(H105:H106)-H107</f>
        <v/>
      </c>
      <c r="I124" s="400">
        <f>SUM(I105:I106)-I107</f>
        <v/>
      </c>
      <c r="J124" s="400">
        <f>SUM(J105:J106)-J107</f>
        <v/>
      </c>
      <c r="K124" s="400">
        <f>SUM(K105:K106)-K107</f>
        <v/>
      </c>
      <c r="L124" s="400">
        <f>SUM(L105:L106)-L107</f>
        <v/>
      </c>
      <c r="M124" s="400">
        <f>SUM(M105:M106)-M107</f>
        <v/>
      </c>
      <c r="N124" s="400">
        <f>SUM(N105:N106)-N107</f>
        <v/>
      </c>
      <c r="O124" s="400">
        <f>SUM(O105:O106)-O107</f>
        <v/>
      </c>
      <c r="P124" s="400">
        <f>SUM(P105:P106)-P107</f>
        <v/>
      </c>
      <c r="Q124" s="400">
        <f>SUM(Q105:Q106)-Q107</f>
        <v/>
      </c>
      <c r="R124" s="400">
        <f>SUM(R105:R106)-R107</f>
        <v/>
      </c>
      <c r="S124" s="400">
        <f>SUM(S105:S106)-S107</f>
        <v/>
      </c>
      <c r="T124" s="400">
        <f>SUM(T105:T106)-T107</f>
        <v/>
      </c>
      <c r="U124" s="400">
        <f>SUM(U105:U106)-U107</f>
        <v/>
      </c>
      <c r="V124" s="400">
        <f>SUM(V105:V106)-V107</f>
        <v/>
      </c>
      <c r="W124" s="400">
        <f>SUM(W105:W106)-W107</f>
        <v/>
      </c>
      <c r="X124" s="400">
        <f>SUM(X105:X106)-X107</f>
        <v/>
      </c>
      <c r="Y124" s="400">
        <f>SUM(Y105:Y106)-Y107</f>
        <v/>
      </c>
      <c r="Z124" s="400">
        <f>SUM(Z105:Z106)-Z107</f>
        <v/>
      </c>
      <c r="AA124" s="400">
        <f>SUM(AA105:AA106)-AA107</f>
        <v/>
      </c>
      <c r="AB124" s="400">
        <f>SUM(AB105:AB106)-AB107</f>
        <v/>
      </c>
      <c r="AC124" s="400">
        <f>SUM(AC105:AC106)-AC107</f>
        <v/>
      </c>
      <c r="AD124" s="400">
        <f>SUM(AD105:AD106)-AD107</f>
        <v/>
      </c>
      <c r="AE124" s="400">
        <f>SUM(AE105:AE106)-AE107</f>
        <v/>
      </c>
      <c r="AF124" s="400">
        <f>SUM(AF105:AF106)-AF107</f>
        <v/>
      </c>
      <c r="AG124" s="400">
        <f>SUM(AG105:AG106)-AG107</f>
        <v/>
      </c>
      <c r="AH124" s="400">
        <f>SUM(AH105:AH106)-AH107</f>
        <v/>
      </c>
      <c r="AI124" s="400">
        <f>SUM(AI105:AI106)-AI107</f>
        <v/>
      </c>
      <c r="AJ124" s="400">
        <f>SUM(AJ105:AJ106)-AJ107</f>
        <v/>
      </c>
      <c r="AK124" s="400">
        <f>SUM(AK105:AK106)-AK107</f>
        <v/>
      </c>
      <c r="AL124" s="400">
        <f>SUM(AL105:AL106)-AL107</f>
        <v/>
      </c>
      <c r="AM124" s="400">
        <f>SUM(AM105:AM106)-AM107</f>
        <v/>
      </c>
      <c r="AN124" s="400">
        <f>SUM(AN105:AN106)-AN107</f>
        <v/>
      </c>
      <c r="AO124" s="400">
        <f>SUM(AO105:AO106)-AO107</f>
        <v/>
      </c>
      <c r="AP124" s="400">
        <f>SUM(AP105:AP106)-AP107</f>
        <v/>
      </c>
      <c r="AQ124" s="400">
        <f>SUM(AQ105:AQ106)-AQ107</f>
        <v/>
      </c>
      <c r="AR124" s="400">
        <f>SUM(AR105:AR106)-AR107</f>
        <v/>
      </c>
      <c r="AS124" s="400">
        <f>SUM(AS105:AS106)-AS107</f>
        <v/>
      </c>
      <c r="AT124" s="400">
        <f>SUM(AT105:AT106)-AT107</f>
        <v/>
      </c>
      <c r="AU124" s="400">
        <f>SUM(AU105:AU106)-AU107</f>
        <v/>
      </c>
      <c r="AV124" s="400">
        <f>SUM(AV105:AV106)-AV107</f>
        <v/>
      </c>
      <c r="AW124" s="400">
        <f>SUM(AW105:AW106)-AW107</f>
        <v/>
      </c>
      <c r="AX124" s="400">
        <f>SUM(AX105:AX106)-AX107</f>
        <v/>
      </c>
      <c r="AY124" s="400">
        <f>SUM(AY105:AY106)-AY107</f>
        <v/>
      </c>
      <c r="AZ124" s="400">
        <f>SUM(AZ105:AZ106)-AZ107</f>
        <v/>
      </c>
      <c r="BA124" s="400">
        <f>SUM(BA105:BA106)-BA107</f>
        <v/>
      </c>
      <c r="BB124" s="400">
        <f>SUM(BB105:BB106)-BB107</f>
        <v/>
      </c>
      <c r="BC124" s="400">
        <f>SUM(BC105:BC106)-BC107</f>
        <v/>
      </c>
      <c r="BD124" s="400">
        <f>SUM(BD105:BD106)-BD107</f>
        <v/>
      </c>
      <c r="BE124" s="400">
        <f>SUM(BE105:BE106)-BE107</f>
        <v/>
      </c>
      <c r="BF124" s="400">
        <f>SUM(BF105:BF106)-BF107</f>
        <v/>
      </c>
      <c r="BG124" s="400">
        <f>SUM(BG105:BG106)-BG107</f>
        <v/>
      </c>
      <c r="BH124" s="400">
        <f>SUM(BH105:BH106)-BH107</f>
        <v/>
      </c>
      <c r="BI124" s="400">
        <f>SUM(BI105:BI106)-BI107</f>
        <v/>
      </c>
      <c r="BJ124" s="400">
        <f>SUM(BJ105:BJ106)-BJ107</f>
        <v/>
      </c>
      <c r="BK124" s="400">
        <f>SUM(BK105:BK106)-BK107</f>
        <v/>
      </c>
      <c r="BL124" s="400">
        <f>SUM(BL105:BL106)-BL107</f>
        <v/>
      </c>
      <c r="BM124" s="400">
        <f>SUM(BM105:BM106)-BM107</f>
        <v/>
      </c>
      <c r="BN124" s="400">
        <f>SUM(BN105:BN106)-BN107</f>
        <v/>
      </c>
      <c r="BO124" s="400">
        <f>SUM(BO105:BO106)-BO107</f>
        <v/>
      </c>
      <c r="BP124" s="400">
        <f>SUM(BP105:BP106)-BP107</f>
        <v/>
      </c>
      <c r="BQ124" s="400">
        <f>SUM(BQ105:BQ106)-BQ107</f>
        <v/>
      </c>
      <c r="BR124" s="400">
        <f>SUM(BR105:BR106)-BR107</f>
        <v/>
      </c>
      <c r="BS124" s="400">
        <f>SUM(BS105:BS106)-BS107</f>
        <v/>
      </c>
      <c r="BT124" s="400">
        <f>SUM(BT105:BT106)-BT107</f>
        <v/>
      </c>
      <c r="BU124" s="400">
        <f>SUM(BU105:BU106)-BU107</f>
        <v/>
      </c>
      <c r="BV124" s="400">
        <f>SUM(BV105:BV106)-BV107</f>
        <v/>
      </c>
      <c r="BW124" s="400">
        <f>SUM(BW105:BW106)-BW107</f>
        <v/>
      </c>
      <c r="BX124" s="400">
        <f>SUM(BX105:BX106)-BX107</f>
        <v/>
      </c>
      <c r="BY124" s="400">
        <f>SUM(BY105:BY106)-BY107</f>
        <v/>
      </c>
      <c r="BZ124" s="400">
        <f>SUM(BZ105:BZ106)-BZ107</f>
        <v/>
      </c>
      <c r="CA124" s="400">
        <f>SUM(CA105:CA106)-CA107</f>
        <v/>
      </c>
      <c r="CB124" s="400">
        <f>SUM(CB105:CB106)-CB107</f>
        <v/>
      </c>
      <c r="CC124" s="400">
        <f>SUM(CC105:CC106)-CC107</f>
        <v/>
      </c>
      <c r="CD124" s="400">
        <f>SUM(CD105:CD106)-CD107</f>
        <v/>
      </c>
      <c r="CE124" s="400">
        <f>SUM(CE105:CE106)-CE107</f>
        <v/>
      </c>
      <c r="CF124" s="400">
        <f>SUM(CF105:CF106)-CF107</f>
        <v/>
      </c>
      <c r="CG124" s="400">
        <f>SUM(CG105:CG106)-CG107</f>
        <v/>
      </c>
      <c r="CH124" s="400">
        <f>SUM(CH105:CH106)-CH107</f>
        <v/>
      </c>
      <c r="CI124" s="400">
        <f>SUM(CI105:CI106)-CI107</f>
        <v/>
      </c>
      <c r="CJ124" s="400">
        <f>SUM(CJ105:CJ106)-CJ107</f>
        <v/>
      </c>
      <c r="CK124" s="400">
        <f>SUM(CK105:CK106)-CK107</f>
        <v/>
      </c>
    </row>
    <row r="125">
      <c r="A125" s="455" t="inlineStr">
        <is>
          <t>Check</t>
        </is>
      </c>
      <c r="B125" s="400">
        <f>SUM(B110:B112)-B113</f>
        <v/>
      </c>
      <c r="C125" s="400">
        <f>SUM(C110:C112)-C113</f>
        <v/>
      </c>
      <c r="D125" s="400">
        <f>SUM(D110:D112)-D113</f>
        <v/>
      </c>
      <c r="E125" s="400">
        <f>SUM(E110:E112)-E113</f>
        <v/>
      </c>
      <c r="F125" s="400">
        <f>SUM(F110:F112)-F113</f>
        <v/>
      </c>
      <c r="G125" s="400">
        <f>SUM(G110:G112)-G113</f>
        <v/>
      </c>
      <c r="H125" s="400">
        <f>SUM(H110:H112)-H113</f>
        <v/>
      </c>
      <c r="I125" s="400">
        <f>SUM(I110:I112)-I113</f>
        <v/>
      </c>
      <c r="J125" s="400">
        <f>SUM(J110:J112)-J113</f>
        <v/>
      </c>
      <c r="K125" s="400">
        <f>SUM(K110:K112)-K113</f>
        <v/>
      </c>
      <c r="L125" s="400">
        <f>SUM(L110:L112)-L113</f>
        <v/>
      </c>
      <c r="M125" s="400">
        <f>SUM(M110:M112)-M113</f>
        <v/>
      </c>
      <c r="N125" s="400">
        <f>SUM(N110:N112)-N113</f>
        <v/>
      </c>
      <c r="O125" s="400">
        <f>SUM(O110:O112)-O113</f>
        <v/>
      </c>
      <c r="P125" s="400">
        <f>SUM(P110:P112)-P113</f>
        <v/>
      </c>
      <c r="Q125" s="400">
        <f>SUM(Q110:Q112)-Q113</f>
        <v/>
      </c>
      <c r="R125" s="400">
        <f>SUM(R110:R112)-R113</f>
        <v/>
      </c>
      <c r="S125" s="400">
        <f>SUM(S110:S112)-S113</f>
        <v/>
      </c>
      <c r="T125" s="400">
        <f>SUM(T110:T112)-T113</f>
        <v/>
      </c>
      <c r="U125" s="400">
        <f>SUM(U110:U112)-U113</f>
        <v/>
      </c>
      <c r="V125" s="400">
        <f>SUM(V110:V112)-V113</f>
        <v/>
      </c>
      <c r="W125" s="400">
        <f>SUM(W110:W112)-W113</f>
        <v/>
      </c>
      <c r="X125" s="400">
        <f>SUM(X110:X112)-X113</f>
        <v/>
      </c>
      <c r="Y125" s="400">
        <f>SUM(Y110:Y112)-Y113</f>
        <v/>
      </c>
      <c r="Z125" s="400">
        <f>SUM(Z110:Z112)-Z113</f>
        <v/>
      </c>
      <c r="AA125" s="400">
        <f>SUM(AA110:AA112)-AA113</f>
        <v/>
      </c>
      <c r="AB125" s="400">
        <f>SUM(AB110:AB112)-AB113</f>
        <v/>
      </c>
      <c r="AC125" s="400">
        <f>SUM(AC110:AC112)-AC113</f>
        <v/>
      </c>
      <c r="AD125" s="400">
        <f>SUM(AD110:AD112)-AD113</f>
        <v/>
      </c>
      <c r="AE125" s="400">
        <f>SUM(AE110:AE112)-AE113</f>
        <v/>
      </c>
      <c r="AF125" s="400">
        <f>SUM(AF110:AF112)-AF113</f>
        <v/>
      </c>
      <c r="AG125" s="400">
        <f>SUM(AG110:AG112)-AG113</f>
        <v/>
      </c>
      <c r="AH125" s="400">
        <f>SUM(AH110:AH112)-AH113</f>
        <v/>
      </c>
      <c r="AI125" s="400">
        <f>SUM(AI110:AI112)-AI113</f>
        <v/>
      </c>
      <c r="AJ125" s="400">
        <f>SUM(AJ110:AJ112)-AJ113</f>
        <v/>
      </c>
      <c r="AK125" s="400">
        <f>SUM(AK110:AK112)-AK113</f>
        <v/>
      </c>
      <c r="AL125" s="400">
        <f>SUM(AL110:AL112)-AL113</f>
        <v/>
      </c>
      <c r="AM125" s="400">
        <f>SUM(AM110:AM112)-AM113</f>
        <v/>
      </c>
      <c r="AN125" s="400">
        <f>SUM(AN110:AN112)-AN113</f>
        <v/>
      </c>
      <c r="AO125" s="400">
        <f>SUM(AO110:AO112)-AO113</f>
        <v/>
      </c>
      <c r="AP125" s="400">
        <f>SUM(AP110:AP112)-AP113</f>
        <v/>
      </c>
      <c r="AQ125" s="400">
        <f>SUM(AQ110:AQ112)-AQ113</f>
        <v/>
      </c>
      <c r="AR125" s="400">
        <f>SUM(AR110:AR112)-AR113</f>
        <v/>
      </c>
      <c r="AS125" s="400">
        <f>SUM(AS110:AS112)-AS113</f>
        <v/>
      </c>
      <c r="AT125" s="400">
        <f>SUM(AT110:AT112)-AT113</f>
        <v/>
      </c>
      <c r="AU125" s="400">
        <f>SUM(AU110:AU112)-AU113</f>
        <v/>
      </c>
      <c r="AV125" s="400">
        <f>SUM(AV110:AV112)-AV113</f>
        <v/>
      </c>
      <c r="AW125" s="400">
        <f>SUM(AW110:AW112)-AW113</f>
        <v/>
      </c>
      <c r="AX125" s="400">
        <f>SUM(AX110:AX112)-AX113</f>
        <v/>
      </c>
      <c r="AY125" s="400">
        <f>SUM(AY110:AY112)-AY113</f>
        <v/>
      </c>
      <c r="AZ125" s="400">
        <f>SUM(AZ110:AZ112)-AZ113</f>
        <v/>
      </c>
      <c r="BA125" s="400">
        <f>SUM(BA110:BA112)-BA113</f>
        <v/>
      </c>
      <c r="BB125" s="400">
        <f>SUM(BB110:BB112)-BB113</f>
        <v/>
      </c>
      <c r="BC125" s="400">
        <f>SUM(BC110:BC112)-BC113</f>
        <v/>
      </c>
      <c r="BD125" s="400">
        <f>SUM(BD110:BD112)-BD113</f>
        <v/>
      </c>
      <c r="BE125" s="400">
        <f>SUM(BE110:BE112)-BE113</f>
        <v/>
      </c>
      <c r="BF125" s="400">
        <f>SUM(BF110:BF112)-BF113</f>
        <v/>
      </c>
      <c r="BG125" s="400">
        <f>SUM(BG110:BG112)-BG113</f>
        <v/>
      </c>
      <c r="BH125" s="400">
        <f>SUM(BH110:BH112)-BH113</f>
        <v/>
      </c>
      <c r="BI125" s="400">
        <f>SUM(BI110:BI112)-BI113</f>
        <v/>
      </c>
      <c r="BJ125" s="400">
        <f>SUM(BJ110:BJ112)-BJ113</f>
        <v/>
      </c>
      <c r="BK125" s="400">
        <f>SUM(BK110:BK112)-BK113</f>
        <v/>
      </c>
      <c r="BL125" s="400">
        <f>SUM(BL110:BL112)-BL113</f>
        <v/>
      </c>
      <c r="BM125" s="400">
        <f>SUM(BM110:BM112)-BM113</f>
        <v/>
      </c>
      <c r="BN125" s="400">
        <f>SUM(BN110:BN112)-BN113</f>
        <v/>
      </c>
      <c r="BO125" s="400">
        <f>SUM(BO110:BO112)-BO113</f>
        <v/>
      </c>
      <c r="BP125" s="400">
        <f>SUM(BP110:BP112)-BP113</f>
        <v/>
      </c>
      <c r="BQ125" s="400">
        <f>SUM(BQ110:BQ112)-BQ113</f>
        <v/>
      </c>
      <c r="BR125" s="400">
        <f>SUM(BR110:BR112)-BR113</f>
        <v/>
      </c>
      <c r="BS125" s="400">
        <f>SUM(BS110:BS112)-BS113</f>
        <v/>
      </c>
      <c r="BT125" s="400">
        <f>SUM(BT110:BT112)-BT113</f>
        <v/>
      </c>
      <c r="BU125" s="400">
        <f>SUM(BU110:BU112)-BU113</f>
        <v/>
      </c>
      <c r="BV125" s="400">
        <f>SUM(BV110:BV112)-BV113</f>
        <v/>
      </c>
      <c r="BW125" s="400">
        <f>SUM(BW110:BW112)-BW113</f>
        <v/>
      </c>
      <c r="BX125" s="400">
        <f>SUM(BX110:BX112)-BX113</f>
        <v/>
      </c>
      <c r="BY125" s="400">
        <f>SUM(BY110:BY112)-BY113</f>
        <v/>
      </c>
      <c r="BZ125" s="400">
        <f>SUM(BZ110:BZ112)-BZ113</f>
        <v/>
      </c>
      <c r="CA125" s="400">
        <f>SUM(CA110:CA112)-CA113</f>
        <v/>
      </c>
      <c r="CB125" s="400">
        <f>SUM(CB110:CB112)-CB113</f>
        <v/>
      </c>
      <c r="CC125" s="400">
        <f>SUM(CC110:CC112)-CC113</f>
        <v/>
      </c>
      <c r="CD125" s="400">
        <f>SUM(CD110:CD112)-CD113</f>
        <v/>
      </c>
      <c r="CE125" s="400">
        <f>SUM(CE110:CE112)-CE113</f>
        <v/>
      </c>
      <c r="CF125" s="400">
        <f>SUM(CF110:CF112)-CF113</f>
        <v/>
      </c>
      <c r="CG125" s="400">
        <f>SUM(CG110:CG112)-CG113</f>
        <v/>
      </c>
      <c r="CH125" s="400">
        <f>SUM(CH110:CH112)-CH113</f>
        <v/>
      </c>
      <c r="CI125" s="400">
        <f>SUM(CI110:CI112)-CI113</f>
        <v/>
      </c>
      <c r="CJ125" s="400">
        <f>SUM(CJ110:CJ112)-CJ113</f>
        <v/>
      </c>
      <c r="CK125" s="400">
        <f>SUM(CK110:CK112)-CK113</f>
        <v/>
      </c>
    </row>
    <row r="126">
      <c r="A126" s="455" t="inlineStr">
        <is>
          <t>Check</t>
        </is>
      </c>
      <c r="B126" s="400">
        <f>SUM(B102,B107,B113,B115)-B116</f>
        <v/>
      </c>
      <c r="C126" s="400">
        <f>SUM(C102,C107,C113,C115)-C116</f>
        <v/>
      </c>
      <c r="D126" s="400">
        <f>SUM(D102,D107,D113,D115)-D116</f>
        <v/>
      </c>
      <c r="E126" s="400">
        <f>SUM(E102,E107,E113,E115)-E116</f>
        <v/>
      </c>
      <c r="F126" s="400">
        <f>SUM(F102,F107,F113,F115)-F116</f>
        <v/>
      </c>
      <c r="G126" s="400">
        <f>SUM(G102,G107,G113,G115)-G116</f>
        <v/>
      </c>
      <c r="H126" s="400">
        <f>SUM(H102,H107,H113,H115)-H116</f>
        <v/>
      </c>
      <c r="I126" s="400">
        <f>SUM(I102,I107,I113,I115)-I116</f>
        <v/>
      </c>
      <c r="J126" s="400">
        <f>SUM(J102,J107,J113,J115)-J116</f>
        <v/>
      </c>
      <c r="K126" s="400">
        <f>SUM(K102,K107,K113,K115)-K116</f>
        <v/>
      </c>
      <c r="L126" s="400">
        <f>SUM(L102,L107,L113,L115)-L116</f>
        <v/>
      </c>
      <c r="M126" s="400">
        <f>SUM(M102,M107,M113,M115)-M116</f>
        <v/>
      </c>
      <c r="N126" s="400">
        <f>SUM(N102,N107,N113,N115)-N116</f>
        <v/>
      </c>
      <c r="O126" s="400">
        <f>SUM(O102,O107,O113,O115)-O116</f>
        <v/>
      </c>
      <c r="P126" s="400">
        <f>SUM(P102,P107,P113,P115)-P116</f>
        <v/>
      </c>
      <c r="Q126" s="400">
        <f>SUM(Q102,Q107,Q113,Q115)-Q116</f>
        <v/>
      </c>
      <c r="R126" s="400">
        <f>SUM(R102,R107,R113,R115)-R116</f>
        <v/>
      </c>
      <c r="S126" s="400">
        <f>SUM(S102,S107,S113,S115)-S116</f>
        <v/>
      </c>
      <c r="T126" s="400">
        <f>SUM(T102,T107,T113,T115)-T116</f>
        <v/>
      </c>
      <c r="U126" s="400">
        <f>SUM(U102,U107,U113,U115)-U116</f>
        <v/>
      </c>
      <c r="V126" s="400">
        <f>SUM(V102,V107,V113,V115)-V116</f>
        <v/>
      </c>
      <c r="W126" s="400">
        <f>SUM(W102,W107,W113,W115)-W116</f>
        <v/>
      </c>
      <c r="X126" s="400">
        <f>SUM(X102,X107,X113,X115)-X116</f>
        <v/>
      </c>
      <c r="Y126" s="400">
        <f>SUM(Y102,Y107,Y113,Y115)-Y116</f>
        <v/>
      </c>
      <c r="Z126" s="400">
        <f>SUM(Z102,Z107,Z113,Z115)-Z116</f>
        <v/>
      </c>
      <c r="AA126" s="400">
        <f>SUM(AA102,AA107,AA113,AA115)-AA116</f>
        <v/>
      </c>
      <c r="AB126" s="400">
        <f>SUM(AB102,AB107,AB113,AB115)-AB116</f>
        <v/>
      </c>
      <c r="AC126" s="400">
        <f>SUM(AC102,AC107,AC113,AC115)-AC116</f>
        <v/>
      </c>
      <c r="AD126" s="400">
        <f>SUM(AD102,AD107,AD113,AD115)-AD116</f>
        <v/>
      </c>
      <c r="AE126" s="400">
        <f>SUM(AE102,AE107,AE113,AE115)-AE116</f>
        <v/>
      </c>
      <c r="AF126" s="400">
        <f>SUM(AF102,AF107,AF113,AF115)-AF116</f>
        <v/>
      </c>
      <c r="AG126" s="400">
        <f>SUM(AG102,AG107,AG113,AG115)-AG116</f>
        <v/>
      </c>
      <c r="AH126" s="400">
        <f>SUM(AH102,AH107,AH113,AH115)-AH116</f>
        <v/>
      </c>
      <c r="AI126" s="400">
        <f>SUM(AI102,AI107,AI113,AI115)-AI116</f>
        <v/>
      </c>
      <c r="AJ126" s="400">
        <f>SUM(AJ102,AJ107,AJ113,AJ115)-AJ116</f>
        <v/>
      </c>
      <c r="AK126" s="400">
        <f>SUM(AK102,AK107,AK113,AK115)-AK116</f>
        <v/>
      </c>
      <c r="AL126" s="400">
        <f>SUM(AL102,AL107,AL113,AL115)-AL116</f>
        <v/>
      </c>
      <c r="AM126" s="400">
        <f>SUM(AM102,AM107,AM113,AM115)-AM116</f>
        <v/>
      </c>
      <c r="AN126" s="400">
        <f>SUM(AN102,AN107,AN113,AN115)-AN116</f>
        <v/>
      </c>
      <c r="AO126" s="400">
        <f>SUM(AO102,AO107,AO113,AO115)-AO116</f>
        <v/>
      </c>
      <c r="AP126" s="400">
        <f>SUM(AP102,AP107,AP113,AP115)-AP116</f>
        <v/>
      </c>
      <c r="AQ126" s="400">
        <f>SUM(AQ102,AQ107,AQ113,AQ115)-AQ116</f>
        <v/>
      </c>
      <c r="AR126" s="400">
        <f>SUM(AR102,AR107,AR113,AR115)-AR116</f>
        <v/>
      </c>
      <c r="AS126" s="400">
        <f>SUM(AS102,AS107,AS113,AS115)-AS116</f>
        <v/>
      </c>
      <c r="AT126" s="400">
        <f>SUM(AT102,AT107,AT113,AT115)-AT116</f>
        <v/>
      </c>
      <c r="AU126" s="400">
        <f>SUM(AU102,AU107,AU113,AU115)-AU116</f>
        <v/>
      </c>
      <c r="AV126" s="400">
        <f>SUM(AV102,AV107,AV113,AV115)-AV116</f>
        <v/>
      </c>
      <c r="AW126" s="400">
        <f>SUM(AW102,AW107,AW113,AW115)-AW116</f>
        <v/>
      </c>
      <c r="AX126" s="400">
        <f>SUM(AX102,AX107,AX113,AX115)-AX116</f>
        <v/>
      </c>
      <c r="AY126" s="400">
        <f>SUM(AY102,AY107,AY113,AY115)-AY116</f>
        <v/>
      </c>
      <c r="AZ126" s="400">
        <f>SUM(AZ102,AZ107,AZ113,AZ115)-AZ116</f>
        <v/>
      </c>
      <c r="BA126" s="400">
        <f>SUM(BA102,BA107,BA113,BA115)-BA116</f>
        <v/>
      </c>
      <c r="BB126" s="400">
        <f>SUM(BB102,BB107,BB113,BB115)-BB116</f>
        <v/>
      </c>
      <c r="BC126" s="400">
        <f>SUM(BC102,BC107,BC113,BC115)-BC116</f>
        <v/>
      </c>
      <c r="BD126" s="400">
        <f>SUM(BD102,BD107,BD113,BD115)-BD116</f>
        <v/>
      </c>
      <c r="BE126" s="400">
        <f>SUM(BE102,BE107,BE113,BE115)-BE116</f>
        <v/>
      </c>
      <c r="BF126" s="400">
        <f>SUM(BF102,BF107,BF113,BF115)-BF116</f>
        <v/>
      </c>
      <c r="BG126" s="400">
        <f>SUM(BG102,BG107,BG113,BG115)-BG116</f>
        <v/>
      </c>
      <c r="BH126" s="400">
        <f>SUM(BH102,BH107,BH113,BH115)-BH116</f>
        <v/>
      </c>
      <c r="BI126" s="400">
        <f>SUM(BI102,BI107,BI113,BI115)-BI116</f>
        <v/>
      </c>
      <c r="BJ126" s="400">
        <f>SUM(BJ102,BJ107,BJ113,BJ115)-BJ116</f>
        <v/>
      </c>
      <c r="BK126" s="400">
        <f>SUM(BK102,BK107,BK113,BK115)-BK116</f>
        <v/>
      </c>
      <c r="BL126" s="400">
        <f>SUM(BL102,BL107,BL113,BL115)-BL116</f>
        <v/>
      </c>
      <c r="BM126" s="400">
        <f>SUM(BM102,BM107,BM113,BM115)-BM116</f>
        <v/>
      </c>
      <c r="BN126" s="400">
        <f>SUM(BN102,BN107,BN113,BN115)-BN116</f>
        <v/>
      </c>
      <c r="BO126" s="400">
        <f>SUM(BO102,BO107,BO113,BO115)-BO116</f>
        <v/>
      </c>
      <c r="BP126" s="400">
        <f>SUM(BP102,BP107,BP113,BP115)-BP116</f>
        <v/>
      </c>
      <c r="BQ126" s="400">
        <f>SUM(BQ102,BQ107,BQ113,BQ115)-BQ116</f>
        <v/>
      </c>
      <c r="BR126" s="400">
        <f>SUM(BR102,BR107,BR113,BR115)-BR116</f>
        <v/>
      </c>
      <c r="BS126" s="400">
        <f>SUM(BS102,BS107,BS113,BS115)-BS116</f>
        <v/>
      </c>
      <c r="BT126" s="400">
        <f>SUM(BT102,BT107,BT113,BT115)-BT116</f>
        <v/>
      </c>
      <c r="BU126" s="400">
        <f>SUM(BU102,BU107,BU113,BU115)-BU116</f>
        <v/>
      </c>
      <c r="BV126" s="400">
        <f>SUM(BV102,BV107,BV113,BV115)-BV116</f>
        <v/>
      </c>
      <c r="BW126" s="400">
        <f>SUM(BW102,BW107,BW113,BW115)-BW116</f>
        <v/>
      </c>
      <c r="BX126" s="400">
        <f>SUM(BX102,BX107,BX113,BX115)-BX116</f>
        <v/>
      </c>
      <c r="BY126" s="400">
        <f>SUM(BY102,BY107,BY113,BY115)-BY116</f>
        <v/>
      </c>
      <c r="BZ126" s="400">
        <f>SUM(BZ102,BZ107,BZ113,BZ115)-BZ116</f>
        <v/>
      </c>
      <c r="CA126" s="400">
        <f>SUM(CA102,CA107,CA113,CA115)-CA116</f>
        <v/>
      </c>
      <c r="CB126" s="400">
        <f>SUM(CB102,CB107,CB113,CB115)-CB116</f>
        <v/>
      </c>
      <c r="CC126" s="400">
        <f>SUM(CC102,CC107,CC113,CC115)-CC116</f>
        <v/>
      </c>
      <c r="CD126" s="400">
        <f>SUM(CD102,CD107,CD113,CD115)-CD116</f>
        <v/>
      </c>
      <c r="CE126" s="400">
        <f>SUM(CE102,CE107,CE113,CE115)-CE116</f>
        <v/>
      </c>
      <c r="CF126" s="400">
        <f>SUM(CF102,CF107,CF113,CF115)-CF116</f>
        <v/>
      </c>
      <c r="CG126" s="400">
        <f>SUM(CG102,CG107,CG113,CG115)-CG116</f>
        <v/>
      </c>
      <c r="CH126" s="400">
        <f>SUM(CH102,CH107,CH113,CH115)-CH116</f>
        <v/>
      </c>
      <c r="CI126" s="400">
        <f>SUM(CI102,CI107,CI113,CI115)-CI116</f>
        <v/>
      </c>
      <c r="CJ126" s="400">
        <f>SUM(CJ102,CJ107,CJ113,CJ115)-CJ116</f>
        <v/>
      </c>
      <c r="CK126" s="400">
        <f>SUM(CK102,CK107,CK113,CK115)-CK116</f>
        <v/>
      </c>
    </row>
    <row r="127">
      <c r="A127" s="455" t="inlineStr">
        <is>
          <t>Check</t>
        </is>
      </c>
      <c r="B127" s="400">
        <f>B117+B116-B120</f>
        <v/>
      </c>
      <c r="C127" s="400">
        <f>C117+C116-C120</f>
        <v/>
      </c>
      <c r="D127" s="400">
        <f>D117+D116-D120</f>
        <v/>
      </c>
      <c r="E127" s="400">
        <f>E117+E116-E120</f>
        <v/>
      </c>
      <c r="F127" s="400">
        <f>F117+F116-F120</f>
        <v/>
      </c>
      <c r="G127" s="400">
        <f>G117+G116-G120</f>
        <v/>
      </c>
      <c r="H127" s="400">
        <f>H117+H116-H120</f>
        <v/>
      </c>
      <c r="I127" s="400">
        <f>I117+I116-I120</f>
        <v/>
      </c>
      <c r="J127" s="400">
        <f>J117+J116-J120</f>
        <v/>
      </c>
      <c r="K127" s="400">
        <f>K117+K116-K120</f>
        <v/>
      </c>
      <c r="L127" s="400">
        <f>L117+L116-L120</f>
        <v/>
      </c>
      <c r="M127" s="400">
        <f>M117+M116-M120</f>
        <v/>
      </c>
      <c r="N127" s="400">
        <f>N117+N116-N120</f>
        <v/>
      </c>
      <c r="O127" s="400">
        <f>O117+O116-O120</f>
        <v/>
      </c>
      <c r="P127" s="400">
        <f>P117+P116-P120</f>
        <v/>
      </c>
      <c r="Q127" s="400">
        <f>Q117+Q116-Q120</f>
        <v/>
      </c>
      <c r="R127" s="400">
        <f>R117+R116-R120</f>
        <v/>
      </c>
      <c r="S127" s="400">
        <f>S117+S116-S120</f>
        <v/>
      </c>
      <c r="T127" s="400">
        <f>T117+T116-T120</f>
        <v/>
      </c>
      <c r="U127" s="400">
        <f>U117+U116-U120</f>
        <v/>
      </c>
      <c r="V127" s="400">
        <f>V117+V116-V120</f>
        <v/>
      </c>
      <c r="W127" s="400">
        <f>W117+W116-W120</f>
        <v/>
      </c>
      <c r="X127" s="400">
        <f>X117+X116-X120</f>
        <v/>
      </c>
      <c r="Y127" s="400">
        <f>Y117+Y116-Y120</f>
        <v/>
      </c>
      <c r="Z127" s="400">
        <f>Z117+Z116-Z120</f>
        <v/>
      </c>
      <c r="AA127" s="400">
        <f>AA117+AA116-AA120</f>
        <v/>
      </c>
      <c r="AB127" s="400">
        <f>AB117+AB116-AB120</f>
        <v/>
      </c>
      <c r="AC127" s="400">
        <f>AC117+AC116-AC120</f>
        <v/>
      </c>
      <c r="AD127" s="400">
        <f>AD117+AD116-AD120</f>
        <v/>
      </c>
      <c r="AE127" s="400">
        <f>AE117+AE116-AE120</f>
        <v/>
      </c>
      <c r="AF127" s="400">
        <f>AF117+AF116-AF120</f>
        <v/>
      </c>
      <c r="AG127" s="400">
        <f>AG117+AG116-AG120</f>
        <v/>
      </c>
      <c r="AH127" s="400">
        <f>AH117+AH116-AH120</f>
        <v/>
      </c>
      <c r="AI127" s="400">
        <f>AI117+AI116-AI120</f>
        <v/>
      </c>
      <c r="AJ127" s="400">
        <f>AJ117+AJ116-AJ120</f>
        <v/>
      </c>
      <c r="AK127" s="400">
        <f>AK117+AK116-AK120</f>
        <v/>
      </c>
      <c r="AL127" s="400">
        <f>AL117+AL116-AL120</f>
        <v/>
      </c>
      <c r="AM127" s="400">
        <f>AM117+AM116-AM120</f>
        <v/>
      </c>
      <c r="AN127" s="400">
        <f>AN117+AN116-AN120</f>
        <v/>
      </c>
      <c r="AO127" s="400">
        <f>AO117+AO116-AO120</f>
        <v/>
      </c>
      <c r="AP127" s="400">
        <f>AP117+AP116-AP120</f>
        <v/>
      </c>
      <c r="AQ127" s="400">
        <f>AQ117+AQ116-AQ120</f>
        <v/>
      </c>
      <c r="AR127" s="400">
        <f>AR117+AR116-AR120</f>
        <v/>
      </c>
      <c r="AS127" s="400">
        <f>AS117+AS116-AS120</f>
        <v/>
      </c>
      <c r="AT127" s="400">
        <f>AT117+AT116-AT120</f>
        <v/>
      </c>
      <c r="AU127" s="400">
        <f>AU117+AU116-AU120</f>
        <v/>
      </c>
      <c r="AV127" s="400">
        <f>AV117+AV116-AV120</f>
        <v/>
      </c>
      <c r="AW127" s="400">
        <f>AW117+AW116-AW120</f>
        <v/>
      </c>
      <c r="AX127" s="400">
        <f>AX117+AX116-AX120</f>
        <v/>
      </c>
      <c r="AY127" s="400">
        <f>AY117+AY116-AY120</f>
        <v/>
      </c>
      <c r="AZ127" s="400">
        <f>AZ117+AZ116-AZ120</f>
        <v/>
      </c>
      <c r="BA127" s="400">
        <f>BA117+BA116-BA120-BA119</f>
        <v/>
      </c>
      <c r="BB127" s="400">
        <f>BB117+BB116-BB120-BB119</f>
        <v/>
      </c>
      <c r="BC127" s="400">
        <f>BC117+BC116-BC120-BC119</f>
        <v/>
      </c>
      <c r="BD127" s="400">
        <f>BD117+BD116-BD120-BD119</f>
        <v/>
      </c>
      <c r="BE127" s="400">
        <f>BE117+BE116-BE120-BE119</f>
        <v/>
      </c>
      <c r="BF127" s="400">
        <f>BF117+BF116-BF120</f>
        <v/>
      </c>
      <c r="BG127" s="400">
        <f>BG117+BG116-BG120</f>
        <v/>
      </c>
      <c r="BH127" s="400">
        <f>BH117+BH116-BH120</f>
        <v/>
      </c>
      <c r="BI127" s="400">
        <f>BI117+BI116-BI120</f>
        <v/>
      </c>
      <c r="BJ127" s="400">
        <f>BJ117+BJ116-BJ120</f>
        <v/>
      </c>
      <c r="BK127" s="400">
        <f>BK117+BK116-BK120</f>
        <v/>
      </c>
      <c r="BL127" s="400">
        <f>BL117+BL116-BL120</f>
        <v/>
      </c>
      <c r="BM127" s="400">
        <f>BM117+BM116-BM120</f>
        <v/>
      </c>
      <c r="BN127" s="400">
        <f>BN117+BN116-BN120</f>
        <v/>
      </c>
      <c r="BO127" s="400">
        <f>BO117+BO116-BO120</f>
        <v/>
      </c>
      <c r="BP127" s="400">
        <f>BP117+BP116-BP120</f>
        <v/>
      </c>
      <c r="BQ127" s="400">
        <f>BQ117+BQ116-BQ120</f>
        <v/>
      </c>
      <c r="BR127" s="400">
        <f>BR117+BR116-BR120</f>
        <v/>
      </c>
      <c r="BS127" s="400">
        <f>BS117+BS116-BS120</f>
        <v/>
      </c>
      <c r="BT127" s="400">
        <f>BT117+BT116-BT120</f>
        <v/>
      </c>
      <c r="BU127" s="400">
        <f>BU117+BU116-BU120</f>
        <v/>
      </c>
      <c r="BV127" s="400">
        <f>BV117+BV116-BV120</f>
        <v/>
      </c>
      <c r="BW127" s="400">
        <f>BW117+BW116-BW120</f>
        <v/>
      </c>
      <c r="BX127" s="400">
        <f>BX117+BX116-BX120</f>
        <v/>
      </c>
      <c r="BY127" s="400">
        <f>BY117+BY116-BY120</f>
        <v/>
      </c>
      <c r="BZ127" s="400">
        <f>BZ117+BZ116-BZ120</f>
        <v/>
      </c>
      <c r="CA127" s="400">
        <f>CA117+CA116-CA120</f>
        <v/>
      </c>
      <c r="CB127" s="400">
        <f>CB117+CB116-CB120</f>
        <v/>
      </c>
      <c r="CC127" s="400">
        <f>CC117+CC116-CC120</f>
        <v/>
      </c>
      <c r="CD127" s="400">
        <f>CD117+CD116-CD120</f>
        <v/>
      </c>
      <c r="CE127" s="400">
        <f>CE117+CE116-CE120</f>
        <v/>
      </c>
      <c r="CF127" s="400">
        <f>CF117+CF116-CF120</f>
        <v/>
      </c>
      <c r="CG127" s="400">
        <f>CG117+CG116-CG120</f>
        <v/>
      </c>
      <c r="CH127" s="400">
        <f>CH117+CH116-CH120</f>
        <v/>
      </c>
      <c r="CI127" s="400">
        <f>CI117+CI116-CI120</f>
        <v/>
      </c>
      <c r="CJ127" s="400">
        <f>CJ117+CJ116-CJ120</f>
        <v/>
      </c>
      <c r="CK127" s="400">
        <f>CK117+CK116-CK120</f>
        <v/>
      </c>
    </row>
    <row r="128">
      <c r="A128" s="455" t="inlineStr">
        <is>
          <t>Check</t>
        </is>
      </c>
      <c r="B128" s="400">
        <f>B120-B44</f>
        <v/>
      </c>
      <c r="C128" s="400">
        <f>C120-C44</f>
        <v/>
      </c>
      <c r="D128" s="400">
        <f>D120-D44</f>
        <v/>
      </c>
      <c r="E128" s="400">
        <f>E120-E44</f>
        <v/>
      </c>
      <c r="F128" s="400">
        <f>F120-F44</f>
        <v/>
      </c>
      <c r="G128" s="400">
        <f>G120-G44</f>
        <v/>
      </c>
      <c r="H128" s="400">
        <f>H120-H44</f>
        <v/>
      </c>
      <c r="I128" s="400">
        <f>I120-I44</f>
        <v/>
      </c>
      <c r="J128" s="400">
        <f>J120-J44</f>
        <v/>
      </c>
      <c r="K128" s="400">
        <f>K120-K44</f>
        <v/>
      </c>
      <c r="L128" s="400">
        <f>L120-L44</f>
        <v/>
      </c>
      <c r="M128" s="400">
        <f>M120-M44</f>
        <v/>
      </c>
      <c r="N128" s="400">
        <f>N120-N44</f>
        <v/>
      </c>
      <c r="O128" s="400">
        <f>O120-O44</f>
        <v/>
      </c>
      <c r="P128" s="400">
        <f>P120-P44</f>
        <v/>
      </c>
      <c r="Q128" s="400">
        <f>Q120-Q44</f>
        <v/>
      </c>
      <c r="R128" s="400">
        <f>R120-R44</f>
        <v/>
      </c>
      <c r="S128" s="400">
        <f>S120-S44</f>
        <v/>
      </c>
      <c r="T128" s="400">
        <f>T120-T44</f>
        <v/>
      </c>
      <c r="U128" s="400">
        <f>U120-U44</f>
        <v/>
      </c>
      <c r="V128" s="400">
        <f>V120-V44</f>
        <v/>
      </c>
      <c r="W128" s="400">
        <f>W120-W44</f>
        <v/>
      </c>
      <c r="X128" s="400">
        <f>X120-X44</f>
        <v/>
      </c>
      <c r="Y128" s="400">
        <f>Y120-Y44</f>
        <v/>
      </c>
      <c r="Z128" s="400">
        <f>Z120-Z44</f>
        <v/>
      </c>
      <c r="AA128" s="400">
        <f>AA120-AA44</f>
        <v/>
      </c>
      <c r="AB128" s="400">
        <f>AB120-AB44</f>
        <v/>
      </c>
      <c r="AC128" s="400">
        <f>AC120-AC44</f>
        <v/>
      </c>
      <c r="AD128" s="400">
        <f>AD120-AD44</f>
        <v/>
      </c>
      <c r="AE128" s="400">
        <f>AE120-AE44</f>
        <v/>
      </c>
      <c r="AF128" s="400">
        <f>AF120-AF44</f>
        <v/>
      </c>
      <c r="AG128" s="400">
        <f>AG120-AG44</f>
        <v/>
      </c>
      <c r="AH128" s="400">
        <f>AH120-AH44</f>
        <v/>
      </c>
      <c r="AI128" s="400">
        <f>AI120-AI44</f>
        <v/>
      </c>
      <c r="AJ128" s="400">
        <f>AJ120-AJ44</f>
        <v/>
      </c>
      <c r="AK128" s="400">
        <f>AK120-AK44</f>
        <v/>
      </c>
      <c r="AL128" s="400">
        <f>AL120-AL44</f>
        <v/>
      </c>
      <c r="AM128" s="400">
        <f>AM120-AM44</f>
        <v/>
      </c>
      <c r="AN128" s="400">
        <f>AN120-AN44</f>
        <v/>
      </c>
      <c r="AO128" s="400">
        <f>AO120-AO44</f>
        <v/>
      </c>
      <c r="AP128" s="400">
        <f>AP120-AP44</f>
        <v/>
      </c>
      <c r="AQ128" s="400">
        <f>AQ120-AQ44</f>
        <v/>
      </c>
      <c r="AR128" s="400">
        <f>AR120-AR44</f>
        <v/>
      </c>
      <c r="AS128" s="400">
        <f>AS120-AS44</f>
        <v/>
      </c>
      <c r="AT128" s="400">
        <f>AT120-AT44</f>
        <v/>
      </c>
      <c r="AU128" s="400">
        <f>AU120-AU44</f>
        <v/>
      </c>
      <c r="AV128" s="400">
        <f>AV120-AV44</f>
        <v/>
      </c>
      <c r="AW128" s="400">
        <f>AW120-AW44</f>
        <v/>
      </c>
      <c r="AX128" s="400">
        <f>AX120-AX44</f>
        <v/>
      </c>
      <c r="AY128" s="400">
        <f>AY120-AY44</f>
        <v/>
      </c>
      <c r="AZ128" s="400">
        <f>AZ120-AZ44</f>
        <v/>
      </c>
      <c r="BA128" s="400">
        <f>BA120-BA44</f>
        <v/>
      </c>
      <c r="BB128" s="400">
        <f>BB120-BB44</f>
        <v/>
      </c>
      <c r="BC128" s="400">
        <f>BC120-BC44</f>
        <v/>
      </c>
      <c r="BD128" s="400">
        <f>BD120-BD44</f>
        <v/>
      </c>
      <c r="BE128" s="400">
        <f>BE120-BE44</f>
        <v/>
      </c>
      <c r="BF128" s="400">
        <f>BF120-BF44</f>
        <v/>
      </c>
      <c r="BG128" s="400">
        <f>BG120-BG44</f>
        <v/>
      </c>
      <c r="BH128" s="400">
        <f>BH120-BH44</f>
        <v/>
      </c>
      <c r="BI128" s="400">
        <f>BI120-BI44</f>
        <v/>
      </c>
      <c r="BJ128" s="400">
        <f>BJ120-BJ44</f>
        <v/>
      </c>
      <c r="BK128" s="400">
        <f>BK120-BK44</f>
        <v/>
      </c>
      <c r="BL128" s="400">
        <f>BL120-BL44</f>
        <v/>
      </c>
      <c r="BM128" s="400">
        <f>BM120-BM44</f>
        <v/>
      </c>
      <c r="BN128" s="400">
        <f>BN120-BN44</f>
        <v/>
      </c>
      <c r="BO128" s="400">
        <f>BO120-BO44</f>
        <v/>
      </c>
      <c r="BP128" s="400">
        <f>BP120-BP44</f>
        <v/>
      </c>
      <c r="BQ128" s="400">
        <f>BQ120-BQ44</f>
        <v/>
      </c>
      <c r="BR128" s="400">
        <f>BR120-BR44</f>
        <v/>
      </c>
      <c r="BS128" s="400">
        <f>BS120-BS44</f>
        <v/>
      </c>
      <c r="BT128" s="400">
        <f>BT120-BT44</f>
        <v/>
      </c>
      <c r="BU128" s="400">
        <f>BU120-BU44</f>
        <v/>
      </c>
      <c r="BV128" s="400">
        <f>BV120-BV44</f>
        <v/>
      </c>
      <c r="BW128" s="400">
        <f>BW120-BW44</f>
        <v/>
      </c>
      <c r="BX128" s="400">
        <f>BX120-BX44</f>
        <v/>
      </c>
      <c r="BY128" s="400">
        <f>BY120-BY44</f>
        <v/>
      </c>
      <c r="BZ128" s="400">
        <f>BZ120-BZ44</f>
        <v/>
      </c>
      <c r="CA128" s="400">
        <f>CA120-CA44</f>
        <v/>
      </c>
      <c r="CB128" s="400">
        <f>CB120-CB44</f>
        <v/>
      </c>
      <c r="CC128" s="400">
        <f>CC120-CC44</f>
        <v/>
      </c>
      <c r="CD128" s="400">
        <f>CD120-CD44</f>
        <v/>
      </c>
      <c r="CE128" s="400">
        <f>CE120-CE44</f>
        <v/>
      </c>
      <c r="CF128" s="400">
        <f>CF120-CF44</f>
        <v/>
      </c>
      <c r="CG128" s="400">
        <f>CG120-CG44</f>
        <v/>
      </c>
      <c r="CH128" s="400">
        <f>CH120-CH44</f>
        <v/>
      </c>
      <c r="CI128" s="400">
        <f>CI120-CI44</f>
        <v/>
      </c>
      <c r="CJ128" s="400">
        <f>CJ120-CJ44</f>
        <v/>
      </c>
      <c r="CK128" s="400">
        <f>CK120-CK44</f>
        <v/>
      </c>
    </row>
  </sheetData>
  <pageMargins left="0.7" right="0.7" top="0.75" bottom="0.75" header="0.3" footer="0.3"/>
  <pageSetup orientation="portrait" paperSize="9"/>
  <legacyDrawing xmlns:r="http://schemas.openxmlformats.org/officeDocument/2006/relationships" r:id="anysvml"/>
</worksheet>
</file>

<file path=xl/worksheets/sheet8.xml><?xml version="1.0" encoding="utf-8"?>
<worksheet xmlns="http://schemas.openxmlformats.org/spreadsheetml/2006/main">
  <sheetPr codeName="Sheet8">
    <tabColor rgb="FF92D050"/>
    <outlinePr summaryBelow="1" summaryRight="1"/>
    <pageSetUpPr/>
  </sheetPr>
  <dimension ref="A1:DS272"/>
  <sheetViews>
    <sheetView zoomScale="125" zoomScaleNormal="80" workbookViewId="0">
      <pane xSplit="41" ySplit="7" topLeftCell="BM144" activePane="bottomRight" state="frozen"/>
      <selection pane="topRight" activeCell="AP1" sqref="AP1"/>
      <selection pane="bottomLeft" activeCell="A8" sqref="A8"/>
      <selection pane="bottomRight" activeCell="CE191" sqref="CE191"/>
    </sheetView>
  </sheetViews>
  <sheetFormatPr baseColWidth="10" defaultColWidth="9.33203125" defaultRowHeight="13" outlineLevelRow="1"/>
  <cols>
    <col width="57.33203125" bestFit="1" customWidth="1" style="20" min="1" max="1"/>
    <col hidden="1" width="10.5" customWidth="1" style="20" min="2" max="3"/>
    <col hidden="1" width="11.5" customWidth="1" style="20" min="4" max="4"/>
    <col hidden="1" width="10.5" customWidth="1" style="20" min="5" max="7"/>
    <col hidden="1" width="11.5" customWidth="1" style="20" min="8" max="8"/>
    <col hidden="1" width="10.5" customWidth="1" style="20" min="9" max="11"/>
    <col hidden="1" width="11.5" customWidth="1" style="20" min="12" max="12"/>
    <col hidden="1" width="10.5" customWidth="1" style="20" min="13" max="13"/>
    <col hidden="1" width="12.6640625" customWidth="1" style="20" min="14" max="41"/>
    <col width="12.6640625" customWidth="1" style="20" min="42" max="54"/>
    <col width="13" customWidth="1" style="20" min="55" max="55"/>
    <col width="12.6640625" customWidth="1" style="20" min="56" max="89"/>
    <col width="11.33203125" customWidth="1" style="20" min="90" max="90"/>
    <col hidden="1" width="12.33203125" customWidth="1" style="20" min="91" max="91"/>
    <col hidden="1" width="11.5" customWidth="1" style="20" min="92" max="97"/>
    <col hidden="1" width="12.33203125" customWidth="1" style="20" min="98" max="103"/>
    <col hidden="1" width="9.33203125" customWidth="1" style="20" min="104" max="104"/>
    <col width="12.6640625" customWidth="1" style="20" min="105" max="123"/>
    <col width="9.33203125" customWidth="1" style="20" min="124" max="16384"/>
  </cols>
  <sheetData>
    <row r="1">
      <c r="A1" s="22" t="inlineStr">
        <is>
          <t>IPG Photonics Corp.</t>
        </is>
      </c>
      <c r="B1" s="23">
        <f>Reported!B1</f>
        <v/>
      </c>
      <c r="C1" s="23">
        <f>Reported!C1</f>
        <v/>
      </c>
      <c r="D1" s="23">
        <f>Reported!D1</f>
        <v/>
      </c>
      <c r="E1" s="23">
        <f>Reported!E1</f>
        <v/>
      </c>
      <c r="F1" s="23">
        <f>Reported!F1</f>
        <v/>
      </c>
      <c r="G1" s="23">
        <f>Reported!G1</f>
        <v/>
      </c>
      <c r="H1" s="23">
        <f>Reported!H1</f>
        <v/>
      </c>
      <c r="I1" s="23">
        <f>Reported!I1</f>
        <v/>
      </c>
      <c r="J1" s="23">
        <f>Reported!J1</f>
        <v/>
      </c>
      <c r="K1" s="23">
        <f>Reported!K1</f>
        <v/>
      </c>
      <c r="L1" s="23">
        <f>Reported!L1</f>
        <v/>
      </c>
      <c r="M1" s="23">
        <f>Reported!M1</f>
        <v/>
      </c>
      <c r="N1" s="23">
        <f>Reported!N1</f>
        <v/>
      </c>
      <c r="O1" s="23">
        <f>Reported!O1</f>
        <v/>
      </c>
      <c r="P1" s="23">
        <f>Reported!P1</f>
        <v/>
      </c>
      <c r="Q1" s="23">
        <f>Reported!Q1</f>
        <v/>
      </c>
      <c r="R1" s="23">
        <f>Reported!R1</f>
        <v/>
      </c>
      <c r="S1" s="23">
        <f>Reported!S1</f>
        <v/>
      </c>
      <c r="T1" s="23">
        <f>Reported!T1</f>
        <v/>
      </c>
      <c r="U1" s="23">
        <f>Reported!U1</f>
        <v/>
      </c>
      <c r="V1" s="23">
        <f>Reported!V1</f>
        <v/>
      </c>
      <c r="W1" s="23">
        <f>Reported!W1</f>
        <v/>
      </c>
      <c r="X1" s="23">
        <f>Reported!X1</f>
        <v/>
      </c>
      <c r="Y1" s="23">
        <f>Reported!Y1</f>
        <v/>
      </c>
      <c r="Z1" s="23">
        <f>Reported!Z1</f>
        <v/>
      </c>
      <c r="AA1" s="23">
        <f>Reported!AA1</f>
        <v/>
      </c>
      <c r="AB1" s="23">
        <f>Reported!AB1</f>
        <v/>
      </c>
      <c r="AC1" s="23">
        <f>Reported!AC1</f>
        <v/>
      </c>
      <c r="AD1" s="23">
        <f>Reported!AD1</f>
        <v/>
      </c>
      <c r="AE1" s="23">
        <f>Reported!AE1</f>
        <v/>
      </c>
      <c r="AF1" s="23">
        <f>Reported!AF1</f>
        <v/>
      </c>
      <c r="AG1" s="23">
        <f>Reported!AG1</f>
        <v/>
      </c>
      <c r="AH1" s="23">
        <f>Reported!AH1</f>
        <v/>
      </c>
      <c r="AI1" s="23">
        <f>Reported!AI1</f>
        <v/>
      </c>
      <c r="AJ1" s="23">
        <f>Reported!AJ1</f>
        <v/>
      </c>
      <c r="AK1" s="23">
        <f>Reported!AK1</f>
        <v/>
      </c>
      <c r="AL1" s="23">
        <f>Reported!AL1</f>
        <v/>
      </c>
      <c r="AM1" s="23">
        <f>Reported!AM1</f>
        <v/>
      </c>
      <c r="AN1" s="23">
        <f>Reported!AN1</f>
        <v/>
      </c>
      <c r="AO1" s="23">
        <f>Reported!AO1</f>
        <v/>
      </c>
      <c r="AP1" s="23">
        <f>Reported!AP1</f>
        <v/>
      </c>
      <c r="AQ1" s="23">
        <f>Reported!AQ1</f>
        <v/>
      </c>
      <c r="AR1" s="23">
        <f>Reported!AR1</f>
        <v/>
      </c>
      <c r="AS1" s="23">
        <f>Reported!AS1</f>
        <v/>
      </c>
      <c r="AT1" s="23">
        <f>Reported!AT1</f>
        <v/>
      </c>
      <c r="AU1" s="23">
        <f>Reported!AU1</f>
        <v/>
      </c>
      <c r="AV1" s="23">
        <f>Reported!AV1</f>
        <v/>
      </c>
      <c r="AW1" s="23">
        <f>Reported!AW1</f>
        <v/>
      </c>
      <c r="AX1" s="23">
        <f>Reported!AX1</f>
        <v/>
      </c>
      <c r="AY1" s="23">
        <f>Reported!AY1</f>
        <v/>
      </c>
      <c r="AZ1" s="23">
        <f>Reported!AZ1</f>
        <v/>
      </c>
      <c r="BA1" s="23">
        <f>Reported!BA1</f>
        <v/>
      </c>
      <c r="BB1" s="23">
        <f>Reported!BB1</f>
        <v/>
      </c>
      <c r="BC1" s="23">
        <f>Reported!BC1</f>
        <v/>
      </c>
      <c r="BD1" s="23">
        <f>Reported!BD1</f>
        <v/>
      </c>
      <c r="BE1" s="23">
        <f>Reported!BE1</f>
        <v/>
      </c>
      <c r="BF1" s="23">
        <f>Reported!BF1</f>
        <v/>
      </c>
      <c r="BG1" s="23">
        <f>Reported!BG1</f>
        <v/>
      </c>
      <c r="BH1" s="23">
        <f>Reported!BH1</f>
        <v/>
      </c>
      <c r="BI1" s="23">
        <f>Reported!BI1</f>
        <v/>
      </c>
      <c r="BJ1" s="23">
        <f>Reported!BJ1</f>
        <v/>
      </c>
      <c r="BK1" s="23">
        <f>Reported!BK1</f>
        <v/>
      </c>
      <c r="BL1" s="23">
        <f>Reported!BL1</f>
        <v/>
      </c>
      <c r="BM1" s="23">
        <f>Reported!BM1</f>
        <v/>
      </c>
      <c r="BN1" s="23">
        <f>Reported!BN1</f>
        <v/>
      </c>
      <c r="BO1" s="23">
        <f>Reported!BO1</f>
        <v/>
      </c>
      <c r="BP1" s="23">
        <f>Reported!BP1</f>
        <v/>
      </c>
      <c r="BQ1" s="23">
        <f>Reported!BQ1</f>
        <v/>
      </c>
      <c r="BR1" s="23">
        <f>Reported!BR1</f>
        <v/>
      </c>
      <c r="BS1" s="23">
        <f>Reported!BS1</f>
        <v/>
      </c>
      <c r="BT1" s="23">
        <f>Reported!BT1</f>
        <v/>
      </c>
      <c r="BU1" s="23">
        <f>Reported!BU1</f>
        <v/>
      </c>
      <c r="BV1" s="23">
        <f>Reported!BV1</f>
        <v/>
      </c>
      <c r="BW1" s="23">
        <f>Reported!BW1</f>
        <v/>
      </c>
      <c r="BX1" s="23">
        <f>Reported!BX1</f>
        <v/>
      </c>
      <c r="BY1" s="23">
        <f>Reported!BY1</f>
        <v/>
      </c>
      <c r="BZ1" s="23">
        <f>Reported!BZ1</f>
        <v/>
      </c>
      <c r="CA1" s="23">
        <f>Reported!CA1</f>
        <v/>
      </c>
      <c r="CB1" s="23">
        <f>Reported!CB1</f>
        <v/>
      </c>
      <c r="CC1" s="23">
        <f>Reported!CC1</f>
        <v/>
      </c>
      <c r="CD1" s="23">
        <f>Reported!CD1</f>
        <v/>
      </c>
      <c r="CE1" s="23">
        <f>Reported!CE1</f>
        <v/>
      </c>
      <c r="CF1" s="23">
        <f>Reported!CF1</f>
        <v/>
      </c>
      <c r="CG1" s="23">
        <f>Reported!CG1</f>
        <v/>
      </c>
      <c r="CH1" s="23">
        <f>Reported!CH1</f>
        <v/>
      </c>
      <c r="CI1" s="23">
        <f>Reported!CI1</f>
        <v/>
      </c>
      <c r="CJ1" s="23">
        <f>Reported!CJ1</f>
        <v/>
      </c>
      <c r="CK1" s="23">
        <f>Reported!CK1</f>
        <v/>
      </c>
      <c r="CL1" s="23" t="n"/>
      <c r="CM1" s="23" t="n"/>
      <c r="CN1" s="23" t="n"/>
      <c r="CO1" s="23" t="n"/>
      <c r="CP1" s="23" t="n"/>
      <c r="CQ1" s="23" t="n"/>
      <c r="CR1" s="23" t="n"/>
      <c r="CS1" s="23" t="n"/>
      <c r="CT1" s="23" t="n"/>
      <c r="CU1" s="23" t="n"/>
      <c r="CV1" s="23" t="n"/>
      <c r="CW1" s="23" t="n"/>
      <c r="CX1" s="23" t="n"/>
      <c r="CY1" s="23" t="n"/>
      <c r="DA1" s="23" t="n">
        <v>2010</v>
      </c>
      <c r="DB1" s="23">
        <f>DA1+1</f>
        <v/>
      </c>
      <c r="DC1" s="23">
        <f>DB1+1</f>
        <v/>
      </c>
      <c r="DD1" s="23">
        <f>DC1+1</f>
        <v/>
      </c>
      <c r="DE1" s="23">
        <f>DD1+1</f>
        <v/>
      </c>
      <c r="DF1" s="23">
        <f>DE1+1</f>
        <v/>
      </c>
      <c r="DG1" s="23">
        <f>DF1+1</f>
        <v/>
      </c>
      <c r="DH1" s="23">
        <f>DG1+1</f>
        <v/>
      </c>
      <c r="DI1" s="23">
        <f>DH1+1</f>
        <v/>
      </c>
      <c r="DJ1" s="23">
        <f>DI1+1</f>
        <v/>
      </c>
      <c r="DK1" s="23">
        <f>DJ1+1</f>
        <v/>
      </c>
      <c r="DL1" s="23">
        <f>DK1+1</f>
        <v/>
      </c>
      <c r="DM1" s="23">
        <f>DL1+1</f>
        <v/>
      </c>
      <c r="DN1" s="23">
        <f>DM1+1</f>
        <v/>
      </c>
      <c r="DO1" s="23">
        <f>DN1+1</f>
        <v/>
      </c>
      <c r="DP1" s="23">
        <f>DO1+1</f>
        <v/>
      </c>
      <c r="DQ1" s="23">
        <f>DP1+1</f>
        <v/>
      </c>
      <c r="DR1" s="23">
        <f>DQ1+1</f>
        <v/>
      </c>
      <c r="DS1" s="23">
        <f>DR1+1</f>
        <v/>
      </c>
    </row>
    <row r="2">
      <c r="A2" t="inlineStr">
        <is>
          <t>Forecast</t>
        </is>
      </c>
      <c r="B2" s="24">
        <f>Reported!B2</f>
        <v/>
      </c>
      <c r="C2" s="24">
        <f>Reported!C2</f>
        <v/>
      </c>
      <c r="D2" s="24">
        <f>Reported!D2</f>
        <v/>
      </c>
      <c r="E2" s="24">
        <f>Reported!E2</f>
        <v/>
      </c>
      <c r="F2" s="24">
        <f>Reported!F2</f>
        <v/>
      </c>
      <c r="G2" s="24">
        <f>Reported!G2</f>
        <v/>
      </c>
      <c r="H2" s="24">
        <f>Reported!H2</f>
        <v/>
      </c>
      <c r="I2" s="24">
        <f>Reported!I2</f>
        <v/>
      </c>
      <c r="J2" s="24">
        <f>Reported!J2</f>
        <v/>
      </c>
      <c r="K2" s="24">
        <f>Reported!K2</f>
        <v/>
      </c>
      <c r="L2" s="24">
        <f>Reported!L2</f>
        <v/>
      </c>
      <c r="M2" s="24">
        <f>Reported!M2</f>
        <v/>
      </c>
      <c r="N2" s="24">
        <f>Reported!N2</f>
        <v/>
      </c>
      <c r="O2" s="24">
        <f>Reported!O2</f>
        <v/>
      </c>
      <c r="P2" s="24">
        <f>Reported!P2</f>
        <v/>
      </c>
      <c r="Q2" s="24">
        <f>Reported!Q2</f>
        <v/>
      </c>
      <c r="R2" s="24">
        <f>Reported!R2</f>
        <v/>
      </c>
      <c r="S2" s="24">
        <f>Reported!S2</f>
        <v/>
      </c>
      <c r="T2" s="24">
        <f>Reported!T2</f>
        <v/>
      </c>
      <c r="U2" s="24">
        <f>Reported!U2</f>
        <v/>
      </c>
      <c r="V2" s="24">
        <f>Reported!V2</f>
        <v/>
      </c>
      <c r="W2" s="24">
        <f>Reported!W2</f>
        <v/>
      </c>
      <c r="X2" s="24">
        <f>Reported!X2</f>
        <v/>
      </c>
      <c r="Y2" s="24">
        <f>Reported!Y2</f>
        <v/>
      </c>
      <c r="Z2" s="24">
        <f>Reported!Z2</f>
        <v/>
      </c>
      <c r="AA2" s="24">
        <f>Reported!AA2</f>
        <v/>
      </c>
      <c r="AB2" s="24">
        <f>Reported!AB2</f>
        <v/>
      </c>
      <c r="AC2" s="24">
        <f>Reported!AC2</f>
        <v/>
      </c>
      <c r="AD2" s="24">
        <f>Reported!AD2</f>
        <v/>
      </c>
      <c r="AE2" s="24">
        <f>Reported!AE2</f>
        <v/>
      </c>
      <c r="AF2" s="24">
        <f>Reported!AF2</f>
        <v/>
      </c>
      <c r="AG2" s="24">
        <f>Reported!AG2</f>
        <v/>
      </c>
      <c r="AH2" s="24">
        <f>Reported!AH2</f>
        <v/>
      </c>
      <c r="AI2" s="24">
        <f>Reported!AI2</f>
        <v/>
      </c>
      <c r="AJ2" s="24">
        <f>Reported!AJ2</f>
        <v/>
      </c>
      <c r="AK2" s="24">
        <f>Reported!AK2</f>
        <v/>
      </c>
      <c r="AL2" s="24">
        <f>Reported!AL2</f>
        <v/>
      </c>
      <c r="AM2" s="24">
        <f>Reported!AM2</f>
        <v/>
      </c>
      <c r="AN2" s="24">
        <f>Reported!AN2</f>
        <v/>
      </c>
      <c r="AO2" s="24">
        <f>Reported!AO2</f>
        <v/>
      </c>
      <c r="AP2" s="24">
        <f>Reported!AP2</f>
        <v/>
      </c>
      <c r="AQ2" s="24">
        <f>Reported!AQ2</f>
        <v/>
      </c>
      <c r="AR2" s="24">
        <f>Reported!AR2</f>
        <v/>
      </c>
      <c r="AS2" s="24">
        <f>Reported!AS2</f>
        <v/>
      </c>
      <c r="AT2" s="24">
        <f>Reported!AT2</f>
        <v/>
      </c>
      <c r="AU2" s="24">
        <f>Reported!AU2</f>
        <v/>
      </c>
      <c r="AV2" s="24">
        <f>Reported!AV2</f>
        <v/>
      </c>
      <c r="AW2" s="24">
        <f>Reported!AW2</f>
        <v/>
      </c>
      <c r="AX2" s="24">
        <f>Reported!AX2</f>
        <v/>
      </c>
      <c r="AY2" s="24">
        <f>Reported!AY2</f>
        <v/>
      </c>
      <c r="AZ2" s="24">
        <f>Reported!AZ2</f>
        <v/>
      </c>
      <c r="BA2" s="24">
        <f>Reported!BA2</f>
        <v/>
      </c>
      <c r="BB2" s="24">
        <f>Reported!BB2</f>
        <v/>
      </c>
      <c r="BC2" s="24">
        <f>Reported!BC2</f>
        <v/>
      </c>
      <c r="BD2" s="24">
        <f>Reported!BD2</f>
        <v/>
      </c>
      <c r="BE2" s="24">
        <f>Reported!BE2</f>
        <v/>
      </c>
      <c r="BF2" s="24">
        <f>Reported!BF2</f>
        <v/>
      </c>
      <c r="BG2" s="24">
        <f>Reported!BG2</f>
        <v/>
      </c>
      <c r="BH2" s="24">
        <f>Reported!BH2</f>
        <v/>
      </c>
      <c r="BI2" s="24">
        <f>Reported!BI2</f>
        <v/>
      </c>
      <c r="BJ2" s="24">
        <f>Reported!BJ2</f>
        <v/>
      </c>
      <c r="BK2" s="24">
        <f>Reported!BK2</f>
        <v/>
      </c>
      <c r="BL2" s="24">
        <f>Reported!BL2</f>
        <v/>
      </c>
      <c r="BM2" s="24">
        <f>Reported!BM2</f>
        <v/>
      </c>
      <c r="BN2" s="24">
        <f>Reported!BN2</f>
        <v/>
      </c>
      <c r="BO2" s="24">
        <f>Reported!BO2</f>
        <v/>
      </c>
      <c r="BP2" s="24">
        <f>Reported!BP2</f>
        <v/>
      </c>
      <c r="BQ2" s="24">
        <f>Reported!BQ2</f>
        <v/>
      </c>
      <c r="BR2" s="24">
        <f>Reported!BR2</f>
        <v/>
      </c>
      <c r="BS2" s="24">
        <f>Reported!BS2</f>
        <v/>
      </c>
      <c r="BT2" s="24">
        <f>Reported!BT2</f>
        <v/>
      </c>
      <c r="BU2" s="24">
        <f>Reported!BU2</f>
        <v/>
      </c>
      <c r="BV2" s="24">
        <f>Reported!BV2</f>
        <v/>
      </c>
      <c r="BW2" s="24">
        <f>Reported!BW2</f>
        <v/>
      </c>
      <c r="BX2" s="24">
        <f>Reported!BX2</f>
        <v/>
      </c>
      <c r="BY2" s="24">
        <f>Reported!BY2</f>
        <v/>
      </c>
      <c r="BZ2" s="24">
        <f>Reported!BZ2</f>
        <v/>
      </c>
      <c r="CA2" s="24">
        <f>Reported!CA2</f>
        <v/>
      </c>
      <c r="CB2" s="24">
        <f>Reported!CB2</f>
        <v/>
      </c>
      <c r="CC2" s="24">
        <f>Reported!CC2</f>
        <v/>
      </c>
      <c r="CD2" s="24">
        <f>Reported!CD2</f>
        <v/>
      </c>
      <c r="CE2" s="24">
        <f>Reported!CE2</f>
        <v/>
      </c>
      <c r="CF2" s="24">
        <f>Reported!CF2</f>
        <v/>
      </c>
      <c r="CG2" s="24">
        <f>Reported!CG2</f>
        <v/>
      </c>
      <c r="CH2" s="24">
        <f>Reported!CH2</f>
        <v/>
      </c>
      <c r="CI2" s="24">
        <f>Reported!CI2</f>
        <v/>
      </c>
      <c r="CJ2" s="24">
        <f>Reported!CJ2</f>
        <v/>
      </c>
      <c r="CK2" s="24">
        <f>Reported!CK2</f>
        <v/>
      </c>
      <c r="CL2" s="24" t="n"/>
      <c r="CM2" s="24" t="n"/>
      <c r="CN2" s="24" t="n"/>
      <c r="CO2" s="24" t="n"/>
      <c r="CP2" s="24" t="n"/>
      <c r="CQ2" s="24" t="n"/>
      <c r="CR2" s="24" t="n"/>
      <c r="CS2" s="24" t="n"/>
      <c r="CT2" s="24" t="n"/>
      <c r="CU2" s="24" t="n"/>
      <c r="CV2" s="24" t="n"/>
      <c r="CW2" s="24" t="n"/>
      <c r="CX2" s="24" t="n"/>
      <c r="CY2" s="24" t="n"/>
    </row>
    <row r="3">
      <c r="A3" t="inlineStr">
        <is>
          <t>Quarterly</t>
        </is>
      </c>
      <c r="B3" s="24">
        <f>B2&amp;"Q"&amp;RIGHT(B1,2)</f>
        <v/>
      </c>
      <c r="C3" s="24">
        <f>C2&amp;"Q"&amp;RIGHT(C1,2)</f>
        <v/>
      </c>
      <c r="D3" s="24">
        <f>D2&amp;"Q"&amp;RIGHT(D1,2)</f>
        <v/>
      </c>
      <c r="E3" s="24">
        <f>E2&amp;"Q"&amp;RIGHT(E1,2)</f>
        <v/>
      </c>
      <c r="F3" s="24">
        <f>F2&amp;"Q"&amp;RIGHT(F1,2)</f>
        <v/>
      </c>
      <c r="G3" s="24">
        <f>G2&amp;"Q"&amp;RIGHT(G1,2)</f>
        <v/>
      </c>
      <c r="H3" s="24">
        <f>H2&amp;"Q"&amp;RIGHT(H1,2)</f>
        <v/>
      </c>
      <c r="I3" s="24">
        <f>I2&amp;"Q"&amp;RIGHT(I1,2)</f>
        <v/>
      </c>
      <c r="J3" s="24">
        <f>J2&amp;"Q"&amp;RIGHT(J1,2)</f>
        <v/>
      </c>
      <c r="K3" s="24">
        <f>K2&amp;"Q"&amp;RIGHT(K1,2)</f>
        <v/>
      </c>
      <c r="L3" s="24">
        <f>L2&amp;"Q"&amp;RIGHT(L1,2)</f>
        <v/>
      </c>
      <c r="M3" s="24">
        <f>M2&amp;"Q"&amp;RIGHT(M1,2)</f>
        <v/>
      </c>
      <c r="N3" s="24">
        <f>N2&amp;"Q"&amp;RIGHT(N1,2)</f>
        <v/>
      </c>
      <c r="O3" s="24">
        <f>O2&amp;"Q"&amp;RIGHT(O1,2)</f>
        <v/>
      </c>
      <c r="P3" s="24">
        <f>P2&amp;"Q"&amp;RIGHT(P1,2)</f>
        <v/>
      </c>
      <c r="Q3" s="24">
        <f>Q2&amp;"Q"&amp;RIGHT(Q1,2)</f>
        <v/>
      </c>
      <c r="R3" s="24">
        <f>R2&amp;"Q"&amp;RIGHT(R1,2)</f>
        <v/>
      </c>
      <c r="S3" s="24">
        <f>S2&amp;"Q"&amp;RIGHT(S1,2)</f>
        <v/>
      </c>
      <c r="T3" s="24">
        <f>T2&amp;"Q"&amp;RIGHT(T1,2)</f>
        <v/>
      </c>
      <c r="U3" s="24">
        <f>U2&amp;"Q"&amp;RIGHT(U1,2)</f>
        <v/>
      </c>
      <c r="V3" s="24">
        <f>V2&amp;"Q"&amp;RIGHT(V1,2)</f>
        <v/>
      </c>
      <c r="W3" s="24">
        <f>W2&amp;"Q"&amp;RIGHT(W1,2)</f>
        <v/>
      </c>
      <c r="X3" s="24">
        <f>X2&amp;"Q"&amp;RIGHT(X1,2)</f>
        <v/>
      </c>
      <c r="Y3" s="24">
        <f>Y2&amp;"Q"&amp;RIGHT(Y1,2)</f>
        <v/>
      </c>
      <c r="Z3" s="24">
        <f>Z2&amp;"Q"&amp;RIGHT(Z1,2)</f>
        <v/>
      </c>
      <c r="AA3" s="24">
        <f>AA2&amp;"Q"&amp;RIGHT(AA1,2)</f>
        <v/>
      </c>
      <c r="AB3" s="24">
        <f>AB2&amp;"Q"&amp;RIGHT(AB1,2)</f>
        <v/>
      </c>
      <c r="AC3" s="24">
        <f>AC2&amp;"Q"&amp;RIGHT(AC1,2)</f>
        <v/>
      </c>
      <c r="AD3" s="24">
        <f>AD2&amp;"Q"&amp;RIGHT(AD1,2)</f>
        <v/>
      </c>
      <c r="AE3" s="24">
        <f>AE2&amp;"Q"&amp;RIGHT(AE1,2)</f>
        <v/>
      </c>
      <c r="AF3" s="24">
        <f>AF2&amp;"Q"&amp;RIGHT(AF1,2)</f>
        <v/>
      </c>
      <c r="AG3" s="24">
        <f>AG2&amp;"Q"&amp;RIGHT(AG1,2)</f>
        <v/>
      </c>
      <c r="AH3" s="24">
        <f>AH2&amp;"Q"&amp;RIGHT(AH1,2)</f>
        <v/>
      </c>
      <c r="AI3" s="24">
        <f>AI2&amp;"Q"&amp;RIGHT(AI1,2)</f>
        <v/>
      </c>
      <c r="AJ3" s="24">
        <f>AJ2&amp;"Q"&amp;RIGHT(AJ1,2)</f>
        <v/>
      </c>
      <c r="AK3" s="24">
        <f>AK2&amp;"Q"&amp;RIGHT(AK1,2)</f>
        <v/>
      </c>
      <c r="AL3" s="24">
        <f>AL2&amp;"Q"&amp;RIGHT(AL1,2)</f>
        <v/>
      </c>
      <c r="AM3" s="24">
        <f>AM2&amp;"Q"&amp;RIGHT(AM1,2)</f>
        <v/>
      </c>
      <c r="AN3" s="24">
        <f>AN2&amp;"Q"&amp;RIGHT(AN1,2)</f>
        <v/>
      </c>
      <c r="AO3" s="24">
        <f>AO2&amp;"Q"&amp;RIGHT(AO1,2)</f>
        <v/>
      </c>
      <c r="AP3" s="24">
        <f>AP2&amp;"Q"&amp;RIGHT(AP1,2)</f>
        <v/>
      </c>
      <c r="AQ3" s="24">
        <f>AQ2&amp;"Q"&amp;RIGHT(AQ1,2)</f>
        <v/>
      </c>
      <c r="AR3" s="24">
        <f>AR2&amp;"Q"&amp;RIGHT(AR1,2)</f>
        <v/>
      </c>
      <c r="AS3" s="24">
        <f>AS2&amp;"Q"&amp;RIGHT(AS1,2)</f>
        <v/>
      </c>
      <c r="AT3" s="24">
        <f>AT2&amp;"Q"&amp;RIGHT(AT1,2)</f>
        <v/>
      </c>
      <c r="AU3" s="24">
        <f>AU2&amp;"Q"&amp;RIGHT(AU1,2)</f>
        <v/>
      </c>
      <c r="AV3" s="24">
        <f>AV2&amp;"Q"&amp;RIGHT(AV1,2)</f>
        <v/>
      </c>
      <c r="AW3" s="24">
        <f>AW2&amp;"Q"&amp;RIGHT(AW1,2)</f>
        <v/>
      </c>
      <c r="AX3" s="24">
        <f>AX2&amp;"Q"&amp;RIGHT(AX1,2)</f>
        <v/>
      </c>
      <c r="AY3" s="24">
        <f>AY2&amp;"Q"&amp;RIGHT(AY1,2)</f>
        <v/>
      </c>
      <c r="AZ3" s="24">
        <f>AZ2&amp;"Q"&amp;RIGHT(AZ1,2)</f>
        <v/>
      </c>
      <c r="BA3" s="24">
        <f>BA2&amp;"Q"&amp;RIGHT(BA1,2)</f>
        <v/>
      </c>
      <c r="BB3" s="24">
        <f>BB2&amp;"Q"&amp;RIGHT(BB1,2)</f>
        <v/>
      </c>
      <c r="BC3" s="24">
        <f>BC2&amp;"Q"&amp;RIGHT(BC1,2)</f>
        <v/>
      </c>
      <c r="BD3" s="24">
        <f>BD2&amp;"Q"&amp;RIGHT(BD1,2)</f>
        <v/>
      </c>
      <c r="BE3" s="24">
        <f>BE2&amp;"Q"&amp;RIGHT(BE1,2)</f>
        <v/>
      </c>
      <c r="BF3" s="24">
        <f>BF2&amp;"Q"&amp;RIGHT(BF1,2)</f>
        <v/>
      </c>
      <c r="BG3" s="24">
        <f>BG2&amp;"Q"&amp;RIGHT(BG1,2)</f>
        <v/>
      </c>
      <c r="BH3" s="24">
        <f>BH2&amp;"Q"&amp;RIGHT(BH1,2)</f>
        <v/>
      </c>
      <c r="BI3" s="24">
        <f>BI2&amp;"Q"&amp;RIGHT(BI1,2)</f>
        <v/>
      </c>
      <c r="BJ3" s="24">
        <f>BJ2&amp;"Q"&amp;RIGHT(BJ1,2)</f>
        <v/>
      </c>
      <c r="BK3" s="24">
        <f>BK2&amp;"Q"&amp;RIGHT(BK1,2)</f>
        <v/>
      </c>
      <c r="BL3" s="24">
        <f>BL2&amp;"Q"&amp;RIGHT(BL1,2)</f>
        <v/>
      </c>
      <c r="BM3" s="24">
        <f>BM2&amp;"Q"&amp;RIGHT(BM1,2)</f>
        <v/>
      </c>
      <c r="BN3" s="24">
        <f>BN2&amp;"Q"&amp;RIGHT(BN1,2)</f>
        <v/>
      </c>
      <c r="BO3" s="24">
        <f>BO2&amp;"Q"&amp;RIGHT(BO1,2)</f>
        <v/>
      </c>
      <c r="BP3" s="24">
        <f>BP2&amp;"Q"&amp;RIGHT(BP1,2)</f>
        <v/>
      </c>
      <c r="BQ3" s="24">
        <f>BQ2&amp;"Q"&amp;RIGHT(BQ1,2)</f>
        <v/>
      </c>
      <c r="BR3" s="24">
        <f>BR2&amp;"Q"&amp;RIGHT(BR1,2)</f>
        <v/>
      </c>
      <c r="BS3" s="24">
        <f>BS2&amp;"Q"&amp;RIGHT(BS1,2)</f>
        <v/>
      </c>
      <c r="BT3" s="24">
        <f>BT2&amp;"Q"&amp;RIGHT(BT1,2)</f>
        <v/>
      </c>
      <c r="BU3" s="24">
        <f>BU2&amp;"Q"&amp;RIGHT(BU1,2)</f>
        <v/>
      </c>
      <c r="BV3" s="24">
        <f>BV2&amp;"Q"&amp;RIGHT(BV1,2)</f>
        <v/>
      </c>
      <c r="BW3" s="24">
        <f>BW2&amp;"Q"&amp;RIGHT(BW1,2)</f>
        <v/>
      </c>
      <c r="BX3" s="24">
        <f>BX2&amp;"Q"&amp;RIGHT(BX1,2)</f>
        <v/>
      </c>
      <c r="BY3" s="24">
        <f>BY2&amp;"Q"&amp;RIGHT(BY1,2)</f>
        <v/>
      </c>
      <c r="BZ3" s="24">
        <f>BZ2&amp;"Q"&amp;RIGHT(BZ1,2)</f>
        <v/>
      </c>
      <c r="CA3" s="24">
        <f>CA2&amp;"Q"&amp;RIGHT(CA1,2)</f>
        <v/>
      </c>
      <c r="CB3" s="24">
        <f>CB2&amp;"Q"&amp;RIGHT(CB1,2)</f>
        <v/>
      </c>
      <c r="CC3" s="24">
        <f>CC2&amp;"Q"&amp;RIGHT(CC1,2)</f>
        <v/>
      </c>
      <c r="CD3" s="24">
        <f>CD2&amp;"Q"&amp;RIGHT(CD1,2)</f>
        <v/>
      </c>
      <c r="CE3" s="24">
        <f>CE2&amp;"Q"&amp;RIGHT(CE1,2)</f>
        <v/>
      </c>
      <c r="CF3" s="24">
        <f>CF2&amp;"Q"&amp;RIGHT(CF1,2)</f>
        <v/>
      </c>
      <c r="CG3" s="24">
        <f>CG2&amp;"Q"&amp;RIGHT(CG1,2)</f>
        <v/>
      </c>
      <c r="CH3" s="24">
        <f>CH2&amp;"Q"&amp;RIGHT(CH1,2)</f>
        <v/>
      </c>
      <c r="CI3" s="24">
        <f>CI2&amp;"Q"&amp;RIGHT(CI1,2)</f>
        <v/>
      </c>
      <c r="CJ3" s="24">
        <f>CJ2&amp;"Q"&amp;RIGHT(CJ1,2)</f>
        <v/>
      </c>
      <c r="CK3" s="24">
        <f>CK2&amp;"Q"&amp;RIGHT(CK1,2)</f>
        <v/>
      </c>
    </row>
    <row r="4"/>
    <row r="5">
      <c r="A5" s="25" t="n"/>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f>
        <v/>
      </c>
      <c r="AE5" s="26">
        <f>AE3</f>
        <v/>
      </c>
      <c r="AF5" s="26">
        <f>AF3</f>
        <v/>
      </c>
      <c r="AG5" s="26">
        <f>AG3</f>
        <v/>
      </c>
      <c r="AH5" s="26">
        <f>AH3</f>
        <v/>
      </c>
      <c r="AI5" s="26">
        <f>AI3</f>
        <v/>
      </c>
      <c r="AJ5" s="26">
        <f>AJ3</f>
        <v/>
      </c>
      <c r="AK5" s="26">
        <f>AK3</f>
        <v/>
      </c>
      <c r="AL5" s="26">
        <f>AL3</f>
        <v/>
      </c>
      <c r="AM5" s="26">
        <f>AM3</f>
        <v/>
      </c>
      <c r="AN5" s="26">
        <f>AN3</f>
        <v/>
      </c>
      <c r="AO5" s="26">
        <f>AO3</f>
        <v/>
      </c>
      <c r="AP5" s="26">
        <f>AP3</f>
        <v/>
      </c>
      <c r="AQ5" s="26">
        <f>AQ3</f>
        <v/>
      </c>
      <c r="AR5" s="26">
        <f>AR3</f>
        <v/>
      </c>
      <c r="AS5" s="26">
        <f>AS3</f>
        <v/>
      </c>
      <c r="AT5" s="26">
        <f>AT3</f>
        <v/>
      </c>
      <c r="AU5" s="26">
        <f>AU3</f>
        <v/>
      </c>
      <c r="AV5" s="26">
        <f>AV3</f>
        <v/>
      </c>
      <c r="AW5" s="26">
        <f>AW3</f>
        <v/>
      </c>
      <c r="AX5" s="26">
        <f>AX3</f>
        <v/>
      </c>
      <c r="AY5" s="26">
        <f>AY3</f>
        <v/>
      </c>
      <c r="AZ5" s="26">
        <f>AZ3</f>
        <v/>
      </c>
      <c r="BA5" s="26">
        <f>BA3</f>
        <v/>
      </c>
      <c r="BB5" s="26">
        <f>BB3</f>
        <v/>
      </c>
      <c r="BC5" s="26">
        <f>BC3</f>
        <v/>
      </c>
      <c r="BD5" s="26">
        <f>BD3</f>
        <v/>
      </c>
      <c r="BE5" s="26">
        <f>BE3</f>
        <v/>
      </c>
      <c r="BF5" s="26">
        <f>BF3</f>
        <v/>
      </c>
      <c r="BG5" s="26">
        <f>BG3</f>
        <v/>
      </c>
      <c r="BH5" s="26">
        <f>BH3</f>
        <v/>
      </c>
      <c r="BI5" s="26">
        <f>BI3</f>
        <v/>
      </c>
      <c r="BJ5" s="26">
        <f>BJ3</f>
        <v/>
      </c>
      <c r="BK5" s="26">
        <f>BK3</f>
        <v/>
      </c>
      <c r="BL5" s="26">
        <f>BL3</f>
        <v/>
      </c>
      <c r="BM5" s="26">
        <f>BM3</f>
        <v/>
      </c>
      <c r="BN5" s="26">
        <f>BN3</f>
        <v/>
      </c>
      <c r="BO5" s="26">
        <f>BO3</f>
        <v/>
      </c>
      <c r="BP5" s="26">
        <f>BP3</f>
        <v/>
      </c>
      <c r="BQ5" s="26">
        <f>BQ3</f>
        <v/>
      </c>
      <c r="BR5" s="26">
        <f>BR3</f>
        <v/>
      </c>
      <c r="BS5" s="26">
        <f>BS3&amp;"E"</f>
        <v/>
      </c>
      <c r="BT5" s="26">
        <f>BT3&amp;"E"</f>
        <v/>
      </c>
      <c r="BU5" s="26">
        <f>BU3&amp;"E"</f>
        <v/>
      </c>
      <c r="BV5" s="26">
        <f>BV3&amp;"E"</f>
        <v/>
      </c>
      <c r="BW5" s="26">
        <f>BW3&amp;"E"</f>
        <v/>
      </c>
      <c r="BX5" s="26">
        <f>BX3&amp;"E"</f>
        <v/>
      </c>
      <c r="BY5" s="26">
        <f>BY3&amp;"E"</f>
        <v/>
      </c>
      <c r="BZ5" s="26">
        <f>BZ3&amp;"E"</f>
        <v/>
      </c>
      <c r="CA5" s="26">
        <f>CA3&amp;"E"</f>
        <v/>
      </c>
      <c r="CB5" s="26">
        <f>CB3&amp;"E"</f>
        <v/>
      </c>
      <c r="CC5" s="26">
        <f>CC3&amp;"E"</f>
        <v/>
      </c>
      <c r="CD5" s="26">
        <f>CD3&amp;"E"</f>
        <v/>
      </c>
      <c r="CE5" s="26">
        <f>CE3&amp;"E"</f>
        <v/>
      </c>
      <c r="CF5" s="26">
        <f>CF3&amp;"E"</f>
        <v/>
      </c>
      <c r="CG5" s="26">
        <f>CG3&amp;"E"</f>
        <v/>
      </c>
      <c r="CH5" s="26">
        <f>CH3&amp;"E"</f>
        <v/>
      </c>
      <c r="CI5" s="26">
        <f>CI3&amp;"E"</f>
        <v/>
      </c>
      <c r="CJ5" s="26">
        <f>CJ3&amp;"E"</f>
        <v/>
      </c>
      <c r="CK5" s="26">
        <f>CK3&amp;"E"</f>
        <v/>
      </c>
      <c r="CL5" s="22" t="n"/>
      <c r="CM5" s="26" t="n"/>
      <c r="CN5" s="26" t="n"/>
      <c r="CO5" s="26" t="n"/>
      <c r="CP5" s="26" t="n"/>
      <c r="CQ5" s="26" t="n"/>
      <c r="CR5" s="26" t="n"/>
      <c r="CS5" s="26" t="n"/>
      <c r="CT5" s="26" t="n"/>
      <c r="CU5" s="26" t="n"/>
      <c r="CV5" s="26" t="n"/>
      <c r="CW5" s="26" t="n"/>
      <c r="CX5" s="26" t="n"/>
      <c r="CY5" s="26" t="n"/>
      <c r="DA5" s="22">
        <f>DA1</f>
        <v/>
      </c>
      <c r="DB5" s="22">
        <f>DB1</f>
        <v/>
      </c>
      <c r="DC5" s="22">
        <f>DC1</f>
        <v/>
      </c>
      <c r="DD5" s="22">
        <f>DD1</f>
        <v/>
      </c>
      <c r="DE5" s="22">
        <f>DE1</f>
        <v/>
      </c>
      <c r="DF5" s="22">
        <f>DF1</f>
        <v/>
      </c>
      <c r="DG5" s="22">
        <f>DG1</f>
        <v/>
      </c>
      <c r="DH5" s="22">
        <f>DH1</f>
        <v/>
      </c>
      <c r="DI5" s="22">
        <f>DI1</f>
        <v/>
      </c>
      <c r="DJ5" s="22">
        <f>DJ1</f>
        <v/>
      </c>
      <c r="DK5" s="22">
        <f>DK1</f>
        <v/>
      </c>
      <c r="DL5" s="22">
        <f>DL1</f>
        <v/>
      </c>
      <c r="DM5" s="22">
        <f>DM1</f>
        <v/>
      </c>
      <c r="DN5" s="22">
        <f>DN1</f>
        <v/>
      </c>
      <c r="DO5" s="22">
        <f>DO1</f>
        <v/>
      </c>
      <c r="DP5" s="22">
        <f>DP1</f>
        <v/>
      </c>
      <c r="DQ5" s="22">
        <f>DQ1</f>
        <v/>
      </c>
      <c r="DR5" s="22">
        <f>DR1</f>
        <v/>
      </c>
      <c r="DS5" s="22">
        <f>DS1</f>
        <v/>
      </c>
    </row>
    <row r="6">
      <c r="B6" s="36" t="n"/>
      <c r="D6" s="36" t="n"/>
      <c r="E6" s="36" t="n"/>
      <c r="F6" s="36" t="n"/>
      <c r="G6" s="36" t="n"/>
      <c r="H6" s="36" t="n"/>
      <c r="I6" s="36" t="n"/>
      <c r="J6" s="36" t="n"/>
      <c r="K6" s="36" t="n"/>
      <c r="L6" s="36" t="n"/>
      <c r="M6" s="36" t="n"/>
      <c r="N6" s="36" t="n"/>
      <c r="O6" s="36" t="n"/>
      <c r="P6" s="36" t="n"/>
      <c r="Q6" s="36" t="n"/>
      <c r="R6" s="36" t="n"/>
      <c r="S6" s="36" t="n"/>
      <c r="T6" s="36" t="n"/>
      <c r="U6" s="36" t="n"/>
      <c r="V6" s="36" t="n"/>
      <c r="W6" s="36" t="n"/>
      <c r="X6" s="36" t="n"/>
      <c r="Y6" s="36" t="n"/>
      <c r="Z6" s="36" t="n"/>
      <c r="AA6" s="36" t="n"/>
      <c r="AB6" s="36" t="n"/>
      <c r="AC6" s="36" t="n"/>
    </row>
    <row r="7" ht="16" customHeight="1">
      <c r="A7" s="27" t="inlineStr">
        <is>
          <t>Model Drivers</t>
        </is>
      </c>
      <c r="B7" s="28" t="n"/>
      <c r="C7" s="37"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c r="DA7" s="39" t="n"/>
      <c r="DB7" s="39" t="n"/>
      <c r="DC7" s="39" t="n"/>
      <c r="DD7" s="39" t="n"/>
      <c r="DE7" s="39" t="n"/>
      <c r="DF7" s="39" t="n"/>
      <c r="DG7" s="39" t="n"/>
      <c r="DH7" s="39" t="n"/>
      <c r="DI7" s="39" t="n"/>
      <c r="DJ7" s="39" t="n"/>
      <c r="DK7" s="39" t="n"/>
      <c r="DL7" s="39" t="n"/>
      <c r="DM7" s="39" t="n"/>
      <c r="DN7" s="39" t="n"/>
      <c r="DO7" s="39" t="n"/>
      <c r="DP7" s="39" t="n"/>
      <c r="DQ7" s="39" t="n"/>
      <c r="DR7" s="39" t="n"/>
      <c r="DS7" s="39" t="n"/>
    </row>
    <row r="8"/>
    <row r="9" ht="16" customHeight="1">
      <c r="A9" s="409" t="inlineStr">
        <is>
          <t>Income statement assumptions</t>
        </is>
      </c>
    </row>
    <row r="10">
      <c r="BA10" s="110" t="n"/>
    </row>
    <row r="11">
      <c r="A11" s="81" t="inlineStr">
        <is>
          <t>Revenue (in '000 USD)</t>
        </is>
      </c>
    </row>
    <row r="12">
      <c r="A12" s="169" t="n"/>
      <c r="AW12" s="517" t="n"/>
      <c r="BA12" s="517" t="n"/>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c r="DS12" s="406" t="n"/>
    </row>
    <row r="13">
      <c r="A13" s="22">
        <f>Reported!A29</f>
        <v/>
      </c>
      <c r="Z13" s="516" t="n"/>
      <c r="AA13" s="516" t="n"/>
      <c r="AB13" s="516" t="n"/>
      <c r="AC13" s="516" t="n"/>
      <c r="AD13" s="516" t="n"/>
      <c r="AE13" s="516" t="n"/>
      <c r="AF13" s="516" t="n"/>
      <c r="AG13" s="516" t="n"/>
      <c r="CZ13" s="26" t="n"/>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c r="DS13" s="406" t="n"/>
    </row>
    <row r="14">
      <c r="A14" s="74">
        <f>Reported!A30</f>
        <v/>
      </c>
      <c r="B14" s="140" t="n"/>
      <c r="C14" s="140" t="n"/>
      <c r="D14" s="140" t="n"/>
      <c r="E14" s="140" t="n"/>
      <c r="F14" s="140" t="n"/>
      <c r="G14" s="140" t="n"/>
      <c r="H14" s="140" t="n"/>
      <c r="I14" s="140" t="n"/>
      <c r="J14" s="140" t="n"/>
      <c r="K14" s="140" t="n"/>
      <c r="L14" s="140" t="n"/>
      <c r="M14" s="140" t="n"/>
      <c r="N14" s="515">
        <f>IF(ISBLANK(Reported!N30),"",IF(N$2=1,Reported!N30,Reported!N30-Reported!M30))</f>
        <v/>
      </c>
      <c r="O14" s="515">
        <f>IF(ISBLANK(Reported!O30),"",IF(O$2=1,Reported!O30,Reported!O30-Reported!N30))</f>
        <v/>
      </c>
      <c r="P14" s="515">
        <f>IF(ISBLANK(Reported!P30),"",IF(P$2=1,Reported!P30,Reported!P30-Reported!O30))</f>
        <v/>
      </c>
      <c r="Q14" s="515">
        <f>IF(ISBLANK(Reported!Q30),"",IF(Q$2=1,Reported!Q30,Reported!Q30-Reported!P30))</f>
        <v/>
      </c>
      <c r="R14" s="515">
        <f>IF(ISBLANK(Reported!R30),"",IF(R$2=1,Reported!R30,Reported!R30-Reported!Q30))</f>
        <v/>
      </c>
      <c r="S14" s="515">
        <f>IF(ISBLANK(Reported!S30),"",IF(S$2=1,Reported!S30,Reported!S30-Reported!R30))</f>
        <v/>
      </c>
      <c r="T14" s="515">
        <f>IF(ISBLANK(Reported!T30),"",IF(T$2=1,Reported!T30,Reported!T30-Reported!S30))</f>
        <v/>
      </c>
      <c r="U14" s="515">
        <f>IF(ISBLANK(Reported!U30),"",IF(U$2=1,Reported!U30,Reported!U30-Reported!T30))</f>
        <v/>
      </c>
      <c r="V14" s="515">
        <f>IF(ISBLANK(Reported!V30),"",IF(V$2=1,Reported!V30,Reported!V30-Reported!U30))</f>
        <v/>
      </c>
      <c r="W14" s="515">
        <f>IF(ISBLANK(Reported!W30),"",IF(W$2=1,Reported!W30,Reported!W30-Reported!V30))</f>
        <v/>
      </c>
      <c r="X14" s="515">
        <f>IF(ISBLANK(Reported!X30),"",IF(X$2=1,Reported!X30,Reported!X30-Reported!W30))</f>
        <v/>
      </c>
      <c r="Y14" s="515">
        <f>IF(ISBLANK(Reported!Y30),"",IF(Y$2=1,Reported!Y30,Reported!Y30-Reported!X30))</f>
        <v/>
      </c>
      <c r="Z14" s="516">
        <f>IF(ISBLANK(Reported!Z30),"",IF(Z$2=1,Reported!Z30,Reported!Z30-Reported!Y30))</f>
        <v/>
      </c>
      <c r="AA14" s="516">
        <f>IF(ISBLANK(Reported!AA30),"",IF(AA$2=1,Reported!AA30,Reported!AA30-Reported!Z30))</f>
        <v/>
      </c>
      <c r="AB14" s="516">
        <f>IF(ISBLANK(Reported!AB30),"",IF(AB$2=1,Reported!AB30,Reported!AB30-Reported!AA30))</f>
        <v/>
      </c>
      <c r="AC14" s="516">
        <f>IF(ISBLANK(Reported!AC30),"",IF(AC$2=1,Reported!AC30,Reported!AC30-Reported!AB30))</f>
        <v/>
      </c>
      <c r="AD14" s="516">
        <f>IF(ISBLANK(Reported!AD30),"",IF(AD$2=1,Reported!AD30,Reported!AD30-Reported!AC30))</f>
        <v/>
      </c>
      <c r="AE14" s="516">
        <f>IF(ISBLANK(Reported!AE30),"",IF(AE$2=1,Reported!AE30,Reported!AE30-Reported!AD30))</f>
        <v/>
      </c>
      <c r="AF14" s="516">
        <f>IF(ISBLANK(Reported!AF30),"",IF(AF$2=1,Reported!AF30,Reported!AF30-Reported!AE30))</f>
        <v/>
      </c>
      <c r="AG14" s="516">
        <f>IF(ISBLANK(Reported!AG30),"",IF(AG$2=1,Reported!AG30,Reported!AG30-Reported!AF30))</f>
        <v/>
      </c>
      <c r="AH14" s="516">
        <f>IF(ISBLANK(Reported!AH30),"",IF(AH$2=1,Reported!AH30,Reported!AH30-Reported!AG30))</f>
        <v/>
      </c>
      <c r="AI14" s="516">
        <f>IF(ISBLANK(Reported!AI30),"",IF(AI$2=1,Reported!AI30,Reported!AI30-Reported!AH30))</f>
        <v/>
      </c>
      <c r="AJ14" s="516">
        <f>IF(ISBLANK(Reported!AJ30),"",IF(AJ$2=1,Reported!AJ30,Reported!AJ30-Reported!AI30))</f>
        <v/>
      </c>
      <c r="AK14" s="516">
        <f>IF(ISBLANK(Reported!AK30),"",IF(AK$2=1,Reported!AK30,Reported!AK30-Reported!AJ30))</f>
        <v/>
      </c>
      <c r="AL14" s="516">
        <f>IF(ISBLANK(Reported!AL30),"",IF(AL$2=1,Reported!AL30,Reported!AL30-Reported!AK30))</f>
        <v/>
      </c>
      <c r="AM14" s="516">
        <f>IF(ISBLANK(Reported!AM30),"",IF(AM$2=1,Reported!AM30,Reported!AM30-Reported!AL30))</f>
        <v/>
      </c>
      <c r="AN14" s="516">
        <f>IF(ISBLANK(Reported!AN30),"",IF(AN$2=1,Reported!AN30,Reported!AN30-Reported!AM30))</f>
        <v/>
      </c>
      <c r="AO14" s="516">
        <f>IF(ISBLANK(Reported!AO30),"",IF(AO$2=1,Reported!AO30,Reported!AO30-Reported!AN30))</f>
        <v/>
      </c>
      <c r="AP14" s="516">
        <f>IF(ISBLANK(Reported!AP30),"",IF(AP$2=1,Reported!AP30,Reported!AP30-Reported!AO30))</f>
        <v/>
      </c>
      <c r="AQ14" s="516">
        <f>IF(ISBLANK(Reported!AQ30),"",IF(AQ$2=1,Reported!AQ30,Reported!AQ30-Reported!AP30))</f>
        <v/>
      </c>
      <c r="AR14" s="516">
        <f>IF(ISBLANK(Reported!AR30),"",IF(AR$2=1,Reported!AR30,Reported!AR30-Reported!AQ30))</f>
        <v/>
      </c>
      <c r="AS14" s="516">
        <f>IF(ISBLANK(Reported!AS30),"",IF(AS$2=1,Reported!AS30,Reported!AS30-Reported!AR30))</f>
        <v/>
      </c>
      <c r="AT14" s="516">
        <f>IF(ISBLANK(Reported!AT30),"",IF(AT$2=1,Reported!AT30,Reported!AT30-Reported!AS30))</f>
        <v/>
      </c>
      <c r="AU14" s="516">
        <f>IF(ISBLANK(Reported!AU30),"",IF(AU$2=1,Reported!AU30,Reported!AU30-Reported!AT30))</f>
        <v/>
      </c>
      <c r="AV14" s="516">
        <f>IF(ISBLANK(Reported!AV30),"",IF(AV$2=1,Reported!AV30,Reported!AV30-Reported!AU30))</f>
        <v/>
      </c>
      <c r="AW14" s="516">
        <f>IF(ISBLANK(Reported!AW30),"",IF(AW$2=1,Reported!AW30,Reported!AW30-Reported!AV30))</f>
        <v/>
      </c>
      <c r="AX14" s="516">
        <f>IF(ISBLANK(Reported!AX30),"",IF(AX$2=1,Reported!AX30,Reported!AX30-Reported!AW30))</f>
        <v/>
      </c>
      <c r="AY14" s="516">
        <f>IF(ISBLANK(Reported!AY30),"",IF(AY$2=1,Reported!AY30,Reported!AY30-Reported!AX30))</f>
        <v/>
      </c>
      <c r="AZ14" s="516">
        <f>IF(ISBLANK(Reported!AZ30),"",IF(AZ$2=1,Reported!AZ30,Reported!AZ30-Reported!AY30))</f>
        <v/>
      </c>
      <c r="BA14" s="516">
        <f>IF(ISBLANK(Reported!BA30),"",IF(BA$2=1,Reported!BA30,Reported!BA30-Reported!AZ30))</f>
        <v/>
      </c>
      <c r="BB14" s="516">
        <f>IF(ISBLANK(Reported!BB30),"",IF(BB$2=1,Reported!BB30,Reported!BB30-Reported!BA30))</f>
        <v/>
      </c>
      <c r="BC14" s="516">
        <f>IF(ISBLANK(Reported!BC30),"",IF(BC$2=1,Reported!BC30,Reported!BC30-Reported!BB30))</f>
        <v/>
      </c>
      <c r="BD14" s="516">
        <f>IF(ISBLANK(Reported!BD30),"",IF(BD$2=1,Reported!BD30,Reported!BD30-Reported!BC30))</f>
        <v/>
      </c>
      <c r="BE14" s="516">
        <f>IF(ISBLANK(Reported!BE30),"",IF(BE$2=1,Reported!BE30,Reported!BE30-Reported!BD30))</f>
        <v/>
      </c>
      <c r="BF14" s="516">
        <f>IF(ISBLANK(Reported!BF30),"",IF(BF$2=1,Reported!BF30,Reported!BF30-Reported!BE30))</f>
        <v/>
      </c>
      <c r="BG14" s="516">
        <f>IF(ISBLANK(Reported!BG30),"",IF(BG$2=1,Reported!BG30,Reported!BG30-Reported!BF30))</f>
        <v/>
      </c>
      <c r="BH14" s="516">
        <f>IF(ISBLANK(Reported!BH30),"",IF(BH$2=1,Reported!BH30,Reported!BH30-Reported!BG30))</f>
        <v/>
      </c>
      <c r="BI14" s="516">
        <f>IF(ISBLANK(Reported!BI30),"",IF(BI$2=1,Reported!BI30,Reported!BI30-Reported!BH30))</f>
        <v/>
      </c>
      <c r="BJ14" s="516">
        <f>IF(ISBLANK(Reported!BJ30),"",IF(BJ$2=1,Reported!BJ30,Reported!BJ30-Reported!BI30))</f>
        <v/>
      </c>
      <c r="BK14" s="516">
        <f>IF(ISBLANK(Reported!BK30),"",IF(BK$2=1,Reported!BK30,Reported!BK30-Reported!BJ30))</f>
        <v/>
      </c>
      <c r="BL14" s="516">
        <f>IF(ISBLANK(Reported!BL30),"",IF(BL$2=1,Reported!BL30,Reported!BL30-Reported!BK30))</f>
        <v/>
      </c>
      <c r="BM14" s="516">
        <f>IF(ISBLANK(Reported!BM30),"",IF(BM$2=1,Reported!BM30,Reported!BM30-Reported!BL30))</f>
        <v/>
      </c>
      <c r="BN14" s="516">
        <f>IF(ISBLANK(Reported!BN30),"",IF(BN$2=1,Reported!BN30,Reported!BN30-Reported!BM30))</f>
        <v/>
      </c>
      <c r="BO14" s="516">
        <f>IF(ISBLANK(Reported!BO30),"",IF(BO$2=1,Reported!BO30,Reported!BO30-Reported!BN30))</f>
        <v/>
      </c>
      <c r="BP14" s="516">
        <f>IF(ISBLANK(Reported!BP30),"",IF(BP$2=1,Reported!BP30,Reported!BP30-Reported!BO30))</f>
        <v/>
      </c>
      <c r="BQ14" s="516">
        <f>IF(ISBLANK(Reported!BQ30),"",IF(BQ$2=1,Reported!BQ30,Reported!BQ30-Reported!BP30))</f>
        <v/>
      </c>
      <c r="BR14" s="516">
        <f>IF(ISBLANK(Reported!BR30),"",IF(BR$2=1,Reported!BR30,Reported!BR30-Reported!BQ30))</f>
        <v/>
      </c>
      <c r="BS14" s="517">
        <f>BO14*(1+BS23)</f>
        <v/>
      </c>
      <c r="BT14" s="517">
        <f>BP14*(1+BT23)</f>
        <v/>
      </c>
      <c r="BU14" s="517">
        <f>BQ14*(1+BU23)</f>
        <v/>
      </c>
      <c r="BV14" s="517">
        <f>BR14*(1+BV23)</f>
        <v/>
      </c>
      <c r="BW14" s="517">
        <f>BS14*(1+BW23)</f>
        <v/>
      </c>
      <c r="BX14" s="517">
        <f>BT14*(1+BX23)</f>
        <v/>
      </c>
      <c r="BY14" s="517">
        <f>BU14*(1+BY23)</f>
        <v/>
      </c>
      <c r="BZ14" s="517">
        <f>BV14*(1+BZ23)</f>
        <v/>
      </c>
      <c r="CA14" s="517">
        <f>BW14*(1+CA23)</f>
        <v/>
      </c>
      <c r="CB14" s="517">
        <f>BX14*(1+CB23)</f>
        <v/>
      </c>
      <c r="CC14" s="517">
        <f>BY14*(1+CC23)</f>
        <v/>
      </c>
      <c r="CD14" s="517">
        <f>BZ14*(1+CD23)</f>
        <v/>
      </c>
      <c r="CE14" s="517">
        <f>CA14*(1+CE23)</f>
        <v/>
      </c>
      <c r="CF14" s="517">
        <f>CB14*(1+CF23)</f>
        <v/>
      </c>
      <c r="CG14" s="517">
        <f>CC14*(1+CG23)</f>
        <v/>
      </c>
      <c r="CH14" s="517">
        <f>CD14*(1+CH23)</f>
        <v/>
      </c>
      <c r="CI14" s="517">
        <f>CE14*(1+CI23)</f>
        <v/>
      </c>
      <c r="CJ14" s="517">
        <f>CF14*(1+CJ23)</f>
        <v/>
      </c>
      <c r="CK14" s="517">
        <f>CG14*(1+CK23)</f>
        <v/>
      </c>
      <c r="CZ14" s="440" t="n"/>
      <c r="DA14" s="517">
        <f>SUMIF($N$1:$CG$1,DA$1,$N14:$CG14)</f>
        <v/>
      </c>
      <c r="DB14" s="517">
        <f>SUMIF($N$1:$CG$1,DB$1,$N14:$CG14)</f>
        <v/>
      </c>
      <c r="DC14" s="517">
        <f>SUMIF($N$1:$CG$1,DC$1,$N14:$CG14)</f>
        <v/>
      </c>
      <c r="DD14" s="517">
        <f>SUMIF($N$1:$CG$1,DD$1,$N14:$CG14)</f>
        <v/>
      </c>
      <c r="DE14" s="517">
        <f>SUMIF($N$1:$CG$1,DE$1,$N14:$CG14)</f>
        <v/>
      </c>
      <c r="DF14" s="517">
        <f>SUMIF($N$1:$CG$1,DF$1,$N14:$CG14)</f>
        <v/>
      </c>
      <c r="DG14" s="517">
        <f>SUMIF($N$1:$CG$1,DG$1,$N14:$CG14)</f>
        <v/>
      </c>
      <c r="DH14" s="517">
        <f>SUMIF($N$1:$CG$1,DH$1,$N14:$CG14)</f>
        <v/>
      </c>
      <c r="DI14" s="517">
        <f>SUMIF($N$1:$CG$1,DI$1,$N14:$CG14)</f>
        <v/>
      </c>
      <c r="DJ14" s="517">
        <f>SUMIF($N$1:$CG$1,DJ$1,$N14:$CG14)</f>
        <v/>
      </c>
      <c r="DK14" s="517">
        <f>SUMIF($N$1:$CG$1,DK$1,$N14:$CG14)</f>
        <v/>
      </c>
      <c r="DL14" s="517">
        <f>SUMIF($N$1:$CG$1,DL$1,$N14:$CG14)</f>
        <v/>
      </c>
      <c r="DM14" s="517">
        <f>SUMIF($N$1:$CG$1,DM$1,$N14:$CG14)</f>
        <v/>
      </c>
      <c r="DN14" s="517">
        <f>SUMIF($N$1:$CG$1,DN$1,$N14:$CG14)</f>
        <v/>
      </c>
      <c r="DO14" s="517">
        <f>SUMIF($N$1:$CG$1,DO$1,$N14:$CG14)</f>
        <v/>
      </c>
      <c r="DP14" s="517">
        <f>SUMIF($N$1:$CG$1,DP$1,$N14:$CG14)</f>
        <v/>
      </c>
      <c r="DQ14" s="517">
        <f>SUMIF($N$1:$CG$1,DQ$1,$N14:$CG14)</f>
        <v/>
      </c>
      <c r="DR14" s="517">
        <f>SUMIF($N$1:$CG$1,DR$1,$N14:$CG14)</f>
        <v/>
      </c>
      <c r="DS14" s="517">
        <f>SUMIF($N$1:$CK$1,DS$1,$N14:$CK14)</f>
        <v/>
      </c>
    </row>
    <row r="15">
      <c r="A15" s="74">
        <f>Reported!A31</f>
        <v/>
      </c>
      <c r="B15" s="140" t="n"/>
      <c r="C15" s="140" t="n"/>
      <c r="D15" s="140" t="n"/>
      <c r="E15" s="140" t="n"/>
      <c r="F15" s="140" t="n"/>
      <c r="G15" s="140" t="n"/>
      <c r="H15" s="140" t="n"/>
      <c r="I15" s="140" t="n"/>
      <c r="J15" s="140" t="n"/>
      <c r="K15" s="140" t="n"/>
      <c r="L15" s="140" t="n"/>
      <c r="M15" s="140" t="n"/>
      <c r="N15" s="515">
        <f>IF(ISBLANK(Reported!N31),"",IF(N$2=1,Reported!N31,Reported!N31-Reported!M31))</f>
        <v/>
      </c>
      <c r="O15" s="515">
        <f>IF(ISBLANK(Reported!O31),"",IF(O$2=1,Reported!O31,Reported!O31-Reported!N31))</f>
        <v/>
      </c>
      <c r="P15" s="515">
        <f>IF(ISBLANK(Reported!P31),"",IF(P$2=1,Reported!P31,Reported!P31-Reported!O31))</f>
        <v/>
      </c>
      <c r="Q15" s="515">
        <f>IF(ISBLANK(Reported!Q31),"",IF(Q$2=1,Reported!Q31,Reported!Q31-Reported!P31))</f>
        <v/>
      </c>
      <c r="R15" s="515">
        <f>IF(ISBLANK(Reported!R31),"",IF(R$2=1,Reported!R31,Reported!R31-Reported!Q31))</f>
        <v/>
      </c>
      <c r="S15" s="515">
        <f>IF(ISBLANK(Reported!S31),"",IF(S$2=1,Reported!S31,Reported!S31-Reported!R31))</f>
        <v/>
      </c>
      <c r="T15" s="515">
        <f>IF(ISBLANK(Reported!T31),"",IF(T$2=1,Reported!T31,Reported!T31-Reported!S31))</f>
        <v/>
      </c>
      <c r="U15" s="515">
        <f>IF(ISBLANK(Reported!U31),"",IF(U$2=1,Reported!U31,Reported!U31-Reported!T31))</f>
        <v/>
      </c>
      <c r="V15" s="515">
        <f>IF(ISBLANK(Reported!V31),"",IF(V$2=1,Reported!V31,Reported!V31-Reported!U31))</f>
        <v/>
      </c>
      <c r="W15" s="515">
        <f>IF(ISBLANK(Reported!W31),"",IF(W$2=1,Reported!W31,Reported!W31-Reported!V31))</f>
        <v/>
      </c>
      <c r="X15" s="515">
        <f>IF(ISBLANK(Reported!X31),"",IF(X$2=1,Reported!X31,Reported!X31-Reported!W31))</f>
        <v/>
      </c>
      <c r="Y15" s="515">
        <f>IF(ISBLANK(Reported!Y31),"",IF(Y$2=1,Reported!Y31,Reported!Y31-Reported!X31))</f>
        <v/>
      </c>
      <c r="Z15" s="516">
        <f>IF(ISBLANK(Reported!Z31),"",IF(Z$2=1,Reported!Z31,Reported!Z31-Reported!Y31))</f>
        <v/>
      </c>
      <c r="AA15" s="516">
        <f>IF(ISBLANK(Reported!AA31),"",IF(AA$2=1,Reported!AA31,Reported!AA31-Reported!Z31))</f>
        <v/>
      </c>
      <c r="AB15" s="516">
        <f>IF(ISBLANK(Reported!AB31),"",IF(AB$2=1,Reported!AB31,Reported!AB31-Reported!AA31))</f>
        <v/>
      </c>
      <c r="AC15" s="516">
        <f>IF(ISBLANK(Reported!AC31),"",IF(AC$2=1,Reported!AC31,Reported!AC31-Reported!AB31))</f>
        <v/>
      </c>
      <c r="AD15" s="516">
        <f>IF(ISBLANK(Reported!AD31),"",IF(AD$2=1,Reported!AD31,Reported!AD31-Reported!AC31))</f>
        <v/>
      </c>
      <c r="AE15" s="516">
        <f>IF(ISBLANK(Reported!AE31),"",IF(AE$2=1,Reported!AE31,Reported!AE31-Reported!AD31))</f>
        <v/>
      </c>
      <c r="AF15" s="516">
        <f>IF(ISBLANK(Reported!AF31),"",IF(AF$2=1,Reported!AF31,Reported!AF31-Reported!AE31))</f>
        <v/>
      </c>
      <c r="AG15" s="516">
        <f>IF(ISBLANK(Reported!AG31),"",IF(AG$2=1,Reported!AG31,Reported!AG31-Reported!AF31))</f>
        <v/>
      </c>
      <c r="AH15" s="516">
        <f>IF(ISBLANK(Reported!AH31),"",IF(AH$2=1,Reported!AH31,Reported!AH31-Reported!AG31))</f>
        <v/>
      </c>
      <c r="AI15" s="516">
        <f>IF(ISBLANK(Reported!AI31),"",IF(AI$2=1,Reported!AI31,Reported!AI31-Reported!AH31))</f>
        <v/>
      </c>
      <c r="AJ15" s="516">
        <f>IF(ISBLANK(Reported!AJ31),"",IF(AJ$2=1,Reported!AJ31,Reported!AJ31-Reported!AI31))</f>
        <v/>
      </c>
      <c r="AK15" s="516">
        <f>IF(ISBLANK(Reported!AK31),"",IF(AK$2=1,Reported!AK31,Reported!AK31-Reported!AJ31))</f>
        <v/>
      </c>
      <c r="AL15" s="516">
        <f>IF(ISBLANK(Reported!AL31),"",IF(AL$2=1,Reported!AL31,Reported!AL31-Reported!AK31))</f>
        <v/>
      </c>
      <c r="AM15" s="516">
        <f>IF(ISBLANK(Reported!AM31),"",IF(AM$2=1,Reported!AM31,Reported!AM31-Reported!AL31))</f>
        <v/>
      </c>
      <c r="AN15" s="516">
        <f>IF(ISBLANK(Reported!AN31),"",IF(AN$2=1,Reported!AN31,Reported!AN31-Reported!AM31))</f>
        <v/>
      </c>
      <c r="AO15" s="516">
        <f>IF(ISBLANK(Reported!AO31),"",IF(AO$2=1,Reported!AO31,Reported!AO31-Reported!AN31))</f>
        <v/>
      </c>
      <c r="AP15" s="516">
        <f>IF(ISBLANK(Reported!AP31),"",IF(AP$2=1,Reported!AP31,Reported!AP31-Reported!AO31))</f>
        <v/>
      </c>
      <c r="AQ15" s="516">
        <f>IF(ISBLANK(Reported!AQ31),"",IF(AQ$2=1,Reported!AQ31,Reported!AQ31-Reported!AP31))</f>
        <v/>
      </c>
      <c r="AR15" s="516">
        <f>IF(ISBLANK(Reported!AR31),"",IF(AR$2=1,Reported!AR31,Reported!AR31-Reported!AQ31))</f>
        <v/>
      </c>
      <c r="AS15" s="516">
        <f>IF(ISBLANK(Reported!AS31),"",IF(AS$2=1,Reported!AS31,Reported!AS31-Reported!AR31))</f>
        <v/>
      </c>
      <c r="AT15" s="516">
        <f>IF(ISBLANK(Reported!AT31),"",IF(AT$2=1,Reported!AT31,Reported!AT31-Reported!AS31))</f>
        <v/>
      </c>
      <c r="AU15" s="516">
        <f>IF(ISBLANK(Reported!AU31),"",IF(AU$2=1,Reported!AU31,Reported!AU31-Reported!AT31))</f>
        <v/>
      </c>
      <c r="AV15" s="516">
        <f>IF(ISBLANK(Reported!AV31),"",IF(AV$2=1,Reported!AV31,Reported!AV31-Reported!AU31))</f>
        <v/>
      </c>
      <c r="AW15" s="516">
        <f>IF(ISBLANK(Reported!AW31),"",IF(AW$2=1,Reported!AW31,Reported!AW31-Reported!AV31))</f>
        <v/>
      </c>
      <c r="AX15" s="516">
        <f>IF(ISBLANK(Reported!AX31),"",IF(AX$2=1,Reported!AX31,Reported!AX31-Reported!AW31))</f>
        <v/>
      </c>
      <c r="AY15" s="516">
        <f>IF(ISBLANK(Reported!AY31),"",IF(AY$2=1,Reported!AY31,Reported!AY31-Reported!AX31))</f>
        <v/>
      </c>
      <c r="AZ15" s="516">
        <f>IF(ISBLANK(Reported!AZ31),"",IF(AZ$2=1,Reported!AZ31,Reported!AZ31-Reported!AY31))</f>
        <v/>
      </c>
      <c r="BA15" s="516">
        <f>IF(ISBLANK(Reported!BA31),"",IF(BA$2=1,Reported!BA31,Reported!BA31-Reported!AZ31))</f>
        <v/>
      </c>
      <c r="BB15" s="516">
        <f>IF(ISBLANK(Reported!BB31),"",IF(BB$2=1,Reported!BB31,Reported!BB31-Reported!BA31))</f>
        <v/>
      </c>
      <c r="BC15" s="516">
        <f>IF(ISBLANK(Reported!BC31),"",IF(BC$2=1,Reported!BC31,Reported!BC31-Reported!BB31))</f>
        <v/>
      </c>
      <c r="BD15" s="516">
        <f>IF(ISBLANK(Reported!BD31),"",IF(BD$2=1,Reported!BD31,Reported!BD31-Reported!BC31))</f>
        <v/>
      </c>
      <c r="BE15" s="516">
        <f>IF(ISBLANK(Reported!BE31),"",IF(BE$2=1,Reported!BE31,Reported!BE31-Reported!BD31))</f>
        <v/>
      </c>
      <c r="BF15" s="516">
        <f>IF(ISBLANK(Reported!BF31),"",IF(BF$2=1,Reported!BF31,Reported!BF31-Reported!BE31))</f>
        <v/>
      </c>
      <c r="BG15" s="516">
        <f>IF(ISBLANK(Reported!BG31),"",IF(BG$2=1,Reported!BG31,Reported!BG31-Reported!BF31))</f>
        <v/>
      </c>
      <c r="BH15" s="516">
        <f>IF(ISBLANK(Reported!BH31),"",IF(BH$2=1,Reported!BH31,Reported!BH31-Reported!BG31))</f>
        <v/>
      </c>
      <c r="BI15" s="516">
        <f>IF(ISBLANK(Reported!BI31),"",IF(BI$2=1,Reported!BI31,Reported!BI31-Reported!BH31))</f>
        <v/>
      </c>
      <c r="BJ15" s="516">
        <f>IF(ISBLANK(Reported!BJ31),"",IF(BJ$2=1,Reported!BJ31,Reported!BJ31-Reported!BI31))</f>
        <v/>
      </c>
      <c r="BK15" s="516">
        <f>IF(ISBLANK(Reported!BK31),"",IF(BK$2=1,Reported!BK31,Reported!BK31-Reported!BJ31))</f>
        <v/>
      </c>
      <c r="BL15" s="516">
        <f>IF(ISBLANK(Reported!BL31),"",IF(BL$2=1,Reported!BL31,Reported!BL31-Reported!BK31))</f>
        <v/>
      </c>
      <c r="BM15" s="516">
        <f>IF(ISBLANK(Reported!BM31),"",IF(BM$2=1,Reported!BM31,Reported!BM31-Reported!BL31))</f>
        <v/>
      </c>
      <c r="BN15" s="516">
        <f>IF(ISBLANK(Reported!BN31),"",IF(BN$2=1,Reported!BN31,Reported!BN31-Reported!BM31))</f>
        <v/>
      </c>
      <c r="BO15" s="516">
        <f>IF(ISBLANK(Reported!BO31),"",IF(BO$2=1,Reported!BO31,Reported!BO31-Reported!BN31))</f>
        <v/>
      </c>
      <c r="BP15" s="516">
        <f>IF(ISBLANK(Reported!BP31),"",IF(BP$2=1,Reported!BP31,Reported!BP31-Reported!BO31))</f>
        <v/>
      </c>
      <c r="BQ15" s="516">
        <f>IF(ISBLANK(Reported!BQ31),"",IF(BQ$2=1,Reported!BQ31,Reported!BQ31-Reported!BP31))</f>
        <v/>
      </c>
      <c r="BR15" s="516">
        <f>IF(ISBLANK(Reported!BR31),"",IF(BR$2=1,Reported!BR31,Reported!BR31-Reported!BQ31))</f>
        <v/>
      </c>
      <c r="BS15" s="517">
        <f>BO15*(1+BS24)</f>
        <v/>
      </c>
      <c r="BT15" s="517">
        <f>BP15*(1+BT24)</f>
        <v/>
      </c>
      <c r="BU15" s="517">
        <f>BQ15*(1+BU24)</f>
        <v/>
      </c>
      <c r="BV15" s="517">
        <f>BR15*(1+BV24)</f>
        <v/>
      </c>
      <c r="BW15" s="517">
        <f>BS15*(1+BW24)</f>
        <v/>
      </c>
      <c r="BX15" s="517">
        <f>BT15*(1+BX24)</f>
        <v/>
      </c>
      <c r="BY15" s="517">
        <f>BU15*(1+BY24)</f>
        <v/>
      </c>
      <c r="BZ15" s="517">
        <f>BV15*(1+BZ24)</f>
        <v/>
      </c>
      <c r="CA15" s="517">
        <f>BW15*(1+CA24)</f>
        <v/>
      </c>
      <c r="CB15" s="517">
        <f>BX15*(1+CB24)</f>
        <v/>
      </c>
      <c r="CC15" s="517">
        <f>BY15*(1+CC24)</f>
        <v/>
      </c>
      <c r="CD15" s="517">
        <f>BZ15*(1+CD24)</f>
        <v/>
      </c>
      <c r="CE15" s="517">
        <f>CA15*(1+CE24)</f>
        <v/>
      </c>
      <c r="CF15" s="517">
        <f>CB15*(1+CF24)</f>
        <v/>
      </c>
      <c r="CG15" s="517">
        <f>CC15*(1+CG24)</f>
        <v/>
      </c>
      <c r="CH15" s="517">
        <f>CD15*(1+CH24)</f>
        <v/>
      </c>
      <c r="CI15" s="517">
        <f>CE15*(1+CI24)</f>
        <v/>
      </c>
      <c r="CJ15" s="517">
        <f>CF15*(1+CJ24)</f>
        <v/>
      </c>
      <c r="CK15" s="517">
        <f>CG15*(1+CK24)</f>
        <v/>
      </c>
      <c r="CZ15" s="440" t="n"/>
      <c r="DA15" s="517">
        <f>SUMIF($N$1:$CG$1,DA$1,$N15:$CG15)</f>
        <v/>
      </c>
      <c r="DB15" s="517">
        <f>SUMIF($N$1:$CG$1,DB$1,$N15:$CG15)</f>
        <v/>
      </c>
      <c r="DC15" s="517">
        <f>SUMIF($N$1:$CG$1,DC$1,$N15:$CG15)</f>
        <v/>
      </c>
      <c r="DD15" s="517">
        <f>SUMIF($N$1:$CG$1,DD$1,$N15:$CG15)</f>
        <v/>
      </c>
      <c r="DE15" s="517">
        <f>SUMIF($N$1:$CG$1,DE$1,$N15:$CG15)</f>
        <v/>
      </c>
      <c r="DF15" s="517">
        <f>SUMIF($N$1:$CG$1,DF$1,$N15:$CG15)</f>
        <v/>
      </c>
      <c r="DG15" s="517">
        <f>SUMIF($N$1:$CG$1,DG$1,$N15:$CG15)</f>
        <v/>
      </c>
      <c r="DH15" s="517">
        <f>SUMIF($N$1:$CG$1,DH$1,$N15:$CG15)</f>
        <v/>
      </c>
      <c r="DI15" s="517">
        <f>SUMIF($N$1:$CG$1,DI$1,$N15:$CG15)</f>
        <v/>
      </c>
      <c r="DJ15" s="517">
        <f>SUMIF($N$1:$CG$1,DJ$1,$N15:$CG15)</f>
        <v/>
      </c>
      <c r="DK15" s="517">
        <f>SUMIF($N$1:$CG$1,DK$1,$N15:$CG15)</f>
        <v/>
      </c>
      <c r="DL15" s="517">
        <f>SUMIF($N$1:$CG$1,DL$1,$N15:$CG15)</f>
        <v/>
      </c>
      <c r="DM15" s="517">
        <f>SUMIF($N$1:$CG$1,DM$1,$N15:$CG15)</f>
        <v/>
      </c>
      <c r="DN15" s="517">
        <f>SUMIF($N$1:$CG$1,DN$1,$N15:$CG15)</f>
        <v/>
      </c>
      <c r="DO15" s="517">
        <f>SUMIF($N$1:$CG$1,DO$1,$N15:$CG15)</f>
        <v/>
      </c>
      <c r="DP15" s="517">
        <f>SUMIF($N$1:$CG$1,DP$1,$N15:$CG15)</f>
        <v/>
      </c>
      <c r="DQ15" s="517">
        <f>SUMIF($N$1:$CG$1,DQ$1,$N15:$CG15)</f>
        <v/>
      </c>
      <c r="DR15" s="517">
        <f>SUMIF($N$1:$CG$1,DR$1,$N15:$CG15)</f>
        <v/>
      </c>
      <c r="DS15" s="517">
        <f>SUMIF($N$1:$CK$1,DS$1,$N15:$CK15)</f>
        <v/>
      </c>
    </row>
    <row r="16">
      <c r="A16" s="74">
        <f>Reported!A32</f>
        <v/>
      </c>
      <c r="B16" s="140" t="n"/>
      <c r="C16" s="140" t="n"/>
      <c r="D16" s="140" t="n"/>
      <c r="E16" s="140" t="n"/>
      <c r="F16" s="140" t="n"/>
      <c r="G16" s="140" t="n"/>
      <c r="H16" s="140" t="n"/>
      <c r="I16" s="140" t="n"/>
      <c r="J16" s="140" t="n"/>
      <c r="K16" s="140" t="n"/>
      <c r="L16" s="140" t="n"/>
      <c r="M16" s="140" t="n"/>
      <c r="N16" s="515">
        <f>IF(ISBLANK(Reported!N32),"",IF(N$2=1,Reported!N32,Reported!N32-Reported!M32))</f>
        <v/>
      </c>
      <c r="O16" s="515">
        <f>IF(ISBLANK(Reported!O32),"",IF(O$2=1,Reported!O32,Reported!O32-Reported!N32))</f>
        <v/>
      </c>
      <c r="P16" s="515">
        <f>IF(ISBLANK(Reported!P32),"",IF(P$2=1,Reported!P32,Reported!P32-Reported!O32))</f>
        <v/>
      </c>
      <c r="Q16" s="515">
        <f>IF(ISBLANK(Reported!Q32),"",IF(Q$2=1,Reported!Q32,Reported!Q32-Reported!P32))</f>
        <v/>
      </c>
      <c r="R16" s="515">
        <f>IF(ISBLANK(Reported!R32),"",IF(R$2=1,Reported!R32,Reported!R32-Reported!Q32))</f>
        <v/>
      </c>
      <c r="S16" s="515">
        <f>IF(ISBLANK(Reported!S32),"",IF(S$2=1,Reported!S32,Reported!S32-Reported!R32))</f>
        <v/>
      </c>
      <c r="T16" s="515">
        <f>IF(ISBLANK(Reported!T32),"",IF(T$2=1,Reported!T32,Reported!T32-Reported!S32))</f>
        <v/>
      </c>
      <c r="U16" s="515">
        <f>IF(ISBLANK(Reported!U32),"",IF(U$2=1,Reported!U32,Reported!U32-Reported!T32))</f>
        <v/>
      </c>
      <c r="V16" s="515">
        <f>IF(ISBLANK(Reported!V32),"",IF(V$2=1,Reported!V32,Reported!V32-Reported!U32))</f>
        <v/>
      </c>
      <c r="W16" s="515">
        <f>IF(ISBLANK(Reported!W32),"",IF(W$2=1,Reported!W32,Reported!W32-Reported!V32))</f>
        <v/>
      </c>
      <c r="X16" s="515">
        <f>IF(ISBLANK(Reported!X32),"",IF(X$2=1,Reported!X32,Reported!X32-Reported!W32))</f>
        <v/>
      </c>
      <c r="Y16" s="515">
        <f>IF(ISBLANK(Reported!Y32),"",IF(Y$2=1,Reported!Y32,Reported!Y32-Reported!X32))</f>
        <v/>
      </c>
      <c r="Z16" s="516">
        <f>IF(ISBLANK(Reported!Z32),"",IF(Z$2=1,Reported!Z32,Reported!Z32-Reported!Y32))</f>
        <v/>
      </c>
      <c r="AA16" s="516">
        <f>IF(ISBLANK(Reported!AA32),"",IF(AA$2=1,Reported!AA32,Reported!AA32-Reported!Z32))</f>
        <v/>
      </c>
      <c r="AB16" s="516">
        <f>IF(ISBLANK(Reported!AB32),"",IF(AB$2=1,Reported!AB32,Reported!AB32-Reported!AA32))</f>
        <v/>
      </c>
      <c r="AC16" s="516">
        <f>IF(ISBLANK(Reported!AC32),"",IF(AC$2=1,Reported!AC32,Reported!AC32-Reported!AB32))</f>
        <v/>
      </c>
      <c r="AD16" s="516">
        <f>IF(ISBLANK(Reported!AD32),"",IF(AD$2=1,Reported!AD32,Reported!AD32-Reported!AC32))</f>
        <v/>
      </c>
      <c r="AE16" s="516">
        <f>IF(ISBLANK(Reported!AE32),"",IF(AE$2=1,Reported!AE32,Reported!AE32-Reported!AD32))</f>
        <v/>
      </c>
      <c r="AF16" s="516">
        <f>IF(ISBLANK(Reported!AF32),"",IF(AF$2=1,Reported!AF32,Reported!AF32-Reported!AE32))</f>
        <v/>
      </c>
      <c r="AG16" s="516">
        <f>IF(ISBLANK(Reported!AG32),"",IF(AG$2=1,Reported!AG32,Reported!AG32-Reported!AF32))</f>
        <v/>
      </c>
      <c r="AH16" s="516">
        <f>IF(ISBLANK(Reported!AH32),"",IF(AH$2=1,Reported!AH32,Reported!AH32-Reported!AG32))</f>
        <v/>
      </c>
      <c r="AI16" s="516">
        <f>IF(ISBLANK(Reported!AI32),"",IF(AI$2=1,Reported!AI32,Reported!AI32-Reported!AH32))</f>
        <v/>
      </c>
      <c r="AJ16" s="516">
        <f>IF(ISBLANK(Reported!AJ32),"",IF(AJ$2=1,Reported!AJ32,Reported!AJ32-Reported!AI32))</f>
        <v/>
      </c>
      <c r="AK16" s="516">
        <f>IF(ISBLANK(Reported!AK32),"",IF(AK$2=1,Reported!AK32,Reported!AK32-Reported!AJ32))</f>
        <v/>
      </c>
      <c r="AL16" s="516">
        <f>IF(ISBLANK(Reported!AL32),"",IF(AL$2=1,Reported!AL32,Reported!AL32-Reported!AK32))</f>
        <v/>
      </c>
      <c r="AM16" s="516">
        <f>IF(ISBLANK(Reported!AM32),"",IF(AM$2=1,Reported!AM32,Reported!AM32-Reported!AL32))</f>
        <v/>
      </c>
      <c r="AN16" s="516">
        <f>IF(ISBLANK(Reported!AN32),"",IF(AN$2=1,Reported!AN32,Reported!AN32-Reported!AM32))</f>
        <v/>
      </c>
      <c r="AO16" s="516">
        <f>IF(ISBLANK(Reported!AO32),"",IF(AO$2=1,Reported!AO32,Reported!AO32-Reported!AN32))</f>
        <v/>
      </c>
      <c r="AP16" s="516">
        <f>IF(ISBLANK(Reported!AP32),"",IF(AP$2=1,Reported!AP32,Reported!AP32-Reported!AO32))</f>
        <v/>
      </c>
      <c r="AQ16" s="516">
        <f>IF(ISBLANK(Reported!AQ32),"",IF(AQ$2=1,Reported!AQ32,Reported!AQ32-Reported!AP32))</f>
        <v/>
      </c>
      <c r="AR16" s="516">
        <f>IF(ISBLANK(Reported!AR32),"",IF(AR$2=1,Reported!AR32,Reported!AR32-Reported!AQ32))</f>
        <v/>
      </c>
      <c r="AS16" s="516">
        <f>IF(ISBLANK(Reported!AS32),"",IF(AS$2=1,Reported!AS32,Reported!AS32-Reported!AR32))</f>
        <v/>
      </c>
      <c r="AT16" s="516">
        <f>IF(ISBLANK(Reported!AT32),"",IF(AT$2=1,Reported!AT32,Reported!AT32-Reported!AS32))</f>
        <v/>
      </c>
      <c r="AU16" s="516">
        <f>IF(ISBLANK(Reported!AU32),"",IF(AU$2=1,Reported!AU32,Reported!AU32-Reported!AT32))</f>
        <v/>
      </c>
      <c r="AV16" s="516">
        <f>IF(ISBLANK(Reported!AV32),"",IF(AV$2=1,Reported!AV32,Reported!AV32-Reported!AU32))</f>
        <v/>
      </c>
      <c r="AW16" s="516">
        <f>IF(ISBLANK(Reported!AW32),"",IF(AW$2=1,Reported!AW32,Reported!AW32-Reported!AV32))</f>
        <v/>
      </c>
      <c r="AX16" s="516">
        <f>IF(ISBLANK(Reported!AX32),"",IF(AX$2=1,Reported!AX32,Reported!AX32-Reported!AW32))</f>
        <v/>
      </c>
      <c r="AY16" s="516">
        <f>IF(ISBLANK(Reported!AY32),"",IF(AY$2=1,Reported!AY32,Reported!AY32-Reported!AX32))</f>
        <v/>
      </c>
      <c r="AZ16" s="516">
        <f>IF(ISBLANK(Reported!AZ32),"",IF(AZ$2=1,Reported!AZ32,Reported!AZ32-Reported!AY32))</f>
        <v/>
      </c>
      <c r="BA16" s="516">
        <f>IF(ISBLANK(Reported!BA32),"",IF(BA$2=1,Reported!BA32,Reported!BA32-Reported!AZ32))</f>
        <v/>
      </c>
      <c r="BB16" s="516">
        <f>IF(ISBLANK(Reported!BB32),"",IF(BB$2=1,Reported!BB32,Reported!BB32-Reported!BA32))</f>
        <v/>
      </c>
      <c r="BC16" s="516">
        <f>IF(ISBLANK(Reported!BC32),"",IF(BC$2=1,Reported!BC32,Reported!BC32-Reported!BB32))</f>
        <v/>
      </c>
      <c r="BD16" s="516">
        <f>IF(ISBLANK(Reported!BD32),"",IF(BD$2=1,Reported!BD32,Reported!BD32-Reported!BC32))</f>
        <v/>
      </c>
      <c r="BE16" s="516">
        <f>IF(ISBLANK(Reported!BE32),"",IF(BE$2=1,Reported!BE32,Reported!BE32-Reported!BD32))</f>
        <v/>
      </c>
      <c r="BF16" s="516">
        <f>IF(ISBLANK(Reported!BF32),"",IF(BF$2=1,Reported!BF32,Reported!BF32-Reported!BE32))</f>
        <v/>
      </c>
      <c r="BG16" s="516">
        <f>IF(ISBLANK(Reported!BG32),"",IF(BG$2=1,Reported!BG32,Reported!BG32-Reported!BF32))</f>
        <v/>
      </c>
      <c r="BH16" s="516">
        <f>IF(ISBLANK(Reported!BH32),"",IF(BH$2=1,Reported!BH32,Reported!BH32-Reported!BG32))</f>
        <v/>
      </c>
      <c r="BI16" s="516">
        <f>IF(ISBLANK(Reported!BI32),"",IF(BI$2=1,Reported!BI32,Reported!BI32-Reported!BH32))</f>
        <v/>
      </c>
      <c r="BJ16" s="516">
        <f>IF(ISBLANK(Reported!BJ32),"",IF(BJ$2=1,Reported!BJ32,Reported!BJ32-Reported!BI32))</f>
        <v/>
      </c>
      <c r="BK16" s="516">
        <f>IF(ISBLANK(Reported!BK32),"",IF(BK$2=1,Reported!BK32,Reported!BK32-Reported!BJ32))</f>
        <v/>
      </c>
      <c r="BL16" s="516">
        <f>IF(ISBLANK(Reported!BL32),"",IF(BL$2=1,Reported!BL32,Reported!BL32-Reported!BK32))</f>
        <v/>
      </c>
      <c r="BM16" s="516">
        <f>IF(ISBLANK(Reported!BM32),"",IF(BM$2=1,Reported!BM32,Reported!BM32-Reported!BL32))</f>
        <v/>
      </c>
      <c r="BN16" s="516">
        <f>IF(ISBLANK(Reported!BN32),"",IF(BN$2=1,Reported!BN32,Reported!BN32-Reported!BM32))</f>
        <v/>
      </c>
      <c r="BO16" s="516">
        <f>IF(ISBLANK(Reported!BO32),"",IF(BO$2=1,Reported!BO32,Reported!BO32-Reported!BN32))</f>
        <v/>
      </c>
      <c r="BP16" s="516">
        <f>IF(ISBLANK(Reported!BP32),"",IF(BP$2=1,Reported!BP32,Reported!BP32-Reported!BO32))</f>
        <v/>
      </c>
      <c r="BQ16" s="516">
        <f>IF(ISBLANK(Reported!BQ32),"",IF(BQ$2=1,Reported!BQ32,Reported!BQ32-Reported!BP32))</f>
        <v/>
      </c>
      <c r="BR16" s="516">
        <f>IF(ISBLANK(Reported!BR32),"",IF(BR$2=1,Reported!BR32,Reported!BR32-Reported!BQ32))</f>
        <v/>
      </c>
      <c r="BS16" s="517">
        <f>BO16*(1+BS25)</f>
        <v/>
      </c>
      <c r="BT16" s="517">
        <f>BP16*(1+BT25)</f>
        <v/>
      </c>
      <c r="BU16" s="517">
        <f>BQ16*(1+BU25)</f>
        <v/>
      </c>
      <c r="BV16" s="517">
        <f>BR16*(1+BV25)</f>
        <v/>
      </c>
      <c r="BW16" s="517">
        <f>BS16*(1+BW25)</f>
        <v/>
      </c>
      <c r="BX16" s="517">
        <f>BT16*(1+BX25)</f>
        <v/>
      </c>
      <c r="BY16" s="517">
        <f>BU16*(1+BY25)</f>
        <v/>
      </c>
      <c r="BZ16" s="517">
        <f>BV16*(1+BZ25)</f>
        <v/>
      </c>
      <c r="CA16" s="517">
        <f>BW16*(1+CA25)</f>
        <v/>
      </c>
      <c r="CB16" s="517">
        <f>BX16*(1+CB25)</f>
        <v/>
      </c>
      <c r="CC16" s="517">
        <f>BY16*(1+CC25)</f>
        <v/>
      </c>
      <c r="CD16" s="517">
        <f>BZ16*(1+CD25)</f>
        <v/>
      </c>
      <c r="CE16" s="517">
        <f>CA16*(1+CE25)</f>
        <v/>
      </c>
      <c r="CF16" s="517">
        <f>CB16*(1+CF25)</f>
        <v/>
      </c>
      <c r="CG16" s="517">
        <f>CC16*(1+CG25)</f>
        <v/>
      </c>
      <c r="CH16" s="517">
        <f>CD16*(1+CH25)</f>
        <v/>
      </c>
      <c r="CI16" s="517">
        <f>CE16*(1+CI25)</f>
        <v/>
      </c>
      <c r="CJ16" s="517">
        <f>CF16*(1+CJ25)</f>
        <v/>
      </c>
      <c r="CK16" s="517">
        <f>CG16*(1+CK25)</f>
        <v/>
      </c>
      <c r="CZ16" s="440" t="n"/>
      <c r="DA16" s="517">
        <f>SUMIF($N$1:$CG$1,DA$1,$N16:$CG16)</f>
        <v/>
      </c>
      <c r="DB16" s="517">
        <f>SUMIF($N$1:$CG$1,DB$1,$N16:$CG16)</f>
        <v/>
      </c>
      <c r="DC16" s="517">
        <f>SUMIF($N$1:$CG$1,DC$1,$N16:$CG16)</f>
        <v/>
      </c>
      <c r="DD16" s="517">
        <f>SUMIF($N$1:$CG$1,DD$1,$N16:$CG16)</f>
        <v/>
      </c>
      <c r="DE16" s="517">
        <f>SUMIF($N$1:$CG$1,DE$1,$N16:$CG16)</f>
        <v/>
      </c>
      <c r="DF16" s="517">
        <f>SUMIF($N$1:$CG$1,DF$1,$N16:$CG16)</f>
        <v/>
      </c>
      <c r="DG16" s="517">
        <f>SUMIF($N$1:$CG$1,DG$1,$N16:$CG16)</f>
        <v/>
      </c>
      <c r="DH16" s="517">
        <f>SUMIF($N$1:$CG$1,DH$1,$N16:$CG16)</f>
        <v/>
      </c>
      <c r="DI16" s="517">
        <f>SUMIF($N$1:$CG$1,DI$1,$N16:$CG16)</f>
        <v/>
      </c>
      <c r="DJ16" s="517">
        <f>SUMIF($N$1:$CG$1,DJ$1,$N16:$CG16)</f>
        <v/>
      </c>
      <c r="DK16" s="517">
        <f>SUMIF($N$1:$CG$1,DK$1,$N16:$CG16)</f>
        <v/>
      </c>
      <c r="DL16" s="517">
        <f>SUMIF($N$1:$CG$1,DL$1,$N16:$CG16)</f>
        <v/>
      </c>
      <c r="DM16" s="517">
        <f>SUMIF($N$1:$CG$1,DM$1,$N16:$CG16)</f>
        <v/>
      </c>
      <c r="DN16" s="517">
        <f>SUMIF($N$1:$CG$1,DN$1,$N16:$CG16)</f>
        <v/>
      </c>
      <c r="DO16" s="517">
        <f>SUMIF($N$1:$CG$1,DO$1,$N16:$CG16)</f>
        <v/>
      </c>
      <c r="DP16" s="517">
        <f>SUMIF($N$1:$CG$1,DP$1,$N16:$CG16)</f>
        <v/>
      </c>
      <c r="DQ16" s="517">
        <f>SUMIF($N$1:$CG$1,DQ$1,$N16:$CG16)</f>
        <v/>
      </c>
      <c r="DR16" s="517">
        <f>SUMIF($N$1:$CG$1,DR$1,$N16:$CG16)</f>
        <v/>
      </c>
      <c r="DS16" s="517">
        <f>SUMIF($N$1:$CK$1,DS$1,$N16:$CK16)</f>
        <v/>
      </c>
    </row>
    <row r="17">
      <c r="A17" s="74">
        <f>Reported!A33</f>
        <v/>
      </c>
      <c r="B17" s="140" t="n"/>
      <c r="C17" s="140" t="n"/>
      <c r="D17" s="140" t="n"/>
      <c r="E17" s="140" t="n"/>
      <c r="F17" s="140" t="n"/>
      <c r="G17" s="140" t="n"/>
      <c r="H17" s="140" t="n"/>
      <c r="I17" s="140" t="n"/>
      <c r="J17" s="140" t="n"/>
      <c r="K17" s="140" t="n"/>
      <c r="L17" s="140" t="n"/>
      <c r="M17" s="140" t="n"/>
      <c r="N17" s="515">
        <f>IF(ISBLANK(Reported!N33),"",IF(N$2=1,Reported!N33,Reported!N33-Reported!M33))</f>
        <v/>
      </c>
      <c r="O17" s="515">
        <f>IF(ISBLANK(Reported!O33),"",IF(O$2=1,Reported!O33,Reported!O33-Reported!N33))</f>
        <v/>
      </c>
      <c r="P17" s="515">
        <f>IF(ISBLANK(Reported!P33),"",IF(P$2=1,Reported!P33,Reported!P33-Reported!O33))</f>
        <v/>
      </c>
      <c r="Q17" s="515">
        <f>IF(ISBLANK(Reported!Q33),"",IF(Q$2=1,Reported!Q33,Reported!Q33-Reported!P33))</f>
        <v/>
      </c>
      <c r="R17" s="515">
        <f>IF(ISBLANK(Reported!R33),"",IF(R$2=1,Reported!R33,Reported!R33-Reported!Q33))</f>
        <v/>
      </c>
      <c r="S17" s="515">
        <f>IF(ISBLANK(Reported!S33),"",IF(S$2=1,Reported!S33,Reported!S33-Reported!R33))</f>
        <v/>
      </c>
      <c r="T17" s="515">
        <f>IF(ISBLANK(Reported!T33),"",IF(T$2=1,Reported!T33,Reported!T33-Reported!S33))</f>
        <v/>
      </c>
      <c r="U17" s="515">
        <f>IF(ISBLANK(Reported!U33),"",IF(U$2=1,Reported!U33,Reported!U33-Reported!T33))</f>
        <v/>
      </c>
      <c r="V17" s="515">
        <f>IF(ISBLANK(Reported!V33),"",IF(V$2=1,Reported!V33,Reported!V33-Reported!U33))</f>
        <v/>
      </c>
      <c r="W17" s="515">
        <f>IF(ISBLANK(Reported!W33),"",IF(W$2=1,Reported!W33,Reported!W33-Reported!V33))</f>
        <v/>
      </c>
      <c r="X17" s="515">
        <f>IF(ISBLANK(Reported!X33),"",IF(X$2=1,Reported!X33,Reported!X33-Reported!W33))</f>
        <v/>
      </c>
      <c r="Y17" s="515">
        <f>IF(ISBLANK(Reported!Y33),"",IF(Y$2=1,Reported!Y33,Reported!Y33-Reported!X33))</f>
        <v/>
      </c>
      <c r="Z17" s="516">
        <f>IF(ISBLANK(Reported!Z33),"",IF(Z$2=1,Reported!Z33,Reported!Z33-Reported!Y33))</f>
        <v/>
      </c>
      <c r="AA17" s="516">
        <f>IF(ISBLANK(Reported!AA33),"",IF(AA$2=1,Reported!AA33,Reported!AA33-Reported!Z33))</f>
        <v/>
      </c>
      <c r="AB17" s="516">
        <f>IF(ISBLANK(Reported!AB33),"",IF(AB$2=1,Reported!AB33,Reported!AB33-Reported!AA33))</f>
        <v/>
      </c>
      <c r="AC17" s="516">
        <f>IF(ISBLANK(Reported!AC33),"",IF(AC$2=1,Reported!AC33,Reported!AC33-Reported!AB33))</f>
        <v/>
      </c>
      <c r="AD17" s="516">
        <f>IF(ISBLANK(Reported!AD33),"",IF(AD$2=1,Reported!AD33,Reported!AD33-Reported!AC33))</f>
        <v/>
      </c>
      <c r="AE17" s="516">
        <f>IF(ISBLANK(Reported!AE33),"",IF(AE$2=1,Reported!AE33,Reported!AE33-Reported!AD33))</f>
        <v/>
      </c>
      <c r="AF17" s="516">
        <f>IF(ISBLANK(Reported!AF33),"",IF(AF$2=1,Reported!AF33,Reported!AF33-Reported!AE33))</f>
        <v/>
      </c>
      <c r="AG17" s="516">
        <f>IF(ISBLANK(Reported!AG33),"",IF(AG$2=1,Reported!AG33,Reported!AG33-Reported!AF33))</f>
        <v/>
      </c>
      <c r="AH17" s="516">
        <f>IF(ISBLANK(Reported!AH33),"",IF(AH$2=1,Reported!AH33,Reported!AH33-Reported!AG33))</f>
        <v/>
      </c>
      <c r="AI17" s="516">
        <f>IF(ISBLANK(Reported!AI33),"",IF(AI$2=1,Reported!AI33,Reported!AI33-Reported!AH33))</f>
        <v/>
      </c>
      <c r="AJ17" s="516">
        <f>IF(ISBLANK(Reported!AJ33),"",IF(AJ$2=1,Reported!AJ33,Reported!AJ33-Reported!AI33))</f>
        <v/>
      </c>
      <c r="AK17" s="516">
        <f>IF(ISBLANK(Reported!AK33),"",IF(AK$2=1,Reported!AK33,Reported!AK33-Reported!AJ33))</f>
        <v/>
      </c>
      <c r="AL17" s="516">
        <f>IF(ISBLANK(Reported!AL33),"",IF(AL$2=1,Reported!AL33,Reported!AL33-Reported!AK33))</f>
        <v/>
      </c>
      <c r="AM17" s="516">
        <f>IF(ISBLANK(Reported!AM33),"",IF(AM$2=1,Reported!AM33,Reported!AM33-Reported!AL33))</f>
        <v/>
      </c>
      <c r="AN17" s="516">
        <f>IF(ISBLANK(Reported!AN33),"",IF(AN$2=1,Reported!AN33,Reported!AN33-Reported!AM33))</f>
        <v/>
      </c>
      <c r="AO17" s="516">
        <f>IF(ISBLANK(Reported!AO33),"",IF(AO$2=1,Reported!AO33,Reported!AO33-Reported!AN33))</f>
        <v/>
      </c>
      <c r="AP17" s="516">
        <f>IF(ISBLANK(Reported!AP33),"",IF(AP$2=1,Reported!AP33,Reported!AP33-Reported!AO33))</f>
        <v/>
      </c>
      <c r="AQ17" s="516">
        <f>IF(ISBLANK(Reported!AQ33),"",IF(AQ$2=1,Reported!AQ33,Reported!AQ33-Reported!AP33))</f>
        <v/>
      </c>
      <c r="AR17" s="516">
        <f>IF(ISBLANK(Reported!AR33),"",IF(AR$2=1,Reported!AR33,Reported!AR33-Reported!AQ33))</f>
        <v/>
      </c>
      <c r="AS17" s="516">
        <f>IF(ISBLANK(Reported!AS33),"",IF(AS$2=1,Reported!AS33,Reported!AS33-Reported!AR33))</f>
        <v/>
      </c>
      <c r="AT17" s="516">
        <f>IF(ISBLANK(Reported!AT33),"",IF(AT$2=1,Reported!AT33,Reported!AT33-Reported!AS33))</f>
        <v/>
      </c>
      <c r="AU17" s="516">
        <f>IF(ISBLANK(Reported!AU33),"",IF(AU$2=1,Reported!AU33,Reported!AU33-Reported!AT33))</f>
        <v/>
      </c>
      <c r="AV17" s="516">
        <f>IF(ISBLANK(Reported!AV33),"",IF(AV$2=1,Reported!AV33,Reported!AV33-Reported!AU33))</f>
        <v/>
      </c>
      <c r="AW17" s="516">
        <f>IF(ISBLANK(Reported!AW33),"",IF(AW$2=1,Reported!AW33,Reported!AW33-Reported!AV33))</f>
        <v/>
      </c>
      <c r="AX17" s="516">
        <f>IF(ISBLANK(Reported!AX33),"",IF(AX$2=1,Reported!AX33,Reported!AX33-Reported!AW33))</f>
        <v/>
      </c>
      <c r="AY17" s="516">
        <f>IF(ISBLANK(Reported!AY33),"",IF(AY$2=1,Reported!AY33,Reported!AY33-Reported!AX33))</f>
        <v/>
      </c>
      <c r="AZ17" s="516">
        <f>IF(ISBLANK(Reported!AZ33),"",IF(AZ$2=1,Reported!AZ33,Reported!AZ33-Reported!AY33))</f>
        <v/>
      </c>
      <c r="BA17" s="516">
        <f>IF(ISBLANK(Reported!BA33),"",IF(BA$2=1,Reported!BA33,Reported!BA33-Reported!AZ33))</f>
        <v/>
      </c>
      <c r="BB17" s="516">
        <f>IF(ISBLANK(Reported!BB33),"",IF(BB$2=1,Reported!BB33,Reported!BB33-Reported!BA33))</f>
        <v/>
      </c>
      <c r="BC17" s="516">
        <f>IF(ISBLANK(Reported!BC33),"",IF(BC$2=1,Reported!BC33,Reported!BC33-Reported!BB33))</f>
        <v/>
      </c>
      <c r="BD17" s="516">
        <f>IF(ISBLANK(Reported!BD33),"",IF(BD$2=1,Reported!BD33,Reported!BD33-Reported!BC33))</f>
        <v/>
      </c>
      <c r="BE17" s="516">
        <f>IF(ISBLANK(Reported!BE33),"",IF(BE$2=1,Reported!BE33,Reported!BE33-Reported!BD33))</f>
        <v/>
      </c>
      <c r="BF17" s="516">
        <f>IF(ISBLANK(Reported!BF33),"",IF(BF$2=1,Reported!BF33,Reported!BF33-Reported!BE33))</f>
        <v/>
      </c>
      <c r="BG17" s="516">
        <f>IF(ISBLANK(Reported!BG33),"",IF(BG$2=1,Reported!BG33,Reported!BG33-Reported!BF33))</f>
        <v/>
      </c>
      <c r="BH17" s="516">
        <f>IF(ISBLANK(Reported!BH33),"",IF(BH$2=1,Reported!BH33,Reported!BH33-Reported!BG33))</f>
        <v/>
      </c>
      <c r="BI17" s="516">
        <f>IF(ISBLANK(Reported!BI33),"",IF(BI$2=1,Reported!BI33,Reported!BI33-Reported!BH33))</f>
        <v/>
      </c>
      <c r="BJ17" s="516">
        <f>IF(ISBLANK(Reported!BJ33),"",IF(BJ$2=1,Reported!BJ33,Reported!BJ33-Reported!BI33))</f>
        <v/>
      </c>
      <c r="BK17" s="516">
        <f>IF(ISBLANK(Reported!BK33),"",IF(BK$2=1,Reported!BK33,Reported!BK33-Reported!BJ33))</f>
        <v/>
      </c>
      <c r="BL17" s="516">
        <f>IF(ISBLANK(Reported!BL33),"",IF(BL$2=1,Reported!BL33,Reported!BL33-Reported!BK33))</f>
        <v/>
      </c>
      <c r="BM17" s="516">
        <f>IF(ISBLANK(Reported!BM33),"",IF(BM$2=1,Reported!BM33,Reported!BM33-Reported!BL33))</f>
        <v/>
      </c>
      <c r="BN17" s="516">
        <f>IF(ISBLANK(Reported!BN33),"",IF(BN$2=1,Reported!BN33,Reported!BN33-Reported!BM33))</f>
        <v/>
      </c>
      <c r="BO17" s="516">
        <f>IF(ISBLANK(Reported!BO33),"",IF(BO$2=1,Reported!BO33,Reported!BO33-Reported!BN33))</f>
        <v/>
      </c>
      <c r="BP17" s="516">
        <f>IF(ISBLANK(Reported!BP33),"",IF(BP$2=1,Reported!BP33,Reported!BP33-Reported!BO33))</f>
        <v/>
      </c>
      <c r="BQ17" s="516">
        <f>IF(ISBLANK(Reported!BQ33),"",IF(BQ$2=1,Reported!BQ33,Reported!BQ33-Reported!BP33))</f>
        <v/>
      </c>
      <c r="BR17" s="516">
        <f>IF(ISBLANK(Reported!BR33),"",IF(BR$2=1,Reported!BR33,Reported!BR33-Reported!BQ33))</f>
        <v/>
      </c>
      <c r="BS17" s="517">
        <f>BO17*(1+BS26)</f>
        <v/>
      </c>
      <c r="BT17" s="517">
        <f>BP17*(1+BT26)</f>
        <v/>
      </c>
      <c r="BU17" s="517">
        <f>BQ17*(1+BU26)</f>
        <v/>
      </c>
      <c r="BV17" s="517">
        <f>BR17*(1+BV26)</f>
        <v/>
      </c>
      <c r="BW17" s="517">
        <f>BS17*(1+BW26)</f>
        <v/>
      </c>
      <c r="BX17" s="517">
        <f>BT17*(1+BX26)</f>
        <v/>
      </c>
      <c r="BY17" s="517">
        <f>BU17*(1+BY26)</f>
        <v/>
      </c>
      <c r="BZ17" s="517">
        <f>BV17*(1+BZ26)</f>
        <v/>
      </c>
      <c r="CA17" s="517">
        <f>BW17*(1+CA26)</f>
        <v/>
      </c>
      <c r="CB17" s="517">
        <f>BX17*(1+CB26)</f>
        <v/>
      </c>
      <c r="CC17" s="517">
        <f>BY17*(1+CC26)</f>
        <v/>
      </c>
      <c r="CD17" s="517">
        <f>BZ17*(1+CD26)</f>
        <v/>
      </c>
      <c r="CE17" s="517">
        <f>CA17*(1+CE26)</f>
        <v/>
      </c>
      <c r="CF17" s="517">
        <f>CB17*(1+CF26)</f>
        <v/>
      </c>
      <c r="CG17" s="517">
        <f>CC17*(1+CG26)</f>
        <v/>
      </c>
      <c r="CH17" s="517">
        <f>CD17*(1+CH26)</f>
        <v/>
      </c>
      <c r="CI17" s="517">
        <f>CE17*(1+CI26)</f>
        <v/>
      </c>
      <c r="CJ17" s="517">
        <f>CF17*(1+CJ26)</f>
        <v/>
      </c>
      <c r="CK17" s="517">
        <f>CG17*(1+CK26)</f>
        <v/>
      </c>
      <c r="DA17" s="517">
        <f>SUMIF($N$1:$CG$1,DA$1,$N17:$CG17)</f>
        <v/>
      </c>
      <c r="DB17" s="517">
        <f>SUMIF($N$1:$CG$1,DB$1,$N17:$CG17)</f>
        <v/>
      </c>
      <c r="DC17" s="517">
        <f>SUMIF($N$1:$CG$1,DC$1,$N17:$CG17)</f>
        <v/>
      </c>
      <c r="DD17" s="517">
        <f>SUMIF($N$1:$CG$1,DD$1,$N17:$CG17)</f>
        <v/>
      </c>
      <c r="DE17" s="517">
        <f>SUMIF($N$1:$CG$1,DE$1,$N17:$CG17)</f>
        <v/>
      </c>
      <c r="DF17" s="517">
        <f>SUMIF($N$1:$CG$1,DF$1,$N17:$CG17)</f>
        <v/>
      </c>
      <c r="DG17" s="517">
        <f>SUMIF($N$1:$CG$1,DG$1,$N17:$CG17)</f>
        <v/>
      </c>
      <c r="DH17" s="517">
        <f>SUMIF($N$1:$CG$1,DH$1,$N17:$CG17)</f>
        <v/>
      </c>
      <c r="DI17" s="517">
        <f>SUMIF($N$1:$CG$1,DI$1,$N17:$CG17)</f>
        <v/>
      </c>
      <c r="DJ17" s="517">
        <f>SUMIF($N$1:$CG$1,DJ$1,$N17:$CG17)</f>
        <v/>
      </c>
      <c r="DK17" s="517">
        <f>SUMIF($N$1:$CG$1,DK$1,$N17:$CG17)</f>
        <v/>
      </c>
      <c r="DL17" s="517">
        <f>SUMIF($N$1:$CG$1,DL$1,$N17:$CG17)</f>
        <v/>
      </c>
      <c r="DM17" s="517">
        <f>SUMIF($N$1:$CG$1,DM$1,$N17:$CG17)</f>
        <v/>
      </c>
      <c r="DN17" s="517">
        <f>SUMIF($N$1:$CG$1,DN$1,$N17:$CG17)</f>
        <v/>
      </c>
      <c r="DO17" s="517">
        <f>SUMIF($N$1:$CG$1,DO$1,$N17:$CG17)</f>
        <v/>
      </c>
      <c r="DP17" s="517">
        <f>SUMIF($N$1:$CG$1,DP$1,$N17:$CG17)</f>
        <v/>
      </c>
      <c r="DQ17" s="517">
        <f>SUMIF($N$1:$CG$1,DQ$1,$N17:$CG17)</f>
        <v/>
      </c>
      <c r="DR17" s="517">
        <f>SUMIF($N$1:$CG$1,DR$1,$N17:$CG17)</f>
        <v/>
      </c>
      <c r="DS17" s="517">
        <f>SUMIF($N$1:$CK$1,DS$1,$N17:$CK17)</f>
        <v/>
      </c>
    </row>
    <row r="18">
      <c r="A18" s="74">
        <f>Reported!A34</f>
        <v/>
      </c>
      <c r="B18" s="140" t="n"/>
      <c r="C18" s="140" t="n"/>
      <c r="D18" s="140" t="n"/>
      <c r="E18" s="140" t="n"/>
      <c r="F18" s="140" t="n"/>
      <c r="G18" s="140" t="n"/>
      <c r="H18" s="140" t="n"/>
      <c r="I18" s="140" t="n"/>
      <c r="J18" s="140" t="n"/>
      <c r="K18" s="140" t="n"/>
      <c r="L18" s="140" t="n"/>
      <c r="M18" s="140" t="n"/>
      <c r="N18" s="515">
        <f>IF(ISBLANK(Reported!N34),"",IF(N$2=1,Reported!N34,Reported!N34-Reported!M34))</f>
        <v/>
      </c>
      <c r="O18" s="515">
        <f>IF(ISBLANK(Reported!O34),"",IF(O$2=1,Reported!O34,Reported!O34-Reported!N34))</f>
        <v/>
      </c>
      <c r="P18" s="515">
        <f>IF(ISBLANK(Reported!P34),"",IF(P$2=1,Reported!P34,Reported!P34-Reported!O34))</f>
        <v/>
      </c>
      <c r="Q18" s="515">
        <f>IF(ISBLANK(Reported!Q34),"",IF(Q$2=1,Reported!Q34,Reported!Q34-Reported!P34))</f>
        <v/>
      </c>
      <c r="R18" s="515">
        <f>IF(ISBLANK(Reported!R34),"",IF(R$2=1,Reported!R34,Reported!R34-Reported!Q34))</f>
        <v/>
      </c>
      <c r="S18" s="515">
        <f>IF(ISBLANK(Reported!S34),"",IF(S$2=1,Reported!S34,Reported!S34-Reported!R34))</f>
        <v/>
      </c>
      <c r="T18" s="515">
        <f>IF(ISBLANK(Reported!T34),"",IF(T$2=1,Reported!T34,Reported!T34-Reported!S34))</f>
        <v/>
      </c>
      <c r="U18" s="515">
        <f>IF(ISBLANK(Reported!U34),"",IF(U$2=1,Reported!U34,Reported!U34-Reported!T34))</f>
        <v/>
      </c>
      <c r="V18" s="515">
        <f>IF(ISBLANK(Reported!V34),"",IF(V$2=1,Reported!V34,Reported!V34-Reported!U34))</f>
        <v/>
      </c>
      <c r="W18" s="515">
        <f>IF(ISBLANK(Reported!W34),"",IF(W$2=1,Reported!W34,Reported!W34-Reported!V34))</f>
        <v/>
      </c>
      <c r="X18" s="515">
        <f>IF(ISBLANK(Reported!X34),"",IF(X$2=1,Reported!X34,Reported!X34-Reported!W34))</f>
        <v/>
      </c>
      <c r="Y18" s="515">
        <f>IF(ISBLANK(Reported!Y34),"",IF(Y$2=1,Reported!Y34,Reported!Y34-Reported!X34))</f>
        <v/>
      </c>
      <c r="Z18" s="516">
        <f>IF(ISBLANK(Reported!Z34),"",IF(Z$2=1,Reported!Z34,Reported!Z34-Reported!Y34))</f>
        <v/>
      </c>
      <c r="AA18" s="516">
        <f>IF(ISBLANK(Reported!AA34),"",IF(AA$2=1,Reported!AA34,Reported!AA34-Reported!Z34))</f>
        <v/>
      </c>
      <c r="AB18" s="516">
        <f>IF(ISBLANK(Reported!AB34),"",IF(AB$2=1,Reported!AB34,Reported!AB34-Reported!AA34))</f>
        <v/>
      </c>
      <c r="AC18" s="516">
        <f>IF(ISBLANK(Reported!AC34),"",IF(AC$2=1,Reported!AC34,Reported!AC34-Reported!AB34))</f>
        <v/>
      </c>
      <c r="AD18" s="516">
        <f>IF(ISBLANK(Reported!AD34),"",IF(AD$2=1,Reported!AD34,Reported!AD34-Reported!AC34))</f>
        <v/>
      </c>
      <c r="AE18" s="516">
        <f>IF(ISBLANK(Reported!AE34),"",IF(AE$2=1,Reported!AE34,Reported!AE34-Reported!AD34))</f>
        <v/>
      </c>
      <c r="AF18" s="516">
        <f>IF(ISBLANK(Reported!AF34),"",IF(AF$2=1,Reported!AF34,Reported!AF34-Reported!AE34))</f>
        <v/>
      </c>
      <c r="AG18" s="516">
        <f>IF(ISBLANK(Reported!AG34),"",IF(AG$2=1,Reported!AG34,Reported!AG34-Reported!AF34))</f>
        <v/>
      </c>
      <c r="AH18" s="516">
        <f>IF(ISBLANK(Reported!AH34),"",IF(AH$2=1,Reported!AH34,Reported!AH34-Reported!AG34))</f>
        <v/>
      </c>
      <c r="AI18" s="516">
        <f>IF(ISBLANK(Reported!AI34),"",IF(AI$2=1,Reported!AI34,Reported!AI34-Reported!AH34))</f>
        <v/>
      </c>
      <c r="AJ18" s="516">
        <f>IF(ISBLANK(Reported!AJ34),"",IF(AJ$2=1,Reported!AJ34,Reported!AJ34-Reported!AI34))</f>
        <v/>
      </c>
      <c r="AK18" s="516">
        <f>IF(ISBLANK(Reported!AK34),"",IF(AK$2=1,Reported!AK34,Reported!AK34-Reported!AJ34))</f>
        <v/>
      </c>
      <c r="AL18" s="516">
        <f>IF(ISBLANK(Reported!AL34),"",IF(AL$2=1,Reported!AL34,Reported!AL34-Reported!AK34))</f>
        <v/>
      </c>
      <c r="AM18" s="516">
        <f>IF(ISBLANK(Reported!AM34),"",IF(AM$2=1,Reported!AM34,Reported!AM34-Reported!AL34))</f>
        <v/>
      </c>
      <c r="AN18" s="516">
        <f>IF(ISBLANK(Reported!AN34),"",IF(AN$2=1,Reported!AN34,Reported!AN34-Reported!AM34))</f>
        <v/>
      </c>
      <c r="AO18" s="516">
        <f>IF(ISBLANK(Reported!AO34),"",IF(AO$2=1,Reported!AO34,Reported!AO34-Reported!AN34))</f>
        <v/>
      </c>
      <c r="AP18" s="516">
        <f>IF(ISBLANK(Reported!AP34),"",IF(AP$2=1,Reported!AP34,Reported!AP34-Reported!AO34))</f>
        <v/>
      </c>
      <c r="AQ18" s="516">
        <f>IF(ISBLANK(Reported!AQ34),"",IF(AQ$2=1,Reported!AQ34,Reported!AQ34-Reported!AP34))</f>
        <v/>
      </c>
      <c r="AR18" s="516">
        <f>IF(ISBLANK(Reported!AR34),"",IF(AR$2=1,Reported!AR34,Reported!AR34-Reported!AQ34))</f>
        <v/>
      </c>
      <c r="AS18" s="516">
        <f>IF(ISBLANK(Reported!AS34),"",IF(AS$2=1,Reported!AS34,Reported!AS34-Reported!AR34))</f>
        <v/>
      </c>
      <c r="AT18" s="516">
        <f>IF(ISBLANK(Reported!AT34),"",IF(AT$2=1,Reported!AT34,Reported!AT34-Reported!AS34))</f>
        <v/>
      </c>
      <c r="AU18" s="516">
        <f>IF(ISBLANK(Reported!AU34),"",IF(AU$2=1,Reported!AU34,Reported!AU34-Reported!AT34))</f>
        <v/>
      </c>
      <c r="AV18" s="516">
        <f>IF(ISBLANK(Reported!AV34),"",IF(AV$2=1,Reported!AV34,Reported!AV34-Reported!AU34))</f>
        <v/>
      </c>
      <c r="AW18" s="516">
        <f>IF(ISBLANK(Reported!AW34),"",IF(AW$2=1,Reported!AW34,Reported!AW34-Reported!AV34))</f>
        <v/>
      </c>
      <c r="AX18" s="516">
        <f>IF(ISBLANK(Reported!AX34),"",IF(AX$2=1,Reported!AX34,Reported!AX34-Reported!AW34))</f>
        <v/>
      </c>
      <c r="AY18" s="516">
        <f>IF(ISBLANK(Reported!AY34),"",IF(AY$2=1,Reported!AY34,Reported!AY34-Reported!AX34))</f>
        <v/>
      </c>
      <c r="AZ18" s="516">
        <f>IF(ISBLANK(Reported!AZ34),"",IF(AZ$2=1,Reported!AZ34,Reported!AZ34-Reported!AY34))</f>
        <v/>
      </c>
      <c r="BA18" s="516">
        <f>IF(ISBLANK(Reported!BA34),"",IF(BA$2=1,Reported!BA34,Reported!BA34-Reported!AZ34))</f>
        <v/>
      </c>
      <c r="BB18" s="516">
        <f>IF(ISBLANK(Reported!BB34),"",IF(BB$2=1,Reported!BB34,Reported!BB34-Reported!BA34))</f>
        <v/>
      </c>
      <c r="BC18" s="516">
        <f>IF(ISBLANK(Reported!BC34),"",IF(BC$2=1,Reported!BC34,Reported!BC34-Reported!BB34))</f>
        <v/>
      </c>
      <c r="BD18" s="516">
        <f>IF(ISBLANK(Reported!BD34),"",IF(BD$2=1,Reported!BD34,Reported!BD34-Reported!BC34))</f>
        <v/>
      </c>
      <c r="BE18" s="516">
        <f>IF(ISBLANK(Reported!BE34),"",IF(BE$2=1,Reported!BE34,Reported!BE34-Reported!BD34))</f>
        <v/>
      </c>
      <c r="BF18" s="516">
        <f>IF(ISBLANK(Reported!BF34),"",IF(BF$2=1,Reported!BF34,Reported!BF34-Reported!BE34))</f>
        <v/>
      </c>
      <c r="BG18" s="516">
        <f>IF(ISBLANK(Reported!BG34),"",IF(BG$2=1,Reported!BG34,Reported!BG34-Reported!BF34))</f>
        <v/>
      </c>
      <c r="BH18" s="516">
        <f>IF(ISBLANK(Reported!BH34),"",IF(BH$2=1,Reported!BH34,Reported!BH34-Reported!BG34))</f>
        <v/>
      </c>
      <c r="BI18" s="516">
        <f>IF(ISBLANK(Reported!BI34),"",IF(BI$2=1,Reported!BI34,Reported!BI34-Reported!BH34))</f>
        <v/>
      </c>
      <c r="BJ18" s="516">
        <f>IF(ISBLANK(Reported!BJ34),"",IF(BJ$2=1,Reported!BJ34,Reported!BJ34-Reported!BI34))</f>
        <v/>
      </c>
      <c r="BK18" s="516">
        <f>IF(ISBLANK(Reported!BK34),"",IF(BK$2=1,Reported!BK34,Reported!BK34-Reported!BJ34))</f>
        <v/>
      </c>
      <c r="BL18" s="516">
        <f>IF(ISBLANK(Reported!BL34),"",IF(BL$2=1,Reported!BL34,Reported!BL34-Reported!BK34))</f>
        <v/>
      </c>
      <c r="BM18" s="516">
        <f>IF(ISBLANK(Reported!BM34),"",IF(BM$2=1,Reported!BM34,Reported!BM34-Reported!BL34))</f>
        <v/>
      </c>
      <c r="BN18" s="516">
        <f>IF(ISBLANK(Reported!BN34),"",IF(BN$2=1,Reported!BN34,Reported!BN34-Reported!BM34))</f>
        <v/>
      </c>
      <c r="BO18" s="516">
        <f>IF(ISBLANK(Reported!BO34),"",IF(BO$2=1,Reported!BO34,Reported!BO34-Reported!BN34))</f>
        <v/>
      </c>
      <c r="BP18" s="516">
        <f>IF(ISBLANK(Reported!BP34),"",IF(BP$2=1,Reported!BP34,Reported!BP34-Reported!BO34))</f>
        <v/>
      </c>
      <c r="BQ18" s="516">
        <f>IF(ISBLANK(Reported!BQ34),"",IF(BQ$2=1,Reported!BQ34,Reported!BQ34-Reported!BP34))</f>
        <v/>
      </c>
      <c r="BR18" s="516">
        <f>IF(ISBLANK(Reported!BR34),"",IF(BR$2=1,Reported!BR34,Reported!BR34-Reported!BQ34))</f>
        <v/>
      </c>
      <c r="BS18" s="517">
        <f>BO18*(1+BS27)</f>
        <v/>
      </c>
      <c r="BT18" s="517">
        <f>BP18*(1+BT27)</f>
        <v/>
      </c>
      <c r="BU18" s="517">
        <f>BQ18*(1+BU27)</f>
        <v/>
      </c>
      <c r="BV18" s="517">
        <f>BR18*(1+BV27)</f>
        <v/>
      </c>
      <c r="BW18" s="517">
        <f>BS18*(1+BW27)</f>
        <v/>
      </c>
      <c r="BX18" s="517">
        <f>BT18*(1+BX27)</f>
        <v/>
      </c>
      <c r="BY18" s="517">
        <f>BU18*(1+BY27)</f>
        <v/>
      </c>
      <c r="BZ18" s="517">
        <f>BV18*(1+BZ27)</f>
        <v/>
      </c>
      <c r="CA18" s="517">
        <f>BW18*(1+CA27)</f>
        <v/>
      </c>
      <c r="CB18" s="517">
        <f>BX18*(1+CB27)</f>
        <v/>
      </c>
      <c r="CC18" s="517">
        <f>BY18*(1+CC27)</f>
        <v/>
      </c>
      <c r="CD18" s="517">
        <f>BZ18*(1+CD27)</f>
        <v/>
      </c>
      <c r="CE18" s="517">
        <f>CA18*(1+CE27)</f>
        <v/>
      </c>
      <c r="CF18" s="517">
        <f>CB18*(1+CF27)</f>
        <v/>
      </c>
      <c r="CG18" s="517">
        <f>CC18*(1+CG27)</f>
        <v/>
      </c>
      <c r="CH18" s="517">
        <f>CD18*(1+CH27)</f>
        <v/>
      </c>
      <c r="CI18" s="517">
        <f>CE18*(1+CI27)</f>
        <v/>
      </c>
      <c r="CJ18" s="517">
        <f>CF18*(1+CJ27)</f>
        <v/>
      </c>
      <c r="CK18" s="517">
        <f>CG18*(1+CK27)</f>
        <v/>
      </c>
      <c r="DA18" s="517">
        <f>SUMIF($N$1:$CG$1,DA$1,$N18:$CG18)</f>
        <v/>
      </c>
      <c r="DB18" s="517">
        <f>SUMIF($N$1:$CG$1,DB$1,$N18:$CG18)</f>
        <v/>
      </c>
      <c r="DC18" s="517">
        <f>SUMIF($N$1:$CG$1,DC$1,$N18:$CG18)</f>
        <v/>
      </c>
      <c r="DD18" s="517">
        <f>SUMIF($N$1:$CG$1,DD$1,$N18:$CG18)</f>
        <v/>
      </c>
      <c r="DE18" s="517">
        <f>SUMIF($N$1:$CG$1,DE$1,$N18:$CG18)</f>
        <v/>
      </c>
      <c r="DF18" s="517">
        <f>SUMIF($N$1:$CG$1,DF$1,$N18:$CG18)</f>
        <v/>
      </c>
      <c r="DG18" s="517">
        <f>SUMIF($N$1:$CG$1,DG$1,$N18:$CG18)</f>
        <v/>
      </c>
      <c r="DH18" s="517">
        <f>SUMIF($N$1:$CG$1,DH$1,$N18:$CG18)</f>
        <v/>
      </c>
      <c r="DI18" s="517">
        <f>SUMIF($N$1:$CG$1,DI$1,$N18:$CG18)</f>
        <v/>
      </c>
      <c r="DJ18" s="517">
        <f>SUMIF($N$1:$CG$1,DJ$1,$N18:$CG18)</f>
        <v/>
      </c>
      <c r="DK18" s="517">
        <f>SUMIF($N$1:$CG$1,DK$1,$N18:$CG18)</f>
        <v/>
      </c>
      <c r="DL18" s="517">
        <f>SUMIF($N$1:$CG$1,DL$1,$N18:$CG18)</f>
        <v/>
      </c>
      <c r="DM18" s="517">
        <f>SUMIF($N$1:$CG$1,DM$1,$N18:$CG18)</f>
        <v/>
      </c>
      <c r="DN18" s="517">
        <f>SUMIF($N$1:$CG$1,DN$1,$N18:$CG18)</f>
        <v/>
      </c>
      <c r="DO18" s="517">
        <f>SUMIF($N$1:$CG$1,DO$1,$N18:$CG18)</f>
        <v/>
      </c>
      <c r="DP18" s="517">
        <f>SUMIF($N$1:$CG$1,DP$1,$N18:$CG18)</f>
        <v/>
      </c>
      <c r="DQ18" s="517">
        <f>SUMIF($N$1:$CG$1,DQ$1,$N18:$CG18)</f>
        <v/>
      </c>
      <c r="DR18" s="517">
        <f>SUMIF($N$1:$CG$1,DR$1,$N18:$CG18)</f>
        <v/>
      </c>
      <c r="DS18" s="517">
        <f>SUMIF($N$1:$CK$1,DS$1,$N18:$CK18)</f>
        <v/>
      </c>
    </row>
    <row r="19">
      <c r="A19" s="74" t="inlineStr">
        <is>
          <t>Other Revenue (Service, and Accessories)</t>
        </is>
      </c>
      <c r="B19" s="140" t="n"/>
      <c r="C19" s="140" t="n"/>
      <c r="D19" s="140" t="n"/>
      <c r="E19" s="140" t="n"/>
      <c r="F19" s="140" t="n"/>
      <c r="G19" s="140" t="n"/>
      <c r="H19" s="140" t="n"/>
      <c r="I19" s="140" t="n"/>
      <c r="J19" s="140" t="n"/>
      <c r="K19" s="140" t="n"/>
      <c r="L19" s="140" t="n"/>
      <c r="M19" s="140" t="n"/>
      <c r="N19" s="515">
        <f>IF(ISBLANK(Reported!N35),"",IF(N$2=1,Reported!N35,Reported!N35-Reported!M35))</f>
        <v/>
      </c>
      <c r="O19" s="515">
        <f>IF(ISBLANK(Reported!O35),"",IF(O$2=1,Reported!O35,Reported!O35-Reported!N35))</f>
        <v/>
      </c>
      <c r="P19" s="515">
        <f>IF(ISBLANK(Reported!P35),"",IF(P$2=1,Reported!P35,Reported!P35-Reported!O35))</f>
        <v/>
      </c>
      <c r="Q19" s="515">
        <f>IF(ISBLANK(Reported!Q35),"",IF(Q$2=1,Reported!Q35,Reported!Q35-Reported!P35))</f>
        <v/>
      </c>
      <c r="R19" s="515">
        <f>IF(ISBLANK(Reported!R35),"",IF(R$2=1,Reported!R35,Reported!R35-Reported!Q35))</f>
        <v/>
      </c>
      <c r="S19" s="515">
        <f>IF(ISBLANK(Reported!S35),"",IF(S$2=1,Reported!S35,Reported!S35-Reported!R35))</f>
        <v/>
      </c>
      <c r="T19" s="515">
        <f>IF(ISBLANK(Reported!T35),"",IF(T$2=1,Reported!T35,Reported!T35-Reported!S35))</f>
        <v/>
      </c>
      <c r="U19" s="515">
        <f>IF(ISBLANK(Reported!U35),"",IF(U$2=1,Reported!U35,Reported!U35-Reported!T35))</f>
        <v/>
      </c>
      <c r="V19" s="515">
        <f>IF(ISBLANK(Reported!V35),"",IF(V$2=1,Reported!V35,Reported!V35-Reported!U35))</f>
        <v/>
      </c>
      <c r="W19" s="515">
        <f>IF(ISBLANK(Reported!W35),"",IF(W$2=1,Reported!W35,Reported!W35-Reported!V35))</f>
        <v/>
      </c>
      <c r="X19" s="515">
        <f>IF(ISBLANK(Reported!X35),"",IF(X$2=1,Reported!X35,Reported!X35-Reported!W35))</f>
        <v/>
      </c>
      <c r="Y19" s="515">
        <f>IF(ISBLANK(Reported!Y35),"",IF(Y$2=1,Reported!Y35,Reported!Y35-Reported!X35))</f>
        <v/>
      </c>
      <c r="Z19" s="516">
        <f>IF(ISBLANK(Reported!Z35),"",IF(Z$2=1,Reported!Z35,Reported!Z35-Reported!Y35))</f>
        <v/>
      </c>
      <c r="AA19" s="516">
        <f>IF(ISBLANK(Reported!AA35),"",IF(AA$2=1,Reported!AA35,Reported!AA35-Reported!Z35))</f>
        <v/>
      </c>
      <c r="AB19" s="516">
        <f>IF(ISBLANK(Reported!AB35),"",IF(AB$2=1,Reported!AB35,Reported!AB35-Reported!AA35))</f>
        <v/>
      </c>
      <c r="AC19" s="516">
        <f>IF(ISBLANK(Reported!AC35),"",IF(AC$2=1,Reported!AC35,Reported!AC35-Reported!AB35))</f>
        <v/>
      </c>
      <c r="AD19" s="516">
        <f>IF(ISBLANK(Reported!AD35),"",IF(AD$2=1,Reported!AD35,Reported!AD35-Reported!AC35))</f>
        <v/>
      </c>
      <c r="AE19" s="516">
        <f>IF(ISBLANK(Reported!AE35),"",IF(AE$2=1,Reported!AE35,Reported!AE35-Reported!AD35))</f>
        <v/>
      </c>
      <c r="AF19" s="516">
        <f>IF(ISBLANK(Reported!AF35),"",IF(AF$2=1,Reported!AF35,Reported!AF35-Reported!AE35))</f>
        <v/>
      </c>
      <c r="AG19" s="516">
        <f>IF(ISBLANK(Reported!AG35),"",IF(AG$2=1,Reported!AG35,Reported!AG35-Reported!AF35))</f>
        <v/>
      </c>
      <c r="AH19" s="516">
        <f>IF(ISBLANK(Reported!AH35),"",IF(AH$2=1,Reported!AH35,Reported!AH35-Reported!AG35))</f>
        <v/>
      </c>
      <c r="AI19" s="516">
        <f>IF(ISBLANK(Reported!AI35),"",IF(AI$2=1,Reported!AI35,Reported!AI35-Reported!AH35))</f>
        <v/>
      </c>
      <c r="AJ19" s="516">
        <f>IF(ISBLANK(Reported!AJ35),"",IF(AJ$2=1,Reported!AJ35,Reported!AJ35-Reported!AI35))</f>
        <v/>
      </c>
      <c r="AK19" s="516">
        <f>IF(ISBLANK(Reported!AK35),"",IF(AK$2=1,Reported!AK35,Reported!AK35-Reported!AJ35))</f>
        <v/>
      </c>
      <c r="AL19" s="516">
        <f>IF(ISBLANK(Reported!AL35),"",IF(AL$2=1,Reported!AL35,Reported!AL35-Reported!AK35))</f>
        <v/>
      </c>
      <c r="AM19" s="516">
        <f>IF(ISBLANK(Reported!AM35),"",IF(AM$2=1,Reported!AM35,Reported!AM35-Reported!AL35))</f>
        <v/>
      </c>
      <c r="AN19" s="516">
        <f>IF(ISBLANK(Reported!AN35),"",IF(AN$2=1,Reported!AN35,Reported!AN35-Reported!AM35))</f>
        <v/>
      </c>
      <c r="AO19" s="516">
        <f>IF(ISBLANK(Reported!AO35),"",IF(AO$2=1,Reported!AO35,Reported!AO35-Reported!AN35))</f>
        <v/>
      </c>
      <c r="AP19" s="516">
        <f>IF(ISBLANK(Reported!AP35),"",IF(AP$2=1,Reported!AP35,Reported!AP35-Reported!AO35))</f>
        <v/>
      </c>
      <c r="AQ19" s="516">
        <f>IF(ISBLANK(Reported!AQ35),"",IF(AQ$2=1,Reported!AQ35,Reported!AQ35-Reported!AP35))</f>
        <v/>
      </c>
      <c r="AR19" s="516">
        <f>IF(ISBLANK(Reported!AR35),"",IF(AR$2=1,Reported!AR35,Reported!AR35-Reported!AQ35))</f>
        <v/>
      </c>
      <c r="AS19" s="516">
        <f>IF(ISBLANK(Reported!AS35),"",IF(AS$2=1,Reported!AS35,Reported!AS35-Reported!AR35))</f>
        <v/>
      </c>
      <c r="AT19" s="516">
        <f>IF(ISBLANK(Reported!AT35),"",IF(AT$2=1,Reported!AT35,Reported!AT35-Reported!AS35))</f>
        <v/>
      </c>
      <c r="AU19" s="516">
        <f>IF(ISBLANK(Reported!AU35),"",IF(AU$2=1,Reported!AU35,Reported!AU35-Reported!AT35))</f>
        <v/>
      </c>
      <c r="AV19" s="516">
        <f>IF(ISBLANK(Reported!AV35),"",IF(AV$2=1,Reported!AV35,Reported!AV35-Reported!AU35))</f>
        <v/>
      </c>
      <c r="AW19" s="516">
        <f>IF(ISBLANK(Reported!AW35),"",IF(AW$2=1,Reported!AW35,Reported!AW35-Reported!AV35))</f>
        <v/>
      </c>
      <c r="AX19" s="516">
        <f>IF(ISBLANK(Reported!AX35),"",IF(AX$2=1,Reported!AX35,Reported!AX35-Reported!AW35))</f>
        <v/>
      </c>
      <c r="AY19" s="516">
        <f>IF(ISBLANK(Reported!AY35),"",IF(AY$2=1,Reported!AY35,Reported!AY35-Reported!AX35))</f>
        <v/>
      </c>
      <c r="AZ19" s="516">
        <f>IF(ISBLANK(Reported!AZ35),"",IF(AZ$2=1,Reported!AZ35,Reported!AZ35-Reported!AY35))</f>
        <v/>
      </c>
      <c r="BA19" s="516">
        <f>IF(ISBLANK(Reported!BA35),"",IF(BA$2=1,Reported!BA35,Reported!BA35-Reported!AZ35))</f>
        <v/>
      </c>
      <c r="BB19" s="516">
        <f>IF(ISBLANK(Reported!BB35),"",IF(BB$2=1,Reported!BB35,Reported!BB35-Reported!BA35))</f>
        <v/>
      </c>
      <c r="BC19" s="516">
        <f>IF(ISBLANK(Reported!BC35),"",IF(BC$2=1,Reported!BC35,Reported!BC35-Reported!BB35))</f>
        <v/>
      </c>
      <c r="BD19" s="516">
        <f>IF(ISBLANK(Reported!BD35),"",IF(BD$2=1,Reported!BD35,Reported!BD35-Reported!BC35))</f>
        <v/>
      </c>
      <c r="BE19" s="516">
        <f>IF(ISBLANK(Reported!BE35),"",IF(BE$2=1,Reported!BE35,Reported!BE35-Reported!BD35))</f>
        <v/>
      </c>
      <c r="BF19" s="516">
        <f>IF(ISBLANK(Reported!BF35),"",IF(BF$2=1,Reported!BF35,Reported!BF35-Reported!BE35))</f>
        <v/>
      </c>
      <c r="BG19" s="516">
        <f>IF(ISBLANK(Reported!BG35),"",IF(BG$2=1,Reported!BG35,Reported!BG35-Reported!BF35))</f>
        <v/>
      </c>
      <c r="BH19" s="516">
        <f>IF(ISBLANK(Reported!BH35),"",IF(BH$2=1,Reported!BH35,Reported!BH35-Reported!BG35))</f>
        <v/>
      </c>
      <c r="BI19" s="516">
        <f>IF(ISBLANK(Reported!BI35),"",IF(BI$2=1,Reported!BI35,Reported!BI35-Reported!BH35))</f>
        <v/>
      </c>
      <c r="BJ19" s="516">
        <f>IF(ISBLANK(Reported!BJ35),"",IF(BJ$2=1,Reported!BJ35,Reported!BJ35-Reported!BI35))</f>
        <v/>
      </c>
      <c r="BK19" s="516">
        <f>IF(ISBLANK(Reported!BK35),"",IF(BK$2=1,Reported!BK35,Reported!BK35-Reported!BJ35))</f>
        <v/>
      </c>
      <c r="BL19" s="516">
        <f>IF(ISBLANK(Reported!BL35),"",IF(BL$2=1,Reported!BL35,Reported!BL35-Reported!BK35))</f>
        <v/>
      </c>
      <c r="BM19" s="516">
        <f>IF(ISBLANK(Reported!BM35),"",IF(BM$2=1,Reported!BM35,Reported!BM35-Reported!BL35))</f>
        <v/>
      </c>
      <c r="BN19" s="516">
        <f>IF(ISBLANK(Reported!BN35),"",IF(BN$2=1,Reported!BN35,Reported!BN35-Reported!BM35))</f>
        <v/>
      </c>
      <c r="BO19" s="516">
        <f>IF(ISBLANK(Reported!BO35),"",IF(BO$2=1,Reported!BO35,Reported!BO35-Reported!BN35))</f>
        <v/>
      </c>
      <c r="BP19" s="516">
        <f>IF(ISBLANK(Reported!BP35),"",IF(BP$2=1,Reported!BP35,Reported!BP35-Reported!BO35))</f>
        <v/>
      </c>
      <c r="BQ19" s="516">
        <f>IF(ISBLANK(Reported!BQ35),"",IF(BQ$2=1,Reported!BQ35,Reported!BQ35-Reported!BP35))</f>
        <v/>
      </c>
      <c r="BR19" s="516">
        <f>IF(ISBLANK(Reported!BR35),"",IF(BR$2=1,Reported!BR35,Reported!BR35-Reported!BQ35))</f>
        <v/>
      </c>
      <c r="BS19" s="517">
        <f>BO19*(1+BS28)</f>
        <v/>
      </c>
      <c r="BT19" s="517">
        <f>BP19*(1+BT28)</f>
        <v/>
      </c>
      <c r="BU19" s="517">
        <f>BQ19*(1+BU28)</f>
        <v/>
      </c>
      <c r="BV19" s="517">
        <f>BR19*(1+BV28)</f>
        <v/>
      </c>
      <c r="BW19" s="517">
        <f>BS19*(1+BW28)</f>
        <v/>
      </c>
      <c r="BX19" s="517">
        <f>BT19*(1+BX28)</f>
        <v/>
      </c>
      <c r="BY19" s="517">
        <f>BU19*(1+BY28)</f>
        <v/>
      </c>
      <c r="BZ19" s="517">
        <f>BV19*(1+BZ28)</f>
        <v/>
      </c>
      <c r="CA19" s="517">
        <f>BW19*(1+CA28)</f>
        <v/>
      </c>
      <c r="CB19" s="517">
        <f>BX19*(1+CB28)</f>
        <v/>
      </c>
      <c r="CC19" s="517">
        <f>BY19*(1+CC28)</f>
        <v/>
      </c>
      <c r="CD19" s="517">
        <f>BZ19*(1+CD28)</f>
        <v/>
      </c>
      <c r="CE19" s="517">
        <f>CA19*(1+CE28)</f>
        <v/>
      </c>
      <c r="CF19" s="517">
        <f>CB19*(1+CF28)</f>
        <v/>
      </c>
      <c r="CG19" s="517">
        <f>CC19*(1+CG28)</f>
        <v/>
      </c>
      <c r="CH19" s="517">
        <f>CD19*(1+CH28)</f>
        <v/>
      </c>
      <c r="CI19" s="517">
        <f>CE19*(1+CI28)</f>
        <v/>
      </c>
      <c r="CJ19" s="517">
        <f>CF19*(1+CJ28)</f>
        <v/>
      </c>
      <c r="CK19" s="517">
        <f>CG19*(1+CK28)</f>
        <v/>
      </c>
      <c r="DA19" s="517">
        <f>SUMIF($N$1:$CG$1,DA$1,$N19:$CG19)</f>
        <v/>
      </c>
      <c r="DB19" s="517">
        <f>SUMIF($N$1:$CG$1,DB$1,$N19:$CG19)</f>
        <v/>
      </c>
      <c r="DC19" s="517">
        <f>SUMIF($N$1:$CG$1,DC$1,$N19:$CG19)</f>
        <v/>
      </c>
      <c r="DD19" s="517">
        <f>SUMIF($N$1:$CG$1,DD$1,$N19:$CG19)</f>
        <v/>
      </c>
      <c r="DE19" s="517">
        <f>SUMIF($N$1:$CG$1,DE$1,$N19:$CG19)</f>
        <v/>
      </c>
      <c r="DF19" s="517">
        <f>SUMIF($N$1:$CG$1,DF$1,$N19:$CG19)</f>
        <v/>
      </c>
      <c r="DG19" s="517">
        <f>SUMIF($N$1:$CG$1,DG$1,$N19:$CG19)</f>
        <v/>
      </c>
      <c r="DH19" s="517">
        <f>SUMIF($N$1:$CG$1,DH$1,$N19:$CG19)</f>
        <v/>
      </c>
      <c r="DI19" s="517">
        <f>SUMIF($N$1:$CG$1,DI$1,$N19:$CG19)</f>
        <v/>
      </c>
      <c r="DJ19" s="517">
        <f>SUMIF($N$1:$CG$1,DJ$1,$N19:$CG19)</f>
        <v/>
      </c>
      <c r="DK19" s="517">
        <f>SUMIF($N$1:$CG$1,DK$1,$N19:$CG19)</f>
        <v/>
      </c>
      <c r="DL19" s="517">
        <f>SUMIF($N$1:$CG$1,DL$1,$N19:$CG19)</f>
        <v/>
      </c>
      <c r="DM19" s="517">
        <f>SUMIF($N$1:$CG$1,DM$1,$N19:$CG19)</f>
        <v/>
      </c>
      <c r="DN19" s="517">
        <f>SUMIF($N$1:$CG$1,DN$1,$N19:$CG19)</f>
        <v/>
      </c>
      <c r="DO19" s="517">
        <f>SUMIF($N$1:$CG$1,DO$1,$N19:$CG19)</f>
        <v/>
      </c>
      <c r="DP19" s="517">
        <f>SUMIF($N$1:$CG$1,DP$1,$N19:$CG19)</f>
        <v/>
      </c>
      <c r="DQ19" s="517">
        <f>SUMIF($N$1:$CG$1,DQ$1,$N19:$CG19)</f>
        <v/>
      </c>
      <c r="DR19" s="517">
        <f>SUMIF($N$1:$CG$1,DR$1,$N19:$CG19)</f>
        <v/>
      </c>
      <c r="DS19" s="517">
        <f>SUMIF($N$1:$CK$1,DS$1,$N19:$CK19)</f>
        <v/>
      </c>
    </row>
    <row r="20">
      <c r="A20" s="40" t="inlineStr">
        <is>
          <t>Total</t>
        </is>
      </c>
      <c r="B20" s="72" t="n"/>
      <c r="C20" s="72" t="n"/>
      <c r="D20" s="72" t="n"/>
      <c r="E20" s="72" t="n"/>
      <c r="F20" s="72" t="n"/>
      <c r="G20" s="72" t="n"/>
      <c r="H20" s="72" t="n"/>
      <c r="I20" s="72" t="n"/>
      <c r="J20" s="72" t="n"/>
      <c r="K20" s="72" t="n"/>
      <c r="L20" s="72" t="n"/>
      <c r="M20" s="72" t="n"/>
      <c r="N20" s="537">
        <f>FS_Q!N11</f>
        <v/>
      </c>
      <c r="O20" s="537">
        <f>FS_Q!O11</f>
        <v/>
      </c>
      <c r="P20" s="537">
        <f>FS_Q!P11</f>
        <v/>
      </c>
      <c r="Q20" s="537">
        <f>FS_Q!Q11</f>
        <v/>
      </c>
      <c r="R20" s="537">
        <f>FS_Q!R11</f>
        <v/>
      </c>
      <c r="S20" s="537">
        <f>FS_Q!S11</f>
        <v/>
      </c>
      <c r="T20" s="537">
        <f>FS_Q!T11</f>
        <v/>
      </c>
      <c r="U20" s="537">
        <f>FS_Q!U11</f>
        <v/>
      </c>
      <c r="V20" s="537">
        <f>FS_Q!V11</f>
        <v/>
      </c>
      <c r="W20" s="537">
        <f>FS_Q!W11</f>
        <v/>
      </c>
      <c r="X20" s="537">
        <f>FS_Q!X11</f>
        <v/>
      </c>
      <c r="Y20" s="537">
        <f>FS_Q!Y11</f>
        <v/>
      </c>
      <c r="Z20" s="537">
        <f>FS_Q!Z11</f>
        <v/>
      </c>
      <c r="AA20" s="537">
        <f>FS_Q!AA11</f>
        <v/>
      </c>
      <c r="AB20" s="537">
        <f>FS_Q!AB11</f>
        <v/>
      </c>
      <c r="AC20" s="537">
        <f>FS_Q!AC11</f>
        <v/>
      </c>
      <c r="AD20" s="537">
        <f>FS_Q!AD11</f>
        <v/>
      </c>
      <c r="AE20" s="537">
        <f>FS_Q!AE11</f>
        <v/>
      </c>
      <c r="AF20" s="537">
        <f>FS_Q!AF11</f>
        <v/>
      </c>
      <c r="AG20" s="537">
        <f>FS_Q!AG11</f>
        <v/>
      </c>
      <c r="AH20" s="537">
        <f>FS_Q!AH11</f>
        <v/>
      </c>
      <c r="AI20" s="537">
        <f>FS_Q!AI11</f>
        <v/>
      </c>
      <c r="AJ20" s="537">
        <f>FS_Q!AJ11</f>
        <v/>
      </c>
      <c r="AK20" s="537">
        <f>FS_Q!AK11</f>
        <v/>
      </c>
      <c r="AL20" s="537">
        <f>FS_Q!AL11</f>
        <v/>
      </c>
      <c r="AM20" s="537">
        <f>FS_Q!AM11</f>
        <v/>
      </c>
      <c r="AN20" s="537">
        <f>FS_Q!AN11</f>
        <v/>
      </c>
      <c r="AO20" s="537">
        <f>FS_Q!AO11</f>
        <v/>
      </c>
      <c r="AP20" s="537">
        <f>FS_Q!AP11</f>
        <v/>
      </c>
      <c r="AQ20" s="537">
        <f>FS_Q!AQ11</f>
        <v/>
      </c>
      <c r="AR20" s="537">
        <f>FS_Q!AR11</f>
        <v/>
      </c>
      <c r="AS20" s="537">
        <f>FS_Q!AS11</f>
        <v/>
      </c>
      <c r="AT20" s="537">
        <f>FS_Q!AT11</f>
        <v/>
      </c>
      <c r="AU20" s="537">
        <f>FS_Q!AU11</f>
        <v/>
      </c>
      <c r="AV20" s="537">
        <f>FS_Q!AV11</f>
        <v/>
      </c>
      <c r="AW20" s="537">
        <f>FS_Q!AW11</f>
        <v/>
      </c>
      <c r="AX20" s="537">
        <f>FS_Q!AX11</f>
        <v/>
      </c>
      <c r="AY20" s="537">
        <f>FS_Q!AY11</f>
        <v/>
      </c>
      <c r="AZ20" s="537">
        <f>FS_Q!AZ11</f>
        <v/>
      </c>
      <c r="BA20" s="537">
        <f>FS_Q!BA11</f>
        <v/>
      </c>
      <c r="BB20" s="537">
        <f>FS_Q!BB11</f>
        <v/>
      </c>
      <c r="BC20" s="537">
        <f>FS_Q!BC11</f>
        <v/>
      </c>
      <c r="BD20" s="537">
        <f>FS_Q!BD11</f>
        <v/>
      </c>
      <c r="BE20" s="537">
        <f>FS_Q!BE11</f>
        <v/>
      </c>
      <c r="BF20" s="537">
        <f>FS_Q!BF11</f>
        <v/>
      </c>
      <c r="BG20" s="537">
        <f>FS_Q!BG11</f>
        <v/>
      </c>
      <c r="BH20" s="537">
        <f>FS_Q!BH11</f>
        <v/>
      </c>
      <c r="BI20" s="537">
        <f>FS_Q!BI11</f>
        <v/>
      </c>
      <c r="BJ20" s="537">
        <f>FS_Q!BJ11</f>
        <v/>
      </c>
      <c r="BK20" s="537">
        <f>FS_Q!BK11</f>
        <v/>
      </c>
      <c r="BL20" s="537">
        <f>FS_Q!BL11</f>
        <v/>
      </c>
      <c r="BM20" s="537">
        <f>FS_Q!BM11</f>
        <v/>
      </c>
      <c r="BN20" s="537">
        <f>FS_Q!BN11</f>
        <v/>
      </c>
      <c r="BO20" s="537">
        <f>FS_Q!BO11</f>
        <v/>
      </c>
      <c r="BP20" s="537">
        <f>FS_Q!BP11</f>
        <v/>
      </c>
      <c r="BQ20" s="537">
        <f>FS_Q!BQ11</f>
        <v/>
      </c>
      <c r="BR20" s="537">
        <f>FS_Q!BR11</f>
        <v/>
      </c>
      <c r="BS20" s="519">
        <f>SUM(BS14:BS19)</f>
        <v/>
      </c>
      <c r="BT20" s="519">
        <f>SUM(BT14:BT19)</f>
        <v/>
      </c>
      <c r="BU20" s="519">
        <f>SUM(BU14:BU19)</f>
        <v/>
      </c>
      <c r="BV20" s="519">
        <f>SUM(BV14:BV19)</f>
        <v/>
      </c>
      <c r="BW20" s="519">
        <f>SUM(BW14:BW19)</f>
        <v/>
      </c>
      <c r="BX20" s="519">
        <f>SUM(BX14:BX19)</f>
        <v/>
      </c>
      <c r="BY20" s="519">
        <f>SUM(BY14:BY19)</f>
        <v/>
      </c>
      <c r="BZ20" s="519">
        <f>SUM(BZ14:BZ19)</f>
        <v/>
      </c>
      <c r="CA20" s="519">
        <f>SUM(CA14:CA19)</f>
        <v/>
      </c>
      <c r="CB20" s="519">
        <f>SUM(CB14:CB19)</f>
        <v/>
      </c>
      <c r="CC20" s="519">
        <f>SUM(CC14:CC19)</f>
        <v/>
      </c>
      <c r="CD20" s="519">
        <f>SUM(CD14:CD19)</f>
        <v/>
      </c>
      <c r="CE20" s="519">
        <f>SUM(CE14:CE19)</f>
        <v/>
      </c>
      <c r="CF20" s="519">
        <f>SUM(CF14:CF19)</f>
        <v/>
      </c>
      <c r="CG20" s="519">
        <f>SUM(CG14:CG19)</f>
        <v/>
      </c>
      <c r="CH20" s="519">
        <f>SUM(CH14:CH19)</f>
        <v/>
      </c>
      <c r="CI20" s="519">
        <f>SUM(CI14:CI19)</f>
        <v/>
      </c>
      <c r="CJ20" s="519">
        <f>SUM(CJ14:CJ19)</f>
        <v/>
      </c>
      <c r="CK20" s="519">
        <f>SUM(CK14:CK19)</f>
        <v/>
      </c>
      <c r="CZ20" s="442" t="n"/>
      <c r="DA20" s="519">
        <f>SUMIF($N$1:$CG$1,DA$1,$N20:$CG20)</f>
        <v/>
      </c>
      <c r="DB20" s="519">
        <f>SUMIF($N$1:$CG$1,DB$1,$N20:$CG20)</f>
        <v/>
      </c>
      <c r="DC20" s="519">
        <f>SUMIF($N$1:$CG$1,DC$1,$N20:$CG20)</f>
        <v/>
      </c>
      <c r="DD20" s="519">
        <f>SUMIF($N$1:$CG$1,DD$1,$N20:$CG20)</f>
        <v/>
      </c>
      <c r="DE20" s="519">
        <f>SUMIF($N$1:$CG$1,DE$1,$N20:$CG20)</f>
        <v/>
      </c>
      <c r="DF20" s="519">
        <f>SUMIF($N$1:$CG$1,DF$1,$N20:$CG20)</f>
        <v/>
      </c>
      <c r="DG20" s="519">
        <f>SUMIF($N$1:$CG$1,DG$1,$N20:$CG20)</f>
        <v/>
      </c>
      <c r="DH20" s="519">
        <f>SUMIF($N$1:$CG$1,DH$1,$N20:$CG20)</f>
        <v/>
      </c>
      <c r="DI20" s="519">
        <f>SUMIF($N$1:$CG$1,DI$1,$N20:$CG20)</f>
        <v/>
      </c>
      <c r="DJ20" s="519">
        <f>SUMIF($N$1:$CG$1,DJ$1,$N20:$CG20)</f>
        <v/>
      </c>
      <c r="DK20" s="519">
        <f>SUMIF($N$1:$CG$1,DK$1,$N20:$CG20)</f>
        <v/>
      </c>
      <c r="DL20" s="519">
        <f>SUMIF($N$1:$CG$1,DL$1,$N20:$CG20)</f>
        <v/>
      </c>
      <c r="DM20" s="519">
        <f>SUMIF($N$1:$CG$1,DM$1,$N20:$CG20)</f>
        <v/>
      </c>
      <c r="DN20" s="519">
        <f>SUMIF($N$1:$CG$1,DN$1,$N20:$CG20)</f>
        <v/>
      </c>
      <c r="DO20" s="519">
        <f>SUMIF($N$1:$CG$1,DO$1,$N20:$CG20)</f>
        <v/>
      </c>
      <c r="DP20" s="519">
        <f>SUMIF($N$1:$CG$1,DP$1,$N20:$CG20)</f>
        <v/>
      </c>
      <c r="DQ20" s="519">
        <f>SUMIF($N$1:$CG$1,DQ$1,$N20:$CG20)</f>
        <v/>
      </c>
      <c r="DR20" s="519">
        <f>SUMIF($N$1:$CG$1,DR$1,$N20:$CG20)</f>
        <v/>
      </c>
      <c r="DS20" s="519">
        <f>SUMIF($N$1:$CK$1,DS$1,$N20:$CK20)</f>
        <v/>
      </c>
    </row>
    <row r="21">
      <c r="B21" s="50" t="n"/>
      <c r="C21" s="50" t="n"/>
      <c r="D21" s="50" t="n"/>
      <c r="E21" s="50" t="n"/>
      <c r="F21" s="50" t="n"/>
      <c r="G21" s="50" t="n"/>
      <c r="H21" s="50" t="n"/>
      <c r="I21" s="50" t="n"/>
      <c r="J21" s="50" t="n"/>
      <c r="K21" s="50" t="n"/>
      <c r="L21" s="50" t="n"/>
      <c r="M21" s="50" t="n"/>
      <c r="AY21" s="517" t="n"/>
      <c r="AZ21" s="517" t="n"/>
      <c r="BA21" s="517" t="n"/>
      <c r="BQ21" s="517">
        <f>BQ20+BP20</f>
        <v/>
      </c>
      <c r="BR21" s="906" t="n"/>
      <c r="BU21" s="517">
        <f>BU20+BT20</f>
        <v/>
      </c>
    </row>
    <row r="22">
      <c r="A22" s="40" t="inlineStr">
        <is>
          <t>Y/Y Growth</t>
        </is>
      </c>
      <c r="AY22" s="517" t="n"/>
      <c r="AZ22" s="517" t="n"/>
      <c r="BA22" s="517" t="n"/>
      <c r="CZ22" s="26" t="n"/>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c r="DS22" s="406" t="n"/>
    </row>
    <row r="23">
      <c r="A23" s="74">
        <f>+A14</f>
        <v/>
      </c>
      <c r="B23" s="890" t="n"/>
      <c r="C23" s="890" t="n"/>
      <c r="D23" s="890" t="n"/>
      <c r="E23" s="890" t="n"/>
      <c r="F23" s="907" t="n"/>
      <c r="G23" s="907" t="n"/>
      <c r="H23" s="907" t="n"/>
      <c r="I23" s="907" t="n"/>
      <c r="J23" s="907" t="n"/>
      <c r="K23" s="907" t="n"/>
      <c r="L23" s="907" t="n"/>
      <c r="M23" s="907" t="n"/>
      <c r="N23" s="515" t="n"/>
      <c r="O23" s="515" t="n"/>
      <c r="P23" s="515" t="n"/>
      <c r="Q23" s="515" t="n"/>
      <c r="R23" s="515" t="n"/>
      <c r="S23" s="515" t="n"/>
      <c r="T23" s="515" t="n"/>
      <c r="U23" s="515" t="n"/>
      <c r="V23" s="515" t="n"/>
      <c r="W23" s="515" t="n"/>
      <c r="X23" s="515" t="n"/>
      <c r="Y23" s="515" t="n"/>
      <c r="Z23" s="515" t="n"/>
      <c r="AA23" s="515" t="n"/>
      <c r="AB23" s="515" t="n"/>
      <c r="AC23" s="515" t="n"/>
      <c r="AD23" s="908">
        <f>AD14/Z14-1</f>
        <v/>
      </c>
      <c r="AE23" s="908">
        <f>AE14/AA14-1</f>
        <v/>
      </c>
      <c r="AF23" s="908">
        <f>AF14/AB14-1</f>
        <v/>
      </c>
      <c r="AG23" s="908">
        <f>AG14/AC14-1</f>
        <v/>
      </c>
      <c r="AH23" s="908">
        <f>AH14/AD14-1</f>
        <v/>
      </c>
      <c r="AI23" s="908">
        <f>AI14/AE14-1</f>
        <v/>
      </c>
      <c r="AJ23" s="908">
        <f>AJ14/AF14-1</f>
        <v/>
      </c>
      <c r="AK23" s="908">
        <f>AK14/AG14-1</f>
        <v/>
      </c>
      <c r="AL23" s="908">
        <f>AL14/AH14-1</f>
        <v/>
      </c>
      <c r="AM23" s="908">
        <f>AM14/AI14-1</f>
        <v/>
      </c>
      <c r="AN23" s="908">
        <f>AN14/AJ14-1</f>
        <v/>
      </c>
      <c r="AO23" s="908">
        <f>AO14/AK14-1</f>
        <v/>
      </c>
      <c r="AP23" s="908">
        <f>AP14/AL14-1</f>
        <v/>
      </c>
      <c r="AQ23" s="908">
        <f>AQ14/AM14-1</f>
        <v/>
      </c>
      <c r="AR23" s="908">
        <f>AR14/AN14-1</f>
        <v/>
      </c>
      <c r="AS23" s="908">
        <f>AS14/AO14-1</f>
        <v/>
      </c>
      <c r="AT23" s="908">
        <f>AT14/AP14-1</f>
        <v/>
      </c>
      <c r="AU23" s="908">
        <f>AU14/AQ14-1</f>
        <v/>
      </c>
      <c r="AV23" s="908">
        <f>AV14/AR14-1</f>
        <v/>
      </c>
      <c r="AW23" s="908">
        <f>AW14/AS14-1</f>
        <v/>
      </c>
      <c r="AX23" s="908">
        <f>AX14/AT14-1</f>
        <v/>
      </c>
      <c r="AY23" s="908">
        <f>AY14/AU14-1</f>
        <v/>
      </c>
      <c r="AZ23" s="908">
        <f>AZ14/AV14-1</f>
        <v/>
      </c>
      <c r="BA23" s="908">
        <f>BA14/AW14-1</f>
        <v/>
      </c>
      <c r="BB23" s="908">
        <f>BB14/AX14-1</f>
        <v/>
      </c>
      <c r="BC23" s="908">
        <f>BC14/AY14-1</f>
        <v/>
      </c>
      <c r="BD23" s="908">
        <f>BD14/AZ14-1</f>
        <v/>
      </c>
      <c r="BE23" s="908">
        <f>BE14/BA14-1</f>
        <v/>
      </c>
      <c r="BF23" s="908">
        <f>BF14/BB14-1</f>
        <v/>
      </c>
      <c r="BG23" s="908">
        <f>BG14/BC14-1</f>
        <v/>
      </c>
      <c r="BH23" s="908">
        <f>BH14/BD14-1</f>
        <v/>
      </c>
      <c r="BI23" s="908">
        <f>BI14/BE14-1</f>
        <v/>
      </c>
      <c r="BJ23" s="908">
        <f>BJ14/BF14-1</f>
        <v/>
      </c>
      <c r="BK23" s="908">
        <f>BK14/BG14-1</f>
        <v/>
      </c>
      <c r="BL23" s="908">
        <f>BL14/BH14-1</f>
        <v/>
      </c>
      <c r="BM23" s="908">
        <f>BM14/BI14-1</f>
        <v/>
      </c>
      <c r="BN23" s="908">
        <f>BN14/BJ14-1</f>
        <v/>
      </c>
      <c r="BO23" s="908">
        <f>BO14/BK14-1</f>
        <v/>
      </c>
      <c r="BP23" s="908">
        <f>BP14/BL14-1</f>
        <v/>
      </c>
      <c r="BQ23" s="908">
        <f>BQ14/BM14-1</f>
        <v/>
      </c>
      <c r="BR23" s="908">
        <f>BR14/BN14-1</f>
        <v/>
      </c>
      <c r="BS23" s="909" t="n">
        <v>-0.35</v>
      </c>
      <c r="BT23" s="909" t="n">
        <v>-0.05</v>
      </c>
      <c r="BU23" s="909" t="n">
        <v>0.1</v>
      </c>
      <c r="BV23" s="909" t="n">
        <v>0.15</v>
      </c>
      <c r="BW23" s="909" t="n">
        <v>0.2</v>
      </c>
      <c r="BX23" s="909" t="n">
        <v>0.2</v>
      </c>
      <c r="BY23" s="909" t="n">
        <v>0.15</v>
      </c>
      <c r="BZ23" s="909" t="n">
        <v>0</v>
      </c>
      <c r="CA23" s="909" t="n">
        <v>-0.1</v>
      </c>
      <c r="CB23" s="909" t="n">
        <v>-0.1</v>
      </c>
      <c r="CC23" s="909" t="n">
        <v>0</v>
      </c>
      <c r="CD23" s="909" t="n">
        <v>0.05</v>
      </c>
      <c r="CE23" s="909" t="n">
        <v>0.07000000000000001</v>
      </c>
      <c r="CF23" s="909" t="n">
        <v>0.18</v>
      </c>
      <c r="CG23" s="909" t="n">
        <v>0.18</v>
      </c>
      <c r="CH23" s="909" t="n">
        <v>0.18</v>
      </c>
      <c r="CI23" s="909" t="n">
        <v>0.18</v>
      </c>
      <c r="CJ23" s="909" t="n">
        <v>0.15</v>
      </c>
      <c r="CK23" s="909" t="n">
        <v>0.15</v>
      </c>
      <c r="CZ23" s="441" t="n"/>
      <c r="DA23" s="406" t="n"/>
      <c r="DB23" s="406" t="n"/>
      <c r="DC23" s="406" t="n"/>
      <c r="DD23" s="406" t="n"/>
      <c r="DE23" s="905">
        <f>DE14/DD14-1</f>
        <v/>
      </c>
      <c r="DF23" s="905">
        <f>DF14/DE14-1</f>
        <v/>
      </c>
      <c r="DG23" s="905">
        <f>DG14/DF14-1</f>
        <v/>
      </c>
      <c r="DH23" s="905">
        <f>DH14/DG14-1</f>
        <v/>
      </c>
      <c r="DI23" s="905">
        <f>DI14/DH14-1</f>
        <v/>
      </c>
      <c r="DJ23" s="905">
        <f>DJ14/DI14-1</f>
        <v/>
      </c>
      <c r="DK23" s="905">
        <f>DK14/DJ14-1</f>
        <v/>
      </c>
      <c r="DL23" s="905">
        <f>DL14/DK14-1</f>
        <v/>
      </c>
      <c r="DM23" s="905">
        <f>DM14/DL14-1</f>
        <v/>
      </c>
      <c r="DN23" s="905">
        <f>DN14/DM14-1</f>
        <v/>
      </c>
      <c r="DO23" s="905">
        <f>DO14/DN14-1</f>
        <v/>
      </c>
      <c r="DP23" s="905">
        <f>DP14/DO14-1</f>
        <v/>
      </c>
      <c r="DQ23" s="905">
        <f>DQ14/DP14-1</f>
        <v/>
      </c>
      <c r="DR23" s="905">
        <f>DR14/DQ14-1</f>
        <v/>
      </c>
      <c r="DS23" s="905">
        <f>DS14/DR14-1</f>
        <v/>
      </c>
    </row>
    <row r="24">
      <c r="A24" s="74">
        <f>+A15</f>
        <v/>
      </c>
      <c r="B24" s="890" t="n"/>
      <c r="C24" s="890" t="n"/>
      <c r="D24" s="890" t="n"/>
      <c r="E24" s="890" t="n"/>
      <c r="F24" s="907" t="n"/>
      <c r="G24" s="907" t="n"/>
      <c r="H24" s="907" t="n"/>
      <c r="I24" s="907" t="n"/>
      <c r="J24" s="907" t="n"/>
      <c r="K24" s="907" t="n"/>
      <c r="L24" s="907" t="n"/>
      <c r="M24" s="907" t="n"/>
      <c r="N24" s="515" t="n"/>
      <c r="O24" s="515" t="n"/>
      <c r="P24" s="515" t="n"/>
      <c r="Q24" s="515" t="n"/>
      <c r="R24" s="515" t="n"/>
      <c r="S24" s="515" t="n"/>
      <c r="T24" s="515" t="n"/>
      <c r="U24" s="515" t="n"/>
      <c r="V24" s="515" t="n"/>
      <c r="W24" s="515" t="n"/>
      <c r="X24" s="515" t="n"/>
      <c r="Y24" s="515" t="n"/>
      <c r="Z24" s="515" t="n"/>
      <c r="AA24" s="515" t="n"/>
      <c r="AB24" s="515" t="n"/>
      <c r="AC24" s="515" t="n"/>
      <c r="AD24" s="908">
        <f>AD15/Z15-1</f>
        <v/>
      </c>
      <c r="AE24" s="908">
        <f>AE15/AA15-1</f>
        <v/>
      </c>
      <c r="AF24" s="908">
        <f>AF15/AB15-1</f>
        <v/>
      </c>
      <c r="AG24" s="908">
        <f>AG15/AC15-1</f>
        <v/>
      </c>
      <c r="AH24" s="908">
        <f>AH15/AD15-1</f>
        <v/>
      </c>
      <c r="AI24" s="908">
        <f>AI15/AE15-1</f>
        <v/>
      </c>
      <c r="AJ24" s="908">
        <f>AJ15/AF15-1</f>
        <v/>
      </c>
      <c r="AK24" s="908">
        <f>AK15/AG15-1</f>
        <v/>
      </c>
      <c r="AL24" s="908">
        <f>AL15/AH15-1</f>
        <v/>
      </c>
      <c r="AM24" s="908">
        <f>AM15/AI15-1</f>
        <v/>
      </c>
      <c r="AN24" s="908">
        <f>AN15/AJ15-1</f>
        <v/>
      </c>
      <c r="AO24" s="908">
        <f>AO15/AK15-1</f>
        <v/>
      </c>
      <c r="AP24" s="908">
        <f>AP15/AL15-1</f>
        <v/>
      </c>
      <c r="AQ24" s="908">
        <f>AQ15/AM15-1</f>
        <v/>
      </c>
      <c r="AR24" s="908">
        <f>AR15/AN15-1</f>
        <v/>
      </c>
      <c r="AS24" s="908">
        <f>AS15/AO15-1</f>
        <v/>
      </c>
      <c r="AT24" s="908">
        <f>AT15/AP15-1</f>
        <v/>
      </c>
      <c r="AU24" s="908">
        <f>AU15/AQ15-1</f>
        <v/>
      </c>
      <c r="AV24" s="908">
        <f>AV15/AR15-1</f>
        <v/>
      </c>
      <c r="AW24" s="908">
        <f>AW15/AS15-1</f>
        <v/>
      </c>
      <c r="AX24" s="908">
        <f>AX15/AT15-1</f>
        <v/>
      </c>
      <c r="AY24" s="908">
        <f>AY15/AU15-1</f>
        <v/>
      </c>
      <c r="AZ24" s="908">
        <f>AZ15/AV15-1</f>
        <v/>
      </c>
      <c r="BA24" s="908">
        <f>BA15/AW15-1</f>
        <v/>
      </c>
      <c r="BB24" s="908">
        <f>BB15/AX15-1</f>
        <v/>
      </c>
      <c r="BC24" s="908">
        <f>BC15/AY15-1</f>
        <v/>
      </c>
      <c r="BD24" s="908">
        <f>BD15/AZ15-1</f>
        <v/>
      </c>
      <c r="BE24" s="908">
        <f>BE15/BA15-1</f>
        <v/>
      </c>
      <c r="BF24" s="908">
        <f>BF15/BB15-1</f>
        <v/>
      </c>
      <c r="BG24" s="908">
        <f>BG15/BC15-1</f>
        <v/>
      </c>
      <c r="BH24" s="908">
        <f>BH15/BD15-1</f>
        <v/>
      </c>
      <c r="BI24" s="908">
        <f>BI15/BE15-1</f>
        <v/>
      </c>
      <c r="BJ24" s="908">
        <f>BJ15/BF15-1</f>
        <v/>
      </c>
      <c r="BK24" s="908">
        <f>BK15/BG15-1</f>
        <v/>
      </c>
      <c r="BL24" s="908">
        <f>BL15/BH15-1</f>
        <v/>
      </c>
      <c r="BM24" s="908">
        <f>BM15/BI15-1</f>
        <v/>
      </c>
      <c r="BN24" s="908">
        <f>BN15/BJ15-1</f>
        <v/>
      </c>
      <c r="BO24" s="908">
        <f>BO15/BK15-1</f>
        <v/>
      </c>
      <c r="BP24" s="908">
        <f>BP15/BL15-1</f>
        <v/>
      </c>
      <c r="BQ24" s="908">
        <f>BQ15/BM15-1</f>
        <v/>
      </c>
      <c r="BR24" s="908">
        <f>BR15/BN15-1</f>
        <v/>
      </c>
      <c r="BS24" s="909" t="n">
        <v>0.05</v>
      </c>
      <c r="BT24" s="909" t="n">
        <v>0.15</v>
      </c>
      <c r="BU24" s="909" t="n">
        <v>0.15</v>
      </c>
      <c r="BV24" s="909" t="n">
        <v>0.15</v>
      </c>
      <c r="BW24" s="909" t="n">
        <v>0.15</v>
      </c>
      <c r="BX24" s="909">
        <f>BW24</f>
        <v/>
      </c>
      <c r="BY24" s="909" t="n">
        <v>0.18</v>
      </c>
      <c r="BZ24" s="909" t="n">
        <v>0.05</v>
      </c>
      <c r="CA24" s="909" t="n">
        <v>0.02</v>
      </c>
      <c r="CB24" s="909" t="n">
        <v>-0.03</v>
      </c>
      <c r="CC24" s="909" t="n">
        <v>0</v>
      </c>
      <c r="CD24" s="909" t="n">
        <v>0.05</v>
      </c>
      <c r="CE24" s="909" t="n">
        <v>0.05</v>
      </c>
      <c r="CF24" s="909" t="n">
        <v>0.15</v>
      </c>
      <c r="CG24" s="909" t="n">
        <v>0.15</v>
      </c>
      <c r="CH24" s="909" t="n">
        <v>0.15</v>
      </c>
      <c r="CI24" s="909" t="n">
        <v>0.15</v>
      </c>
      <c r="CJ24" s="909" t="n">
        <v>0.12</v>
      </c>
      <c r="CK24" s="909" t="n">
        <v>0.12</v>
      </c>
      <c r="CZ24" s="441" t="n"/>
      <c r="DA24" s="406" t="n"/>
      <c r="DB24" s="406" t="n"/>
      <c r="DC24" s="406" t="n"/>
      <c r="DD24" s="406" t="n"/>
      <c r="DE24" s="905">
        <f>DE15/DD15-1</f>
        <v/>
      </c>
      <c r="DF24" s="905">
        <f>DF15/DE15-1</f>
        <v/>
      </c>
      <c r="DG24" s="905">
        <f>DG15/DF15-1</f>
        <v/>
      </c>
      <c r="DH24" s="905">
        <f>DH15/DG15-1</f>
        <v/>
      </c>
      <c r="DI24" s="905">
        <f>DI15/DH15-1</f>
        <v/>
      </c>
      <c r="DJ24" s="905">
        <f>DJ15/DI15-1</f>
        <v/>
      </c>
      <c r="DK24" s="905">
        <f>DK15/DJ15-1</f>
        <v/>
      </c>
      <c r="DL24" s="905">
        <f>DL15/DK15-1</f>
        <v/>
      </c>
      <c r="DM24" s="905">
        <f>DM15/DL15-1</f>
        <v/>
      </c>
      <c r="DN24" s="905">
        <f>DN15/DM15-1</f>
        <v/>
      </c>
      <c r="DO24" s="905">
        <f>DO15/DN15-1</f>
        <v/>
      </c>
      <c r="DP24" s="905">
        <f>DP15/DO15-1</f>
        <v/>
      </c>
      <c r="DQ24" s="905">
        <f>DQ15/DP15-1</f>
        <v/>
      </c>
      <c r="DR24" s="905">
        <f>DR15/DQ15-1</f>
        <v/>
      </c>
      <c r="DS24" s="905">
        <f>DS15/DR15-1</f>
        <v/>
      </c>
    </row>
    <row r="25">
      <c r="A25" s="74">
        <f>+A16</f>
        <v/>
      </c>
      <c r="B25" s="890" t="n"/>
      <c r="C25" s="890" t="n"/>
      <c r="D25" s="890" t="n"/>
      <c r="E25" s="890" t="n"/>
      <c r="F25" s="907" t="n"/>
      <c r="G25" s="907" t="n"/>
      <c r="H25" s="907" t="n"/>
      <c r="I25" s="907" t="n"/>
      <c r="J25" s="907" t="n"/>
      <c r="K25" s="907" t="n"/>
      <c r="L25" s="907" t="n"/>
      <c r="M25" s="907" t="n"/>
      <c r="N25" s="515" t="n"/>
      <c r="O25" s="515" t="n"/>
      <c r="P25" s="515" t="n"/>
      <c r="Q25" s="515" t="n"/>
      <c r="R25" s="515" t="n"/>
      <c r="S25" s="515" t="n"/>
      <c r="T25" s="515" t="n"/>
      <c r="U25" s="515" t="n"/>
      <c r="V25" s="515" t="n"/>
      <c r="W25" s="515" t="n"/>
      <c r="X25" s="515" t="n"/>
      <c r="Y25" s="515" t="n"/>
      <c r="Z25" s="515" t="n"/>
      <c r="AA25" s="515" t="n"/>
      <c r="AB25" s="515" t="n"/>
      <c r="AC25" s="515" t="n"/>
      <c r="AD25" s="908">
        <f>AD16/Z16-1</f>
        <v/>
      </c>
      <c r="AE25" s="908">
        <f>AE16/AA16-1</f>
        <v/>
      </c>
      <c r="AF25" s="908">
        <f>AF16/AB16-1</f>
        <v/>
      </c>
      <c r="AG25" s="908">
        <f>AG16/AC16-1</f>
        <v/>
      </c>
      <c r="AH25" s="908">
        <f>AH16/AD16-1</f>
        <v/>
      </c>
      <c r="AI25" s="908">
        <f>AI16/AE16-1</f>
        <v/>
      </c>
      <c r="AJ25" s="908">
        <f>AJ16/AF16-1</f>
        <v/>
      </c>
      <c r="AK25" s="908">
        <f>AK16/AG16-1</f>
        <v/>
      </c>
      <c r="AL25" s="908">
        <f>AL16/AH16-1</f>
        <v/>
      </c>
      <c r="AM25" s="908">
        <f>AM16/AI16-1</f>
        <v/>
      </c>
      <c r="AN25" s="908">
        <f>AN16/AJ16-1</f>
        <v/>
      </c>
      <c r="AO25" s="908">
        <f>AO16/AK16-1</f>
        <v/>
      </c>
      <c r="AP25" s="908">
        <f>AP16/AL16-1</f>
        <v/>
      </c>
      <c r="AQ25" s="908">
        <f>AQ16/AM16-1</f>
        <v/>
      </c>
      <c r="AR25" s="908">
        <f>AR16/AN16-1</f>
        <v/>
      </c>
      <c r="AS25" s="908">
        <f>AS16/AO16-1</f>
        <v/>
      </c>
      <c r="AT25" s="908">
        <f>AT16/AP16-1</f>
        <v/>
      </c>
      <c r="AU25" s="908">
        <f>AU16/AQ16-1</f>
        <v/>
      </c>
      <c r="AV25" s="908">
        <f>AV16/AR16-1</f>
        <v/>
      </c>
      <c r="AW25" s="908">
        <f>AW16/AS16-1</f>
        <v/>
      </c>
      <c r="AX25" s="908">
        <f>AX16/AT16-1</f>
        <v/>
      </c>
      <c r="AY25" s="908">
        <f>AY16/AU16-1</f>
        <v/>
      </c>
      <c r="AZ25" s="908">
        <f>AZ16/AV16-1</f>
        <v/>
      </c>
      <c r="BA25" s="908">
        <f>BA16/AW16-1</f>
        <v/>
      </c>
      <c r="BB25" s="908">
        <f>BB16/AX16-1</f>
        <v/>
      </c>
      <c r="BC25" s="908">
        <f>BC16/AY16-1</f>
        <v/>
      </c>
      <c r="BD25" s="908">
        <f>BD16/AZ16-1</f>
        <v/>
      </c>
      <c r="BE25" s="908">
        <f>BE16/BA16-1</f>
        <v/>
      </c>
      <c r="BF25" s="908">
        <f>BF16/BB16-1</f>
        <v/>
      </c>
      <c r="BG25" s="908">
        <f>BG16/BC16-1</f>
        <v/>
      </c>
      <c r="BH25" s="908">
        <f>BH16/BD16-1</f>
        <v/>
      </c>
      <c r="BI25" s="908">
        <f>BI16/BE16-1</f>
        <v/>
      </c>
      <c r="BJ25" s="908">
        <f>BJ16/BF16-1</f>
        <v/>
      </c>
      <c r="BK25" s="908">
        <f>BK16/BG16-1</f>
        <v/>
      </c>
      <c r="BL25" s="908">
        <f>BL16/BH16-1</f>
        <v/>
      </c>
      <c r="BM25" s="908">
        <f>BM16/BI16-1</f>
        <v/>
      </c>
      <c r="BN25" s="908">
        <f>BN16/BJ16-1</f>
        <v/>
      </c>
      <c r="BO25" s="908">
        <f>BO16/BK16-1</f>
        <v/>
      </c>
      <c r="BP25" s="908">
        <f>BP16/BL16-1</f>
        <v/>
      </c>
      <c r="BQ25" s="908">
        <f>BQ16/BM16-1</f>
        <v/>
      </c>
      <c r="BR25" s="908">
        <f>BR16/BN16-1</f>
        <v/>
      </c>
      <c r="BS25" s="909" t="n">
        <v>-0.38</v>
      </c>
      <c r="BT25" s="909" t="n">
        <v>-0.1</v>
      </c>
      <c r="BU25" s="909" t="n">
        <v>-0.05</v>
      </c>
      <c r="BV25" s="909" t="n">
        <v>0.1</v>
      </c>
      <c r="BW25" s="909" t="n">
        <v>0.12</v>
      </c>
      <c r="BX25" s="909" t="n">
        <v>0.12</v>
      </c>
      <c r="BY25" s="909" t="n">
        <v>0.15</v>
      </c>
      <c r="BZ25" s="909" t="n">
        <v>0.03</v>
      </c>
      <c r="CA25" s="909" t="n">
        <v>0.02</v>
      </c>
      <c r="CB25" s="909" t="n">
        <v>-0.03</v>
      </c>
      <c r="CC25" s="909" t="n">
        <v>0</v>
      </c>
      <c r="CD25" s="909" t="n">
        <v>0.03</v>
      </c>
      <c r="CE25" s="909" t="n">
        <v>0.03</v>
      </c>
      <c r="CF25" s="909" t="n">
        <v>0.1</v>
      </c>
      <c r="CG25" s="909" t="n">
        <v>0.1</v>
      </c>
      <c r="CH25" s="909" t="n">
        <v>0.15</v>
      </c>
      <c r="CI25" s="909" t="n">
        <v>0.15</v>
      </c>
      <c r="CJ25" s="909">
        <f>CI25</f>
        <v/>
      </c>
      <c r="CK25" s="909" t="n">
        <v>0.15</v>
      </c>
      <c r="CZ25" s="441" t="n"/>
      <c r="DA25" s="406" t="n"/>
      <c r="DB25" s="406" t="n"/>
      <c r="DC25" s="406" t="n"/>
      <c r="DD25" s="406" t="n"/>
      <c r="DE25" s="905">
        <f>DE16/DD16-1</f>
        <v/>
      </c>
      <c r="DF25" s="905">
        <f>DF16/DE16-1</f>
        <v/>
      </c>
      <c r="DG25" s="905">
        <f>DG16/DF16-1</f>
        <v/>
      </c>
      <c r="DH25" s="905">
        <f>DH16/DG16-1</f>
        <v/>
      </c>
      <c r="DI25" s="905">
        <f>DI16/DH16-1</f>
        <v/>
      </c>
      <c r="DJ25" s="905">
        <f>DJ16/DI16-1</f>
        <v/>
      </c>
      <c r="DK25" s="905">
        <f>DK16/DJ16-1</f>
        <v/>
      </c>
      <c r="DL25" s="905">
        <f>DL16/DK16-1</f>
        <v/>
      </c>
      <c r="DM25" s="905">
        <f>DM16/DL16-1</f>
        <v/>
      </c>
      <c r="DN25" s="905">
        <f>DN16/DM16-1</f>
        <v/>
      </c>
      <c r="DO25" s="905">
        <f>DO16/DN16-1</f>
        <v/>
      </c>
      <c r="DP25" s="905">
        <f>DP16/DO16-1</f>
        <v/>
      </c>
      <c r="DQ25" s="905">
        <f>DQ16/DP16-1</f>
        <v/>
      </c>
      <c r="DR25" s="905">
        <f>DR16/DQ16-1</f>
        <v/>
      </c>
      <c r="DS25" s="905">
        <f>DS16/DR16-1</f>
        <v/>
      </c>
    </row>
    <row r="26">
      <c r="A26" s="74">
        <f>+A17</f>
        <v/>
      </c>
      <c r="B26" s="890" t="n"/>
      <c r="C26" s="890" t="n"/>
      <c r="D26" s="890" t="n"/>
      <c r="E26" s="890" t="n"/>
      <c r="F26" s="907" t="n"/>
      <c r="G26" s="907" t="n"/>
      <c r="H26" s="907" t="n"/>
      <c r="I26" s="907" t="n"/>
      <c r="J26" s="907" t="n"/>
      <c r="K26" s="907" t="n"/>
      <c r="L26" s="907" t="n"/>
      <c r="M26" s="907" t="n"/>
      <c r="N26" s="515" t="n"/>
      <c r="O26" s="515" t="n"/>
      <c r="P26" s="515" t="n"/>
      <c r="Q26" s="515" t="n"/>
      <c r="R26" s="515" t="n"/>
      <c r="S26" s="515" t="n"/>
      <c r="T26" s="515" t="n"/>
      <c r="U26" s="515" t="n"/>
      <c r="V26" s="515" t="n"/>
      <c r="W26" s="515" t="n"/>
      <c r="X26" s="515" t="n"/>
      <c r="Y26" s="515" t="n"/>
      <c r="Z26" s="515" t="n"/>
      <c r="AA26" s="515" t="n"/>
      <c r="AB26" s="515" t="n"/>
      <c r="AC26" s="515" t="n"/>
      <c r="AD26" s="908">
        <f>AD17/Z17-1</f>
        <v/>
      </c>
      <c r="AE26" s="908">
        <f>AE17/AA17-1</f>
        <v/>
      </c>
      <c r="AF26" s="908">
        <f>AF17/AB17-1</f>
        <v/>
      </c>
      <c r="AG26" s="908">
        <f>AG17/AC17-1</f>
        <v/>
      </c>
      <c r="AH26" s="908">
        <f>AH17/AD17-1</f>
        <v/>
      </c>
      <c r="AI26" s="908">
        <f>AI17/AE17-1</f>
        <v/>
      </c>
      <c r="AJ26" s="908">
        <f>AJ17/AF17-1</f>
        <v/>
      </c>
      <c r="AK26" s="908">
        <f>AK17/AG17-1</f>
        <v/>
      </c>
      <c r="AL26" s="908">
        <f>AL17/AH17-1</f>
        <v/>
      </c>
      <c r="AM26" s="908">
        <f>AM17/AI17-1</f>
        <v/>
      </c>
      <c r="AN26" s="908">
        <f>AN17/AJ17-1</f>
        <v/>
      </c>
      <c r="AO26" s="908">
        <f>AO17/AK17-1</f>
        <v/>
      </c>
      <c r="AP26" s="908">
        <f>AP17/AL17-1</f>
        <v/>
      </c>
      <c r="AQ26" s="908">
        <f>AQ17/AM17-1</f>
        <v/>
      </c>
      <c r="AR26" s="908">
        <f>AR17/AN17-1</f>
        <v/>
      </c>
      <c r="AS26" s="908">
        <f>AS17/AO17-1</f>
        <v/>
      </c>
      <c r="AT26" s="908">
        <f>AT17/AP17-1</f>
        <v/>
      </c>
      <c r="AU26" s="908">
        <f>AU17/AQ17-1</f>
        <v/>
      </c>
      <c r="AV26" s="908">
        <f>AV17/AR17-1</f>
        <v/>
      </c>
      <c r="AW26" s="908">
        <f>AW17/AS17-1</f>
        <v/>
      </c>
      <c r="AX26" s="908">
        <f>AX17/AT17-1</f>
        <v/>
      </c>
      <c r="AY26" s="908">
        <f>AY17/AU17-1</f>
        <v/>
      </c>
      <c r="AZ26" s="908">
        <f>AZ17/AV17-1</f>
        <v/>
      </c>
      <c r="BA26" s="908">
        <f>BA17/AW17-1</f>
        <v/>
      </c>
      <c r="BB26" s="908">
        <f>BB17/AX17-1</f>
        <v/>
      </c>
      <c r="BC26" s="908">
        <f>BC17/AY17-1</f>
        <v/>
      </c>
      <c r="BD26" s="908">
        <f>BD17/AZ17-1</f>
        <v/>
      </c>
      <c r="BE26" s="908">
        <f>BE17/BA17-1</f>
        <v/>
      </c>
      <c r="BF26" s="908">
        <f>BF17/BB17-1</f>
        <v/>
      </c>
      <c r="BG26" s="908">
        <f>BG17/BC17-1</f>
        <v/>
      </c>
      <c r="BH26" s="908">
        <f>BH17/BD17-1</f>
        <v/>
      </c>
      <c r="BI26" s="908">
        <f>BI17/BE17-1</f>
        <v/>
      </c>
      <c r="BJ26" s="908">
        <f>BJ17/BF17-1</f>
        <v/>
      </c>
      <c r="BK26" s="908">
        <f>BK17/BG17-1</f>
        <v/>
      </c>
      <c r="BL26" s="908">
        <f>BL17/BH17-1</f>
        <v/>
      </c>
      <c r="BM26" s="908">
        <f>BM17/BI17-1</f>
        <v/>
      </c>
      <c r="BN26" s="908">
        <f>BN17/BJ17-1</f>
        <v/>
      </c>
      <c r="BO26" s="908">
        <f>BO17/BK17-1</f>
        <v/>
      </c>
      <c r="BP26" s="908">
        <f>BP17/BL17-1</f>
        <v/>
      </c>
      <c r="BQ26" s="908">
        <f>BQ17/BM17-1</f>
        <v/>
      </c>
      <c r="BR26" s="908">
        <f>BR17/BN17-1</f>
        <v/>
      </c>
      <c r="BS26" s="909" t="n">
        <v>0.15</v>
      </c>
      <c r="BT26" s="909" t="n">
        <v>0.15</v>
      </c>
      <c r="BU26" s="909" t="n">
        <v>0.15</v>
      </c>
      <c r="BV26" s="909" t="n">
        <v>0.15</v>
      </c>
      <c r="BW26" s="909" t="n">
        <v>0.15</v>
      </c>
      <c r="BX26" s="909" t="n">
        <v>0.18</v>
      </c>
      <c r="BY26" s="909" t="n">
        <v>0.18</v>
      </c>
      <c r="BZ26" s="909" t="n">
        <v>0.07000000000000001</v>
      </c>
      <c r="CA26" s="909" t="n">
        <v>0.05</v>
      </c>
      <c r="CB26" s="909" t="n">
        <v>0</v>
      </c>
      <c r="CC26" s="909" t="n">
        <v>0.03</v>
      </c>
      <c r="CD26" s="909" t="n">
        <v>0.07000000000000001</v>
      </c>
      <c r="CE26" s="909" t="n">
        <v>0.07000000000000001</v>
      </c>
      <c r="CF26" s="909" t="n">
        <v>0.17</v>
      </c>
      <c r="CG26" s="909" t="n">
        <v>0.15</v>
      </c>
      <c r="CH26" s="909" t="n">
        <v>0.15</v>
      </c>
      <c r="CI26" s="909" t="n">
        <v>0.15</v>
      </c>
      <c r="CJ26" s="909" t="n">
        <v>0.12</v>
      </c>
      <c r="CK26" s="909" t="n">
        <v>0.12</v>
      </c>
      <c r="CZ26" s="333" t="n"/>
      <c r="DA26" s="406" t="n"/>
      <c r="DB26" s="406" t="n"/>
      <c r="DC26" s="406" t="n"/>
      <c r="DD26" s="406" t="n"/>
      <c r="DE26" s="905">
        <f>DE17/DD17-1</f>
        <v/>
      </c>
      <c r="DF26" s="905">
        <f>DF17/DE17-1</f>
        <v/>
      </c>
      <c r="DG26" s="905">
        <f>DG17/DF17-1</f>
        <v/>
      </c>
      <c r="DH26" s="905">
        <f>DH17/DG17-1</f>
        <v/>
      </c>
      <c r="DI26" s="905">
        <f>DI17/DH17-1</f>
        <v/>
      </c>
      <c r="DJ26" s="905">
        <f>DJ17/DI17-1</f>
        <v/>
      </c>
      <c r="DK26" s="905">
        <f>DK17/DJ17-1</f>
        <v/>
      </c>
      <c r="DL26" s="905">
        <f>DL17/DK17-1</f>
        <v/>
      </c>
      <c r="DM26" s="905">
        <f>DM17/DL17-1</f>
        <v/>
      </c>
      <c r="DN26" s="905">
        <f>DN17/DM17-1</f>
        <v/>
      </c>
      <c r="DO26" s="905">
        <f>DO17/DN17-1</f>
        <v/>
      </c>
      <c r="DP26" s="905">
        <f>DP17/DO17-1</f>
        <v/>
      </c>
      <c r="DQ26" s="905">
        <f>DQ17/DP17-1</f>
        <v/>
      </c>
      <c r="DR26" s="905">
        <f>DR17/DQ17-1</f>
        <v/>
      </c>
      <c r="DS26" s="905">
        <f>DS17/DR17-1</f>
        <v/>
      </c>
    </row>
    <row r="27">
      <c r="A27" s="74">
        <f>+A18</f>
        <v/>
      </c>
      <c r="B27" s="890" t="n"/>
      <c r="C27" s="890" t="n"/>
      <c r="D27" s="890" t="n"/>
      <c r="E27" s="890" t="n"/>
      <c r="F27" s="907" t="n"/>
      <c r="G27" s="907" t="n"/>
      <c r="H27" s="907" t="n"/>
      <c r="I27" s="907" t="n"/>
      <c r="J27" s="907" t="n"/>
      <c r="K27" s="907" t="n"/>
      <c r="L27" s="907" t="n"/>
      <c r="M27" s="907" t="n"/>
      <c r="N27" s="515" t="n"/>
      <c r="O27" s="515" t="n"/>
      <c r="P27" s="515" t="n"/>
      <c r="Q27" s="515" t="n"/>
      <c r="R27" s="515" t="n"/>
      <c r="S27" s="515" t="n"/>
      <c r="T27" s="515" t="n"/>
      <c r="U27" s="515" t="n"/>
      <c r="V27" s="515" t="n"/>
      <c r="W27" s="515" t="n"/>
      <c r="X27" s="515" t="n"/>
      <c r="Y27" s="515" t="n"/>
      <c r="Z27" s="515" t="n"/>
      <c r="AA27" s="515" t="n"/>
      <c r="AB27" s="515" t="n"/>
      <c r="AC27" s="515" t="n"/>
      <c r="AD27" s="908">
        <f>AD18/Z18-1</f>
        <v/>
      </c>
      <c r="AE27" s="908">
        <f>AE18/AA18-1</f>
        <v/>
      </c>
      <c r="AF27" s="908">
        <f>AF18/AB18-1</f>
        <v/>
      </c>
      <c r="AG27" s="908">
        <f>AG18/AC18-1</f>
        <v/>
      </c>
      <c r="AH27" s="908">
        <f>AH18/AD18-1</f>
        <v/>
      </c>
      <c r="AI27" s="908">
        <f>AI18/AE18-1</f>
        <v/>
      </c>
      <c r="AJ27" s="908">
        <f>AJ18/AF18-1</f>
        <v/>
      </c>
      <c r="AK27" s="908">
        <f>AK18/AG18-1</f>
        <v/>
      </c>
      <c r="AL27" s="908">
        <f>AL18/AH18-1</f>
        <v/>
      </c>
      <c r="AM27" s="908">
        <f>AM18/AI18-1</f>
        <v/>
      </c>
      <c r="AN27" s="908">
        <f>AN18/AJ18-1</f>
        <v/>
      </c>
      <c r="AO27" s="908">
        <f>AO18/AK18-1</f>
        <v/>
      </c>
      <c r="AP27" s="908">
        <f>AP18/AL18-1</f>
        <v/>
      </c>
      <c r="AQ27" s="908">
        <f>AQ18/AM18-1</f>
        <v/>
      </c>
      <c r="AR27" s="908">
        <f>AR18/AN18-1</f>
        <v/>
      </c>
      <c r="AS27" s="908">
        <f>AS18/AO18-1</f>
        <v/>
      </c>
      <c r="AT27" s="908">
        <f>AT18/AP18-1</f>
        <v/>
      </c>
      <c r="AU27" s="908">
        <f>AU18/AQ18-1</f>
        <v/>
      </c>
      <c r="AV27" s="908">
        <f>AV18/AR18-1</f>
        <v/>
      </c>
      <c r="AW27" s="908">
        <f>AW18/AS18-1</f>
        <v/>
      </c>
      <c r="AX27" s="908">
        <f>AX18/AT18-1</f>
        <v/>
      </c>
      <c r="AY27" s="908">
        <f>AY18/AU18-1</f>
        <v/>
      </c>
      <c r="AZ27" s="908">
        <f>AZ18/AV18-1</f>
        <v/>
      </c>
      <c r="BA27" s="908">
        <f>BA18/AW18-1</f>
        <v/>
      </c>
      <c r="BB27" s="908">
        <f>BB18/AX18-1</f>
        <v/>
      </c>
      <c r="BC27" s="908">
        <f>BC18/AY18-1</f>
        <v/>
      </c>
      <c r="BD27" s="908">
        <f>BD18/AZ18-1</f>
        <v/>
      </c>
      <c r="BE27" s="908">
        <f>BE18/BA18-1</f>
        <v/>
      </c>
      <c r="BF27" s="908">
        <f>BF18/BB18-1</f>
        <v/>
      </c>
      <c r="BG27" s="908">
        <f>BG18/BC18-1</f>
        <v/>
      </c>
      <c r="BH27" s="908">
        <f>BH18/BD18-1</f>
        <v/>
      </c>
      <c r="BI27" s="908">
        <f>BI18/BE18-1</f>
        <v/>
      </c>
      <c r="BJ27" s="908">
        <f>BJ18/BF18-1</f>
        <v/>
      </c>
      <c r="BK27" s="908">
        <f>BK18/BG18-1</f>
        <v/>
      </c>
      <c r="BL27" s="908">
        <f>BL18/BH18-1</f>
        <v/>
      </c>
      <c r="BM27" s="908">
        <f>BM18/BI18-1</f>
        <v/>
      </c>
      <c r="BN27" s="908">
        <f>BN18/BJ18-1</f>
        <v/>
      </c>
      <c r="BO27" s="908">
        <f>BO18/BK18-1</f>
        <v/>
      </c>
      <c r="BP27" s="908">
        <f>BP18/BL18-1</f>
        <v/>
      </c>
      <c r="BQ27" s="908">
        <f>BQ18/BM18-1</f>
        <v/>
      </c>
      <c r="BR27" s="908">
        <f>BR18/BN18-1</f>
        <v/>
      </c>
      <c r="BS27" s="909" t="n">
        <v>-0.1</v>
      </c>
      <c r="BT27" s="909" t="n">
        <v>0.07000000000000001</v>
      </c>
      <c r="BU27" s="909" t="n">
        <v>0.15</v>
      </c>
      <c r="BV27" s="909" t="n">
        <v>0.12</v>
      </c>
      <c r="BW27" s="909" t="n">
        <v>0.15</v>
      </c>
      <c r="BX27" s="909" t="n">
        <v>0.18</v>
      </c>
      <c r="BY27" s="909" t="n">
        <v>0.18</v>
      </c>
      <c r="BZ27" s="909" t="n">
        <v>0.07000000000000001</v>
      </c>
      <c r="CA27" s="909" t="n">
        <v>0.03</v>
      </c>
      <c r="CB27" s="909" t="n">
        <v>0</v>
      </c>
      <c r="CC27" s="909" t="n">
        <v>0</v>
      </c>
      <c r="CD27" s="909" t="n">
        <v>0.05</v>
      </c>
      <c r="CE27" s="909" t="n">
        <v>0.05</v>
      </c>
      <c r="CF27" s="909" t="n">
        <v>0.15</v>
      </c>
      <c r="CG27" s="909" t="n">
        <v>0.15</v>
      </c>
      <c r="CH27" s="909" t="n">
        <v>0.15</v>
      </c>
      <c r="CI27" s="909" t="n">
        <v>0.15</v>
      </c>
      <c r="CJ27" s="909" t="n">
        <v>0.12</v>
      </c>
      <c r="CK27" s="909" t="n">
        <v>0.12</v>
      </c>
      <c r="CZ27" s="333" t="n"/>
      <c r="DA27" s="406" t="n"/>
      <c r="DB27" s="406" t="n"/>
      <c r="DC27" s="406" t="n"/>
      <c r="DD27" s="406" t="n"/>
      <c r="DE27" s="905">
        <f>DE18/DD18-1</f>
        <v/>
      </c>
      <c r="DF27" s="905">
        <f>DF18/DE18-1</f>
        <v/>
      </c>
      <c r="DG27" s="905">
        <f>DG18/DF18-1</f>
        <v/>
      </c>
      <c r="DH27" s="905">
        <f>DH18/DG18-1</f>
        <v/>
      </c>
      <c r="DI27" s="905">
        <f>DI18/DH18-1</f>
        <v/>
      </c>
      <c r="DJ27" s="905">
        <f>DJ18/DI18-1</f>
        <v/>
      </c>
      <c r="DK27" s="905">
        <f>DK18/DJ18-1</f>
        <v/>
      </c>
      <c r="DL27" s="905">
        <f>DL18/DK18-1</f>
        <v/>
      </c>
      <c r="DM27" s="905">
        <f>DM18/DL18-1</f>
        <v/>
      </c>
      <c r="DN27" s="905">
        <f>DN18/DM18-1</f>
        <v/>
      </c>
      <c r="DO27" s="905">
        <f>DO18/DN18-1</f>
        <v/>
      </c>
      <c r="DP27" s="905">
        <f>DP18/DO18-1</f>
        <v/>
      </c>
      <c r="DQ27" s="905">
        <f>DQ18/DP18-1</f>
        <v/>
      </c>
      <c r="DR27" s="905">
        <f>DR18/DQ18-1</f>
        <v/>
      </c>
      <c r="DS27" s="905">
        <f>DS18/DR18-1</f>
        <v/>
      </c>
    </row>
    <row r="28">
      <c r="A28" s="74">
        <f>+A19</f>
        <v/>
      </c>
      <c r="B28" s="890" t="n"/>
      <c r="C28" s="890" t="n"/>
      <c r="D28" s="890" t="n"/>
      <c r="E28" s="890" t="n"/>
      <c r="F28" s="907" t="n"/>
      <c r="G28" s="907" t="n"/>
      <c r="H28" s="907" t="n"/>
      <c r="I28" s="907" t="n"/>
      <c r="J28" s="907" t="n"/>
      <c r="K28" s="907" t="n"/>
      <c r="L28" s="907" t="n"/>
      <c r="M28" s="907" t="n"/>
      <c r="N28" s="515" t="n"/>
      <c r="O28" s="515" t="n"/>
      <c r="P28" s="515" t="n"/>
      <c r="Q28" s="515" t="n"/>
      <c r="R28" s="515" t="n"/>
      <c r="S28" s="515" t="n"/>
      <c r="T28" s="515" t="n"/>
      <c r="U28" s="515" t="n"/>
      <c r="V28" s="515" t="n"/>
      <c r="W28" s="515" t="n"/>
      <c r="X28" s="515" t="n"/>
      <c r="Y28" s="515" t="n"/>
      <c r="Z28" s="515" t="n"/>
      <c r="AA28" s="515" t="n"/>
      <c r="AB28" s="515" t="n"/>
      <c r="AC28" s="515" t="n"/>
      <c r="AD28" s="908">
        <f>AD19/Z19-1</f>
        <v/>
      </c>
      <c r="AE28" s="908">
        <f>AE19/AA19-1</f>
        <v/>
      </c>
      <c r="AF28" s="908">
        <f>AF19/AB19-1</f>
        <v/>
      </c>
      <c r="AG28" s="908">
        <f>AG19/AC19-1</f>
        <v/>
      </c>
      <c r="AH28" s="908">
        <f>AH19/AD19-1</f>
        <v/>
      </c>
      <c r="AI28" s="908">
        <f>AI19/AE19-1</f>
        <v/>
      </c>
      <c r="AJ28" s="908">
        <f>AJ19/AF19-1</f>
        <v/>
      </c>
      <c r="AK28" s="908">
        <f>AK19/AG19-1</f>
        <v/>
      </c>
      <c r="AL28" s="908">
        <f>AL19/AH19-1</f>
        <v/>
      </c>
      <c r="AM28" s="908">
        <f>AM19/AI19-1</f>
        <v/>
      </c>
      <c r="AN28" s="908">
        <f>AN19/AJ19-1</f>
        <v/>
      </c>
      <c r="AO28" s="908">
        <f>AO19/AK19-1</f>
        <v/>
      </c>
      <c r="AP28" s="908">
        <f>AP19/AL19-1</f>
        <v/>
      </c>
      <c r="AQ28" s="908">
        <f>AQ19/AM19-1</f>
        <v/>
      </c>
      <c r="AR28" s="908">
        <f>AR19/AN19-1</f>
        <v/>
      </c>
      <c r="AS28" s="908">
        <f>AS19/AO19-1</f>
        <v/>
      </c>
      <c r="AT28" s="908">
        <f>AT19/AP19-1</f>
        <v/>
      </c>
      <c r="AU28" s="908">
        <f>AU19/AQ19-1</f>
        <v/>
      </c>
      <c r="AV28" s="908">
        <f>AV19/AR19-1</f>
        <v/>
      </c>
      <c r="AW28" s="908">
        <f>AW19/AS19-1</f>
        <v/>
      </c>
      <c r="AX28" s="908">
        <f>AX19/AT19-1</f>
        <v/>
      </c>
      <c r="AY28" s="908">
        <f>AY19/AU19-1</f>
        <v/>
      </c>
      <c r="AZ28" s="908">
        <f>AZ19/AV19-1</f>
        <v/>
      </c>
      <c r="BA28" s="908">
        <f>BA19/AW19-1</f>
        <v/>
      </c>
      <c r="BB28" s="908">
        <f>BB19/AX19-1</f>
        <v/>
      </c>
      <c r="BC28" s="908">
        <f>BC19/AY19-1</f>
        <v/>
      </c>
      <c r="BD28" s="908">
        <f>BD19/AZ19-1</f>
        <v/>
      </c>
      <c r="BE28" s="908">
        <f>BE19/BA19-1</f>
        <v/>
      </c>
      <c r="BF28" s="908">
        <f>BF19/BB19-1</f>
        <v/>
      </c>
      <c r="BG28" s="908">
        <f>BG19/BC19-1</f>
        <v/>
      </c>
      <c r="BH28" s="908">
        <f>BH19/BD19-1</f>
        <v/>
      </c>
      <c r="BI28" s="908">
        <f>BI19/BE19-1</f>
        <v/>
      </c>
      <c r="BJ28" s="908">
        <f>BJ19/BF19-1</f>
        <v/>
      </c>
      <c r="BK28" s="908">
        <f>BK19/BG19-1</f>
        <v/>
      </c>
      <c r="BL28" s="908">
        <f>BL19/BH19-1</f>
        <v/>
      </c>
      <c r="BM28" s="908">
        <f>BM19/BI19-1</f>
        <v/>
      </c>
      <c r="BN28" s="908">
        <f>BN19/BJ19-1</f>
        <v/>
      </c>
      <c r="BO28" s="908">
        <f>BO19/BK19-1</f>
        <v/>
      </c>
      <c r="BP28" s="908">
        <f>BP19/BL19-1</f>
        <v/>
      </c>
      <c r="BQ28" s="908">
        <f>BQ19/BM19-1</f>
        <v/>
      </c>
      <c r="BR28" s="908">
        <f>BR19/BN19-1</f>
        <v/>
      </c>
      <c r="BS28" s="909" t="n">
        <v>-0.15</v>
      </c>
      <c r="BT28" s="909" t="n">
        <v>0.05</v>
      </c>
      <c r="BU28" s="909" t="n">
        <v>0.1</v>
      </c>
      <c r="BV28" s="909" t="n">
        <v>0.08</v>
      </c>
      <c r="BW28" s="909" t="n">
        <v>0.12</v>
      </c>
      <c r="BX28" s="909" t="n">
        <v>0.15</v>
      </c>
      <c r="BY28" s="909" t="n">
        <v>0.15</v>
      </c>
      <c r="BZ28" s="909" t="n">
        <v>0.05</v>
      </c>
      <c r="CA28" s="909" t="n">
        <v>0.03</v>
      </c>
      <c r="CB28" s="909" t="n">
        <v>-0.05</v>
      </c>
      <c r="CC28" s="909" t="n">
        <v>0</v>
      </c>
      <c r="CD28" s="909" t="n">
        <v>0.05</v>
      </c>
      <c r="CE28" s="909" t="n">
        <v>0.05</v>
      </c>
      <c r="CF28" s="909" t="n">
        <v>0.15</v>
      </c>
      <c r="CG28" s="909" t="n">
        <v>0.15</v>
      </c>
      <c r="CH28" s="909" t="n">
        <v>0.15</v>
      </c>
      <c r="CI28" s="909">
        <f>CH28</f>
        <v/>
      </c>
      <c r="CJ28" s="909" t="n">
        <v>0.12</v>
      </c>
      <c r="CK28" s="909" t="n">
        <v>0.12</v>
      </c>
      <c r="CZ28" s="333" t="n"/>
      <c r="DE28" s="905">
        <f>DE19/DD19-1</f>
        <v/>
      </c>
      <c r="DF28" s="905">
        <f>DF19/DE19-1</f>
        <v/>
      </c>
      <c r="DG28" s="905">
        <f>DG19/DF19-1</f>
        <v/>
      </c>
      <c r="DH28" s="905">
        <f>DH19/DG19-1</f>
        <v/>
      </c>
      <c r="DI28" s="905">
        <f>DI19/DH19-1</f>
        <v/>
      </c>
      <c r="DJ28" s="905">
        <f>DJ19/DI19-1</f>
        <v/>
      </c>
      <c r="DK28" s="905">
        <f>DK19/DJ19-1</f>
        <v/>
      </c>
      <c r="DL28" s="905">
        <f>DL19/DK19-1</f>
        <v/>
      </c>
      <c r="DM28" s="905">
        <f>DM19/DL19-1</f>
        <v/>
      </c>
      <c r="DN28" s="905">
        <f>DN19/DM19-1</f>
        <v/>
      </c>
      <c r="DO28" s="905">
        <f>DO19/DN19-1</f>
        <v/>
      </c>
      <c r="DP28" s="905">
        <f>DP19/DO19-1</f>
        <v/>
      </c>
      <c r="DQ28" s="905">
        <f>DQ19/DP19-1</f>
        <v/>
      </c>
      <c r="DR28" s="905">
        <f>DR19/DQ19-1</f>
        <v/>
      </c>
      <c r="DS28" s="905">
        <f>DS19/DR19-1</f>
        <v/>
      </c>
    </row>
    <row r="29" customFormat="1" s="21">
      <c r="A29" s="40">
        <f>A20</f>
        <v/>
      </c>
      <c r="B29" s="881" t="n"/>
      <c r="C29" s="881" t="n"/>
      <c r="D29" s="881" t="n"/>
      <c r="E29" s="881" t="n"/>
      <c r="F29" s="907" t="n"/>
      <c r="G29" s="907" t="n"/>
      <c r="H29" s="907" t="n"/>
      <c r="I29" s="907" t="n"/>
      <c r="J29" s="907" t="n"/>
      <c r="K29" s="907" t="n"/>
      <c r="L29" s="907" t="n"/>
      <c r="M29" s="907" t="n"/>
      <c r="N29" s="515" t="n"/>
      <c r="O29" s="515" t="n"/>
      <c r="P29" s="515" t="n"/>
      <c r="Q29" s="515" t="n"/>
      <c r="R29" s="515" t="n"/>
      <c r="S29" s="515" t="n"/>
      <c r="T29" s="515" t="n"/>
      <c r="U29" s="515" t="n"/>
      <c r="V29" s="515" t="n"/>
      <c r="W29" s="515" t="n"/>
      <c r="X29" s="515" t="n"/>
      <c r="Y29" s="515" t="n"/>
      <c r="Z29" s="515" t="n"/>
      <c r="AA29" s="515" t="n"/>
      <c r="AB29" s="515" t="n"/>
      <c r="AC29" s="515" t="n"/>
      <c r="AD29" s="910">
        <f>AD20/Z20-1</f>
        <v/>
      </c>
      <c r="AE29" s="910">
        <f>AE20/AA20-1</f>
        <v/>
      </c>
      <c r="AF29" s="910">
        <f>AF20/AB20-1</f>
        <v/>
      </c>
      <c r="AG29" s="910">
        <f>AG20/AC20-1</f>
        <v/>
      </c>
      <c r="AH29" s="910">
        <f>AH20/AD20-1</f>
        <v/>
      </c>
      <c r="AI29" s="910">
        <f>AI20/AE20-1</f>
        <v/>
      </c>
      <c r="AJ29" s="910">
        <f>AJ20/AF20-1</f>
        <v/>
      </c>
      <c r="AK29" s="910">
        <f>AK20/AG20-1</f>
        <v/>
      </c>
      <c r="AL29" s="910">
        <f>AL20/AH20-1</f>
        <v/>
      </c>
      <c r="AM29" s="910">
        <f>AM20/AI20-1</f>
        <v/>
      </c>
      <c r="AN29" s="910">
        <f>AN20/AJ20-1</f>
        <v/>
      </c>
      <c r="AO29" s="910">
        <f>AO20/AK20-1</f>
        <v/>
      </c>
      <c r="AP29" s="910">
        <f>AP20/AL20-1</f>
        <v/>
      </c>
      <c r="AQ29" s="910">
        <f>AQ20/AM20-1</f>
        <v/>
      </c>
      <c r="AR29" s="910">
        <f>AR20/AN20-1</f>
        <v/>
      </c>
      <c r="AS29" s="910">
        <f>AS20/AO20-1</f>
        <v/>
      </c>
      <c r="AT29" s="910">
        <f>AT20/AP20-1</f>
        <v/>
      </c>
      <c r="AU29" s="910">
        <f>AU20/AQ20-1</f>
        <v/>
      </c>
      <c r="AV29" s="910">
        <f>AV20/AR20-1</f>
        <v/>
      </c>
      <c r="AW29" s="910">
        <f>AW20/AS20-1</f>
        <v/>
      </c>
      <c r="AX29" s="910">
        <f>AX20/AT20-1</f>
        <v/>
      </c>
      <c r="AY29" s="910">
        <f>AY20/AU20-1</f>
        <v/>
      </c>
      <c r="AZ29" s="910">
        <f>AZ20/AV20-1</f>
        <v/>
      </c>
      <c r="BA29" s="910">
        <f>BA20/AW20-1</f>
        <v/>
      </c>
      <c r="BB29" s="910">
        <f>BB20/AX20-1</f>
        <v/>
      </c>
      <c r="BC29" s="910">
        <f>BC20/AY20-1</f>
        <v/>
      </c>
      <c r="BD29" s="910">
        <f>BD20/AZ20-1</f>
        <v/>
      </c>
      <c r="BE29" s="910">
        <f>BE20/BA20-1</f>
        <v/>
      </c>
      <c r="BF29" s="910">
        <f>BF20/BB20-1</f>
        <v/>
      </c>
      <c r="BG29" s="910">
        <f>BG20/BC20-1</f>
        <v/>
      </c>
      <c r="BH29" s="910">
        <f>BH20/BD20-1</f>
        <v/>
      </c>
      <c r="BI29" s="910">
        <f>BI20/BE20-1</f>
        <v/>
      </c>
      <c r="BJ29" s="910">
        <f>BJ20/BF20-1</f>
        <v/>
      </c>
      <c r="BK29" s="910">
        <f>BK20/BG20-1</f>
        <v/>
      </c>
      <c r="BL29" s="910">
        <f>BL20/BH20-1</f>
        <v/>
      </c>
      <c r="BM29" s="910">
        <f>BM20/BI20-1</f>
        <v/>
      </c>
      <c r="BN29" s="910">
        <f>BN20/BJ20-1</f>
        <v/>
      </c>
      <c r="BO29" s="910">
        <f>BO20/BK20-1</f>
        <v/>
      </c>
      <c r="BP29" s="910">
        <f>BP20/BL20-1</f>
        <v/>
      </c>
      <c r="BQ29" s="910">
        <f>BQ20/BM20-1</f>
        <v/>
      </c>
      <c r="BR29" s="910">
        <f>BR20/BN20-1</f>
        <v/>
      </c>
      <c r="BS29" s="910">
        <f>BS20/BO20-1</f>
        <v/>
      </c>
      <c r="BT29" s="910">
        <f>BT20/BP20-1</f>
        <v/>
      </c>
      <c r="BU29" s="910">
        <f>BU20/BQ20-1</f>
        <v/>
      </c>
      <c r="BV29" s="910">
        <f>BV20/BR20-1</f>
        <v/>
      </c>
      <c r="BW29" s="910">
        <f>BW20/BS20-1</f>
        <v/>
      </c>
      <c r="BX29" s="910">
        <f>BX20/BT20-1</f>
        <v/>
      </c>
      <c r="BY29" s="910">
        <f>BY20/BU20-1</f>
        <v/>
      </c>
      <c r="BZ29" s="910">
        <f>BZ20/BV20-1</f>
        <v/>
      </c>
      <c r="CA29" s="910">
        <f>CA20/BW20-1</f>
        <v/>
      </c>
      <c r="CB29" s="910">
        <f>CB20/BX20-1</f>
        <v/>
      </c>
      <c r="CC29" s="910">
        <f>CC20/BY20-1</f>
        <v/>
      </c>
      <c r="CD29" s="910">
        <f>CD20/BZ20-1</f>
        <v/>
      </c>
      <c r="CE29" s="910">
        <f>CE20/CA20-1</f>
        <v/>
      </c>
      <c r="CF29" s="910">
        <f>CF20/CB20-1</f>
        <v/>
      </c>
      <c r="CG29" s="910">
        <f>CG20/CC20-1</f>
        <v/>
      </c>
      <c r="CH29" s="910">
        <f>CH20/CD20-1</f>
        <v/>
      </c>
      <c r="CI29" s="910">
        <f>CI20/CE20-1</f>
        <v/>
      </c>
      <c r="CJ29" s="910">
        <f>CJ20/CF20-1</f>
        <v/>
      </c>
      <c r="CK29" s="910">
        <f>CK20/CG20-1</f>
        <v/>
      </c>
      <c r="CZ29" s="441" t="n"/>
      <c r="DA29" s="911" t="n"/>
      <c r="DB29" s="911">
        <f>DB20/DA20-1</f>
        <v/>
      </c>
      <c r="DC29" s="911">
        <f>DC20/DB20-1</f>
        <v/>
      </c>
      <c r="DD29" s="911">
        <f>DD20/DC20-1</f>
        <v/>
      </c>
      <c r="DE29" s="911">
        <f>DE20/DD20-1</f>
        <v/>
      </c>
      <c r="DF29" s="911">
        <f>DF20/DE20-1</f>
        <v/>
      </c>
      <c r="DG29" s="911">
        <f>DG20/DF20-1</f>
        <v/>
      </c>
      <c r="DH29" s="911">
        <f>DH20/DG20-1</f>
        <v/>
      </c>
      <c r="DI29" s="911">
        <f>DI20/DH20-1</f>
        <v/>
      </c>
      <c r="DJ29" s="911">
        <f>DJ20/DI20-1</f>
        <v/>
      </c>
      <c r="DK29" s="911">
        <f>DK20/DJ20-1</f>
        <v/>
      </c>
      <c r="DL29" s="911">
        <f>DL20/DK20-1</f>
        <v/>
      </c>
      <c r="DM29" s="911">
        <f>DM20/DL20-1</f>
        <v/>
      </c>
      <c r="DN29" s="911">
        <f>DN20/DM20-1</f>
        <v/>
      </c>
      <c r="DO29" s="911">
        <f>DO20/DN20-1</f>
        <v/>
      </c>
      <c r="DP29" s="911">
        <f>DP20/DO20-1</f>
        <v/>
      </c>
      <c r="DQ29" s="911">
        <f>DQ20/DP20-1</f>
        <v/>
      </c>
      <c r="DR29" s="911">
        <f>DR20/DQ20-1</f>
        <v/>
      </c>
      <c r="DS29" s="911">
        <f>DS20/DR20-1</f>
        <v/>
      </c>
    </row>
    <row r="30">
      <c r="B30" s="50" t="n"/>
      <c r="C30" s="50" t="n"/>
      <c r="D30" s="50" t="n"/>
      <c r="E30" s="50" t="n"/>
      <c r="F30" s="50" t="n"/>
      <c r="G30" s="50" t="n"/>
      <c r="H30" s="50" t="n"/>
      <c r="I30" s="50" t="n"/>
      <c r="J30" s="907" t="n"/>
      <c r="K30" s="907" t="n"/>
      <c r="L30" s="50" t="n"/>
      <c r="M30" s="50" t="n"/>
      <c r="AT30" s="517" t="n"/>
      <c r="AU30" s="517" t="n"/>
      <c r="AV30" s="517" t="n"/>
      <c r="AW30" s="517" t="n"/>
      <c r="AX30" s="517" t="n"/>
      <c r="AY30" s="517" t="n"/>
      <c r="AZ30" s="517" t="n"/>
      <c r="BA30" s="517" t="n"/>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c r="DS30" s="406" t="n"/>
    </row>
    <row r="31">
      <c r="A31" s="40" t="inlineStr">
        <is>
          <t>Q/Q Growth</t>
        </is>
      </c>
      <c r="J31" s="907" t="n"/>
      <c r="K31" s="907" t="n"/>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c r="DS31" s="406" t="n"/>
    </row>
    <row r="32">
      <c r="A32" s="74">
        <f>A23</f>
        <v/>
      </c>
      <c r="B32" s="890" t="n"/>
      <c r="C32" s="890" t="n"/>
      <c r="D32" s="890" t="n"/>
      <c r="E32" s="890" t="n"/>
      <c r="F32" s="890" t="n"/>
      <c r="G32" s="890" t="n"/>
      <c r="H32" s="890" t="n"/>
      <c r="I32" s="890" t="n"/>
      <c r="J32" s="890" t="n"/>
      <c r="K32" s="890" t="n"/>
      <c r="L32" s="890" t="n"/>
      <c r="M32" s="890" t="n"/>
      <c r="N32" s="515" t="n"/>
      <c r="O32" s="515" t="n"/>
      <c r="P32" s="515" t="n"/>
      <c r="Q32" s="515" t="n"/>
      <c r="R32" s="515" t="n"/>
      <c r="S32" s="515" t="n"/>
      <c r="T32" s="515" t="n"/>
      <c r="U32" s="515" t="n"/>
      <c r="V32" s="515" t="n"/>
      <c r="W32" s="515" t="n"/>
      <c r="X32" s="515" t="n"/>
      <c r="Y32" s="515" t="n"/>
      <c r="Z32" s="515" t="n"/>
      <c r="AA32" s="908">
        <f>AA14/Z14-1</f>
        <v/>
      </c>
      <c r="AB32" s="908">
        <f>AB14/AA14-1</f>
        <v/>
      </c>
      <c r="AC32" s="908">
        <f>AC14/AB14-1</f>
        <v/>
      </c>
      <c r="AD32" s="908">
        <f>AD14/AC14-1</f>
        <v/>
      </c>
      <c r="AE32" s="908">
        <f>AE14/AD14-1</f>
        <v/>
      </c>
      <c r="AF32" s="908">
        <f>AF14/AE14-1</f>
        <v/>
      </c>
      <c r="AG32" s="908">
        <f>AG14/AF14-1</f>
        <v/>
      </c>
      <c r="AH32" s="908">
        <f>AH14/AG14-1</f>
        <v/>
      </c>
      <c r="AI32" s="908">
        <f>AI14/AH14-1</f>
        <v/>
      </c>
      <c r="AJ32" s="908">
        <f>AJ14/AI14-1</f>
        <v/>
      </c>
      <c r="AK32" s="908">
        <f>AK14/AJ14-1</f>
        <v/>
      </c>
      <c r="AL32" s="908">
        <f>AL14/AK14-1</f>
        <v/>
      </c>
      <c r="AM32" s="908">
        <f>AM14/AL14-1</f>
        <v/>
      </c>
      <c r="AN32" s="908">
        <f>AN14/AM14-1</f>
        <v/>
      </c>
      <c r="AO32" s="908">
        <f>AO14/AN14-1</f>
        <v/>
      </c>
      <c r="AP32" s="908">
        <f>AP14/AO14-1</f>
        <v/>
      </c>
      <c r="AQ32" s="908">
        <f>AQ14/AP14-1</f>
        <v/>
      </c>
      <c r="AR32" s="908">
        <f>AR14/AQ14-1</f>
        <v/>
      </c>
      <c r="AS32" s="908">
        <f>AS14/AR14-1</f>
        <v/>
      </c>
      <c r="AT32" s="908">
        <f>AT14/AS14-1</f>
        <v/>
      </c>
      <c r="AU32" s="908">
        <f>AU14/AT14-1</f>
        <v/>
      </c>
      <c r="AV32" s="908">
        <f>AV14/AU14-1</f>
        <v/>
      </c>
      <c r="AW32" s="908">
        <f>AW14/AV14-1</f>
        <v/>
      </c>
      <c r="AX32" s="908">
        <f>AX14/AW14-1</f>
        <v/>
      </c>
      <c r="AY32" s="908">
        <f>AY14/AX14-1</f>
        <v/>
      </c>
      <c r="AZ32" s="908">
        <f>AZ14/AY14-1</f>
        <v/>
      </c>
      <c r="BA32" s="908">
        <f>BA14/AZ14-1</f>
        <v/>
      </c>
      <c r="BB32" s="908">
        <f>BB14/BA14-1</f>
        <v/>
      </c>
      <c r="BC32" s="908">
        <f>BC14/BB14-1</f>
        <v/>
      </c>
      <c r="BD32" s="908">
        <f>BD14/BC14-1</f>
        <v/>
      </c>
      <c r="BE32" s="908">
        <f>BE14/BD14-1</f>
        <v/>
      </c>
      <c r="BF32" s="908">
        <f>BF14/BE14-1</f>
        <v/>
      </c>
      <c r="BG32" s="908">
        <f>BG14/BF14-1</f>
        <v/>
      </c>
      <c r="BH32" s="908">
        <f>BH14/BG14-1</f>
        <v/>
      </c>
      <c r="BI32" s="908">
        <f>BI14/BH14-1</f>
        <v/>
      </c>
      <c r="BJ32" s="908">
        <f>BJ14/BI14-1</f>
        <v/>
      </c>
      <c r="BK32" s="908">
        <f>BK14/BJ14-1</f>
        <v/>
      </c>
      <c r="BL32" s="908">
        <f>BL14/BK14-1</f>
        <v/>
      </c>
      <c r="BM32" s="908">
        <f>BM14/BL14-1</f>
        <v/>
      </c>
      <c r="BN32" s="908">
        <f>BN14/BM14-1</f>
        <v/>
      </c>
      <c r="BO32" s="908">
        <f>BO14/BN14-1</f>
        <v/>
      </c>
      <c r="BP32" s="908">
        <f>BP14/BO14-1</f>
        <v/>
      </c>
      <c r="BQ32" s="908">
        <f>BQ14/BP14-1</f>
        <v/>
      </c>
      <c r="BR32" s="908">
        <f>BR14/BQ14-1</f>
        <v/>
      </c>
      <c r="BS32" s="908">
        <f>BS14/BR14-1</f>
        <v/>
      </c>
      <c r="BT32" s="908">
        <f>BT14/BS14-1</f>
        <v/>
      </c>
      <c r="BU32" s="908">
        <f>BU14/BT14-1</f>
        <v/>
      </c>
      <c r="BV32" s="908">
        <f>BV14/BU14-1</f>
        <v/>
      </c>
      <c r="BW32" s="908">
        <f>BW14/BV14-1</f>
        <v/>
      </c>
      <c r="BX32" s="908">
        <f>BX14/BW14-1</f>
        <v/>
      </c>
      <c r="BY32" s="908">
        <f>BY14/BX14-1</f>
        <v/>
      </c>
      <c r="BZ32" s="908">
        <f>BZ14/BY14-1</f>
        <v/>
      </c>
      <c r="CA32" s="908">
        <f>CA14/BZ14-1</f>
        <v/>
      </c>
      <c r="CB32" s="908">
        <f>CB14/CA14-1</f>
        <v/>
      </c>
      <c r="CC32" s="908">
        <f>CC14/CB14-1</f>
        <v/>
      </c>
      <c r="CD32" s="908">
        <f>CD14/CC14-1</f>
        <v/>
      </c>
      <c r="CE32" s="908">
        <f>CE14/CD14-1</f>
        <v/>
      </c>
      <c r="CF32" s="908">
        <f>CF14/CE14-1</f>
        <v/>
      </c>
      <c r="CG32" s="908">
        <f>CG14/CF14-1</f>
        <v/>
      </c>
      <c r="CH32" s="908">
        <f>CH14/CG14-1</f>
        <v/>
      </c>
      <c r="CI32" s="908">
        <f>CI14/CH14-1</f>
        <v/>
      </c>
      <c r="CJ32" s="908">
        <f>CJ14/CI14-1</f>
        <v/>
      </c>
      <c r="CK32" s="908">
        <f>CK14/CJ14-1</f>
        <v/>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c r="DS32" s="406" t="n"/>
    </row>
    <row r="33">
      <c r="A33" s="74">
        <f>A24</f>
        <v/>
      </c>
      <c r="B33" s="890" t="n"/>
      <c r="C33" s="890" t="n"/>
      <c r="D33" s="890" t="n"/>
      <c r="E33" s="890" t="n"/>
      <c r="F33" s="890" t="n"/>
      <c r="G33" s="890" t="n"/>
      <c r="H33" s="890" t="n"/>
      <c r="I33" s="890" t="n"/>
      <c r="J33" s="890" t="n"/>
      <c r="K33" s="890" t="n"/>
      <c r="L33" s="890" t="n"/>
      <c r="M33" s="890" t="n"/>
      <c r="N33" s="515" t="n"/>
      <c r="O33" s="515" t="n"/>
      <c r="P33" s="515" t="n"/>
      <c r="Q33" s="515" t="n"/>
      <c r="R33" s="515" t="n"/>
      <c r="S33" s="515" t="n"/>
      <c r="T33" s="515" t="n"/>
      <c r="U33" s="515" t="n"/>
      <c r="V33" s="515" t="n"/>
      <c r="W33" s="515" t="n"/>
      <c r="X33" s="515" t="n"/>
      <c r="Y33" s="515" t="n"/>
      <c r="Z33" s="515" t="n"/>
      <c r="AA33" s="908">
        <f>AA15/Z15-1</f>
        <v/>
      </c>
      <c r="AB33" s="908">
        <f>AB15/AA15-1</f>
        <v/>
      </c>
      <c r="AC33" s="908">
        <f>AC15/AB15-1</f>
        <v/>
      </c>
      <c r="AD33" s="908">
        <f>AD15/AC15-1</f>
        <v/>
      </c>
      <c r="AE33" s="908">
        <f>AE15/AD15-1</f>
        <v/>
      </c>
      <c r="AF33" s="908">
        <f>AF15/AE15-1</f>
        <v/>
      </c>
      <c r="AG33" s="908">
        <f>AG15/AF15-1</f>
        <v/>
      </c>
      <c r="AH33" s="908">
        <f>AH15/AG15-1</f>
        <v/>
      </c>
      <c r="AI33" s="908">
        <f>AI15/AH15-1</f>
        <v/>
      </c>
      <c r="AJ33" s="908">
        <f>AJ15/AI15-1</f>
        <v/>
      </c>
      <c r="AK33" s="908">
        <f>AK15/AJ15-1</f>
        <v/>
      </c>
      <c r="AL33" s="908">
        <f>AL15/AK15-1</f>
        <v/>
      </c>
      <c r="AM33" s="908">
        <f>AM15/AL15-1</f>
        <v/>
      </c>
      <c r="AN33" s="908">
        <f>AN15/AM15-1</f>
        <v/>
      </c>
      <c r="AO33" s="908">
        <f>AO15/AN15-1</f>
        <v/>
      </c>
      <c r="AP33" s="908">
        <f>AP15/AO15-1</f>
        <v/>
      </c>
      <c r="AQ33" s="908">
        <f>AQ15/AP15-1</f>
        <v/>
      </c>
      <c r="AR33" s="908">
        <f>AR15/AQ15-1</f>
        <v/>
      </c>
      <c r="AS33" s="908">
        <f>AS15/AR15-1</f>
        <v/>
      </c>
      <c r="AT33" s="908">
        <f>AT15/AS15-1</f>
        <v/>
      </c>
      <c r="AU33" s="908">
        <f>AU15/AT15-1</f>
        <v/>
      </c>
      <c r="AV33" s="908">
        <f>AV15/AU15-1</f>
        <v/>
      </c>
      <c r="AW33" s="908">
        <f>AW15/AV15-1</f>
        <v/>
      </c>
      <c r="AX33" s="908">
        <f>AX15/AW15-1</f>
        <v/>
      </c>
      <c r="AY33" s="908">
        <f>AY15/AX15-1</f>
        <v/>
      </c>
      <c r="AZ33" s="908">
        <f>AZ15/AY15-1</f>
        <v/>
      </c>
      <c r="BA33" s="908">
        <f>BA15/AZ15-1</f>
        <v/>
      </c>
      <c r="BB33" s="908">
        <f>BB15/BA15-1</f>
        <v/>
      </c>
      <c r="BC33" s="908">
        <f>BC15/BB15-1</f>
        <v/>
      </c>
      <c r="BD33" s="908">
        <f>BD15/BC15-1</f>
        <v/>
      </c>
      <c r="BE33" s="908">
        <f>BE15/BD15-1</f>
        <v/>
      </c>
      <c r="BF33" s="908">
        <f>BF15/BE15-1</f>
        <v/>
      </c>
      <c r="BG33" s="908">
        <f>BG15/BF15-1</f>
        <v/>
      </c>
      <c r="BH33" s="908">
        <f>BH15/BG15-1</f>
        <v/>
      </c>
      <c r="BI33" s="908">
        <f>BI15/BH15-1</f>
        <v/>
      </c>
      <c r="BJ33" s="908">
        <f>BJ15/BI15-1</f>
        <v/>
      </c>
      <c r="BK33" s="908">
        <f>BK15/BJ15-1</f>
        <v/>
      </c>
      <c r="BL33" s="908">
        <f>BL15/BK15-1</f>
        <v/>
      </c>
      <c r="BM33" s="908">
        <f>BM15/BL15-1</f>
        <v/>
      </c>
      <c r="BN33" s="908">
        <f>BN15/BM15-1</f>
        <v/>
      </c>
      <c r="BO33" s="908">
        <f>BO15/BN15-1</f>
        <v/>
      </c>
      <c r="BP33" s="908">
        <f>BP15/BO15-1</f>
        <v/>
      </c>
      <c r="BQ33" s="908">
        <f>BQ15/BP15-1</f>
        <v/>
      </c>
      <c r="BR33" s="908">
        <f>BR15/BQ15-1</f>
        <v/>
      </c>
      <c r="BS33" s="908">
        <f>BS15/BR15-1</f>
        <v/>
      </c>
      <c r="BT33" s="908">
        <f>BT15/BS15-1</f>
        <v/>
      </c>
      <c r="BU33" s="908">
        <f>BU15/BT15-1</f>
        <v/>
      </c>
      <c r="BV33" s="908">
        <f>BV15/BU15-1</f>
        <v/>
      </c>
      <c r="BW33" s="908">
        <f>BW15/BV15-1</f>
        <v/>
      </c>
      <c r="BX33" s="908">
        <f>BX15/BW15-1</f>
        <v/>
      </c>
      <c r="BY33" s="908">
        <f>BY15/BX15-1</f>
        <v/>
      </c>
      <c r="BZ33" s="908">
        <f>BZ15/BY15-1</f>
        <v/>
      </c>
      <c r="CA33" s="908">
        <f>CA15/BZ15-1</f>
        <v/>
      </c>
      <c r="CB33" s="908">
        <f>CB15/CA15-1</f>
        <v/>
      </c>
      <c r="CC33" s="908">
        <f>CC15/CB15-1</f>
        <v/>
      </c>
      <c r="CD33" s="908">
        <f>CD15/CC15-1</f>
        <v/>
      </c>
      <c r="CE33" s="908">
        <f>CE15/CD15-1</f>
        <v/>
      </c>
      <c r="CF33" s="908">
        <f>CF15/CE15-1</f>
        <v/>
      </c>
      <c r="CG33" s="908">
        <f>CG15/CF15-1</f>
        <v/>
      </c>
      <c r="CH33" s="908">
        <f>CH15/CG15-1</f>
        <v/>
      </c>
      <c r="CI33" s="908">
        <f>CI15/CH15-1</f>
        <v/>
      </c>
      <c r="CJ33" s="908">
        <f>CJ15/CI15-1</f>
        <v/>
      </c>
      <c r="CK33" s="908">
        <f>CK15/CJ15-1</f>
        <v/>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c r="DS33" s="406" t="n"/>
    </row>
    <row r="34">
      <c r="A34" s="74">
        <f>A25</f>
        <v/>
      </c>
      <c r="B34" s="890" t="n"/>
      <c r="C34" s="890" t="n"/>
      <c r="D34" s="890" t="n"/>
      <c r="E34" s="890" t="n"/>
      <c r="F34" s="890" t="n"/>
      <c r="G34" s="890" t="n"/>
      <c r="H34" s="890" t="n"/>
      <c r="I34" s="890" t="n"/>
      <c r="J34" s="890" t="n"/>
      <c r="K34" s="890" t="n"/>
      <c r="L34" s="890" t="n"/>
      <c r="M34" s="890" t="n"/>
      <c r="N34" s="515" t="n"/>
      <c r="O34" s="515" t="n"/>
      <c r="P34" s="515" t="n"/>
      <c r="Q34" s="515" t="n"/>
      <c r="R34" s="515" t="n"/>
      <c r="S34" s="515" t="n"/>
      <c r="T34" s="515" t="n"/>
      <c r="U34" s="515" t="n"/>
      <c r="V34" s="515" t="n"/>
      <c r="W34" s="515" t="n"/>
      <c r="X34" s="515" t="n"/>
      <c r="Y34" s="515" t="n"/>
      <c r="Z34" s="515" t="n"/>
      <c r="AA34" s="908">
        <f>AA16/Z16-1</f>
        <v/>
      </c>
      <c r="AB34" s="908">
        <f>AB16/AA16-1</f>
        <v/>
      </c>
      <c r="AC34" s="908">
        <f>AC16/AB16-1</f>
        <v/>
      </c>
      <c r="AD34" s="908">
        <f>AD16/AC16-1</f>
        <v/>
      </c>
      <c r="AE34" s="908">
        <f>AE16/AD16-1</f>
        <v/>
      </c>
      <c r="AF34" s="908">
        <f>AF16/AE16-1</f>
        <v/>
      </c>
      <c r="AG34" s="908">
        <f>AG16/AF16-1</f>
        <v/>
      </c>
      <c r="AH34" s="908">
        <f>AH16/AG16-1</f>
        <v/>
      </c>
      <c r="AI34" s="908">
        <f>AI16/AH16-1</f>
        <v/>
      </c>
      <c r="AJ34" s="908">
        <f>AJ16/AI16-1</f>
        <v/>
      </c>
      <c r="AK34" s="908">
        <f>AK16/AJ16-1</f>
        <v/>
      </c>
      <c r="AL34" s="908">
        <f>AL16/AK16-1</f>
        <v/>
      </c>
      <c r="AM34" s="908">
        <f>AM16/AL16-1</f>
        <v/>
      </c>
      <c r="AN34" s="908">
        <f>AN16/AM16-1</f>
        <v/>
      </c>
      <c r="AO34" s="908">
        <f>AO16/AN16-1</f>
        <v/>
      </c>
      <c r="AP34" s="908">
        <f>AP16/AO16-1</f>
        <v/>
      </c>
      <c r="AQ34" s="908">
        <f>AQ16/AP16-1</f>
        <v/>
      </c>
      <c r="AR34" s="908">
        <f>AR16/AQ16-1</f>
        <v/>
      </c>
      <c r="AS34" s="908">
        <f>AS16/AR16-1</f>
        <v/>
      </c>
      <c r="AT34" s="908">
        <f>AT16/AS16-1</f>
        <v/>
      </c>
      <c r="AU34" s="908">
        <f>AU16/AT16-1</f>
        <v/>
      </c>
      <c r="AV34" s="908">
        <f>AV16/AU16-1</f>
        <v/>
      </c>
      <c r="AW34" s="908">
        <f>AW16/AV16-1</f>
        <v/>
      </c>
      <c r="AX34" s="908">
        <f>AX16/AW16-1</f>
        <v/>
      </c>
      <c r="AY34" s="908">
        <f>AY16/AX16-1</f>
        <v/>
      </c>
      <c r="AZ34" s="908">
        <f>AZ16/AY16-1</f>
        <v/>
      </c>
      <c r="BA34" s="908">
        <f>BA16/AZ16-1</f>
        <v/>
      </c>
      <c r="BB34" s="908">
        <f>BB16/BA16-1</f>
        <v/>
      </c>
      <c r="BC34" s="908">
        <f>BC16/BB16-1</f>
        <v/>
      </c>
      <c r="BD34" s="908">
        <f>BD16/BC16-1</f>
        <v/>
      </c>
      <c r="BE34" s="908">
        <f>BE16/BD16-1</f>
        <v/>
      </c>
      <c r="BF34" s="908">
        <f>BF16/BE16-1</f>
        <v/>
      </c>
      <c r="BG34" s="908">
        <f>BG16/BF16-1</f>
        <v/>
      </c>
      <c r="BH34" s="908">
        <f>BH16/BG16-1</f>
        <v/>
      </c>
      <c r="BI34" s="908">
        <f>BI16/BH16-1</f>
        <v/>
      </c>
      <c r="BJ34" s="908">
        <f>BJ16/BI16-1</f>
        <v/>
      </c>
      <c r="BK34" s="908">
        <f>BK16/BJ16-1</f>
        <v/>
      </c>
      <c r="BL34" s="908">
        <f>BL16/BK16-1</f>
        <v/>
      </c>
      <c r="BM34" s="908">
        <f>BM16/BL16-1</f>
        <v/>
      </c>
      <c r="BN34" s="908">
        <f>BN16/BM16-1</f>
        <v/>
      </c>
      <c r="BO34" s="908">
        <f>BO16/BN16-1</f>
        <v/>
      </c>
      <c r="BP34" s="908">
        <f>BP16/BO16-1</f>
        <v/>
      </c>
      <c r="BQ34" s="908">
        <f>BQ16/BP16-1</f>
        <v/>
      </c>
      <c r="BR34" s="908">
        <f>BR16/BQ16-1</f>
        <v/>
      </c>
      <c r="BS34" s="908">
        <f>BS16/BR16-1</f>
        <v/>
      </c>
      <c r="BT34" s="908">
        <f>BT16/BS16-1</f>
        <v/>
      </c>
      <c r="BU34" s="908">
        <f>BU16/BT16-1</f>
        <v/>
      </c>
      <c r="BV34" s="908">
        <f>BV16/BU16-1</f>
        <v/>
      </c>
      <c r="BW34" s="908">
        <f>BW16/BV16-1</f>
        <v/>
      </c>
      <c r="BX34" s="908">
        <f>BX16/BW16-1</f>
        <v/>
      </c>
      <c r="BY34" s="908">
        <f>BY16/BX16-1</f>
        <v/>
      </c>
      <c r="BZ34" s="908">
        <f>BZ16/BY16-1</f>
        <v/>
      </c>
      <c r="CA34" s="908">
        <f>CA16/BZ16-1</f>
        <v/>
      </c>
      <c r="CB34" s="908">
        <f>CB16/CA16-1</f>
        <v/>
      </c>
      <c r="CC34" s="908">
        <f>CC16/CB16-1</f>
        <v/>
      </c>
      <c r="CD34" s="908">
        <f>CD16/CC16-1</f>
        <v/>
      </c>
      <c r="CE34" s="908">
        <f>CE16/CD16-1</f>
        <v/>
      </c>
      <c r="CF34" s="908">
        <f>CF16/CE16-1</f>
        <v/>
      </c>
      <c r="CG34" s="908">
        <f>CG16/CF16-1</f>
        <v/>
      </c>
      <c r="CH34" s="908">
        <f>CH16/CG16-1</f>
        <v/>
      </c>
      <c r="CI34" s="908">
        <f>CI16/CH16-1</f>
        <v/>
      </c>
      <c r="CJ34" s="908">
        <f>CJ16/CI16-1</f>
        <v/>
      </c>
      <c r="CK34" s="908">
        <f>CK16/CJ16-1</f>
        <v/>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c r="DS34" s="406" t="n"/>
    </row>
    <row r="35">
      <c r="A35" s="74">
        <f>A26</f>
        <v/>
      </c>
      <c r="B35" s="890" t="n"/>
      <c r="C35" s="890" t="n"/>
      <c r="D35" s="890" t="n"/>
      <c r="E35" s="890" t="n"/>
      <c r="F35" s="890" t="n"/>
      <c r="G35" s="890" t="n"/>
      <c r="H35" s="890" t="n"/>
      <c r="I35" s="890" t="n"/>
      <c r="J35" s="890" t="n"/>
      <c r="K35" s="890" t="n"/>
      <c r="L35" s="890" t="n"/>
      <c r="M35" s="890" t="n"/>
      <c r="N35" s="515" t="n"/>
      <c r="O35" s="515" t="n"/>
      <c r="P35" s="515" t="n"/>
      <c r="Q35" s="515" t="n"/>
      <c r="R35" s="515" t="n"/>
      <c r="S35" s="515" t="n"/>
      <c r="T35" s="515" t="n"/>
      <c r="U35" s="515" t="n"/>
      <c r="V35" s="515" t="n"/>
      <c r="W35" s="515" t="n"/>
      <c r="X35" s="515" t="n"/>
      <c r="Y35" s="515" t="n"/>
      <c r="Z35" s="515" t="n"/>
      <c r="AA35" s="908">
        <f>AA17/Z17-1</f>
        <v/>
      </c>
      <c r="AB35" s="908">
        <f>AB17/AA17-1</f>
        <v/>
      </c>
      <c r="AC35" s="908">
        <f>AC17/AB17-1</f>
        <v/>
      </c>
      <c r="AD35" s="908">
        <f>AD17/AC17-1</f>
        <v/>
      </c>
      <c r="AE35" s="908">
        <f>AE17/AD17-1</f>
        <v/>
      </c>
      <c r="AF35" s="908">
        <f>AF17/AE17-1</f>
        <v/>
      </c>
      <c r="AG35" s="908">
        <f>AG17/AF17-1</f>
        <v/>
      </c>
      <c r="AH35" s="908">
        <f>AH17/AG17-1</f>
        <v/>
      </c>
      <c r="AI35" s="908">
        <f>AI17/AH17-1</f>
        <v/>
      </c>
      <c r="AJ35" s="908">
        <f>AJ17/AI17-1</f>
        <v/>
      </c>
      <c r="AK35" s="908">
        <f>AK17/AJ17-1</f>
        <v/>
      </c>
      <c r="AL35" s="908">
        <f>AL17/AK17-1</f>
        <v/>
      </c>
      <c r="AM35" s="908">
        <f>AM17/AL17-1</f>
        <v/>
      </c>
      <c r="AN35" s="908">
        <f>AN17/AM17-1</f>
        <v/>
      </c>
      <c r="AO35" s="908">
        <f>AO17/AN17-1</f>
        <v/>
      </c>
      <c r="AP35" s="908">
        <f>AP17/AO17-1</f>
        <v/>
      </c>
      <c r="AQ35" s="908">
        <f>AQ17/AP17-1</f>
        <v/>
      </c>
      <c r="AR35" s="908">
        <f>AR17/AQ17-1</f>
        <v/>
      </c>
      <c r="AS35" s="908">
        <f>AS17/AR17-1</f>
        <v/>
      </c>
      <c r="AT35" s="908">
        <f>AT17/AS17-1</f>
        <v/>
      </c>
      <c r="AU35" s="908">
        <f>AU17/AT17-1</f>
        <v/>
      </c>
      <c r="AV35" s="908">
        <f>AV17/AU17-1</f>
        <v/>
      </c>
      <c r="AW35" s="908">
        <f>AW17/AV17-1</f>
        <v/>
      </c>
      <c r="AX35" s="908">
        <f>AX17/AW17-1</f>
        <v/>
      </c>
      <c r="AY35" s="908">
        <f>AY17/AX17-1</f>
        <v/>
      </c>
      <c r="AZ35" s="908">
        <f>AZ17/AY17-1</f>
        <v/>
      </c>
      <c r="BA35" s="908">
        <f>BA17/AZ17-1</f>
        <v/>
      </c>
      <c r="BB35" s="908">
        <f>BB17/BA17-1</f>
        <v/>
      </c>
      <c r="BC35" s="908">
        <f>BC17/BB17-1</f>
        <v/>
      </c>
      <c r="BD35" s="908">
        <f>BD17/BC17-1</f>
        <v/>
      </c>
      <c r="BE35" s="908">
        <f>BE17/BD17-1</f>
        <v/>
      </c>
      <c r="BF35" s="908">
        <f>BF17/BE17-1</f>
        <v/>
      </c>
      <c r="BG35" s="908">
        <f>BG17/BF17-1</f>
        <v/>
      </c>
      <c r="BH35" s="908">
        <f>BH17/BG17-1</f>
        <v/>
      </c>
      <c r="BI35" s="908">
        <f>BI17/BH17-1</f>
        <v/>
      </c>
      <c r="BJ35" s="908">
        <f>BJ17/BI17-1</f>
        <v/>
      </c>
      <c r="BK35" s="908">
        <f>BK17/BJ17-1</f>
        <v/>
      </c>
      <c r="BL35" s="908">
        <f>BL17/BK17-1</f>
        <v/>
      </c>
      <c r="BM35" s="908">
        <f>BM17/BL17-1</f>
        <v/>
      </c>
      <c r="BN35" s="908">
        <f>BN17/BM17-1</f>
        <v/>
      </c>
      <c r="BO35" s="908">
        <f>BO17/BN17-1</f>
        <v/>
      </c>
      <c r="BP35" s="908">
        <f>BP17/BO17-1</f>
        <v/>
      </c>
      <c r="BQ35" s="908">
        <f>BQ17/BP17-1</f>
        <v/>
      </c>
      <c r="BR35" s="908">
        <f>BR17/BQ17-1</f>
        <v/>
      </c>
      <c r="BS35" s="908">
        <f>BS17/BR17-1</f>
        <v/>
      </c>
      <c r="BT35" s="908">
        <f>BT17/BS17-1</f>
        <v/>
      </c>
      <c r="BU35" s="908">
        <f>BU17/BT17-1</f>
        <v/>
      </c>
      <c r="BV35" s="908">
        <f>BV17/BU17-1</f>
        <v/>
      </c>
      <c r="BW35" s="908">
        <f>BW17/BV17-1</f>
        <v/>
      </c>
      <c r="BX35" s="908">
        <f>BX17/BW17-1</f>
        <v/>
      </c>
      <c r="BY35" s="908">
        <f>BY17/BX17-1</f>
        <v/>
      </c>
      <c r="BZ35" s="908">
        <f>BZ17/BY17-1</f>
        <v/>
      </c>
      <c r="CA35" s="908">
        <f>CA17/BZ17-1</f>
        <v/>
      </c>
      <c r="CB35" s="908">
        <f>CB17/CA17-1</f>
        <v/>
      </c>
      <c r="CC35" s="908">
        <f>CC17/CB17-1</f>
        <v/>
      </c>
      <c r="CD35" s="908">
        <f>CD17/CC17-1</f>
        <v/>
      </c>
      <c r="CE35" s="908">
        <f>CE17/CD17-1</f>
        <v/>
      </c>
      <c r="CF35" s="908">
        <f>CF17/CE17-1</f>
        <v/>
      </c>
      <c r="CG35" s="908">
        <f>CG17/CF17-1</f>
        <v/>
      </c>
      <c r="CH35" s="908">
        <f>CH17/CG17-1</f>
        <v/>
      </c>
      <c r="CI35" s="908">
        <f>CI17/CH17-1</f>
        <v/>
      </c>
      <c r="CJ35" s="908">
        <f>CJ17/CI17-1</f>
        <v/>
      </c>
      <c r="CK35" s="908">
        <f>CK17/CJ17-1</f>
        <v/>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c r="DS35" s="406" t="n"/>
    </row>
    <row r="36">
      <c r="A36" s="74">
        <f>A27</f>
        <v/>
      </c>
      <c r="B36" s="890" t="n"/>
      <c r="C36" s="890" t="n"/>
      <c r="D36" s="890" t="n"/>
      <c r="E36" s="890" t="n"/>
      <c r="F36" s="890" t="n"/>
      <c r="G36" s="890" t="n"/>
      <c r="H36" s="890" t="n"/>
      <c r="I36" s="890" t="n"/>
      <c r="J36" s="890" t="n"/>
      <c r="K36" s="890" t="n"/>
      <c r="L36" s="890" t="n"/>
      <c r="M36" s="890" t="n"/>
      <c r="N36" s="515" t="n"/>
      <c r="O36" s="515" t="n"/>
      <c r="P36" s="515" t="n"/>
      <c r="Q36" s="515" t="n"/>
      <c r="R36" s="515" t="n"/>
      <c r="S36" s="515" t="n"/>
      <c r="T36" s="515" t="n"/>
      <c r="U36" s="515" t="n"/>
      <c r="V36" s="515" t="n"/>
      <c r="W36" s="515" t="n"/>
      <c r="X36" s="515" t="n"/>
      <c r="Y36" s="515" t="n"/>
      <c r="Z36" s="515" t="n"/>
      <c r="AA36" s="908">
        <f>AA18/Z18-1</f>
        <v/>
      </c>
      <c r="AB36" s="908">
        <f>AB18/AA18-1</f>
        <v/>
      </c>
      <c r="AC36" s="908">
        <f>AC18/AB18-1</f>
        <v/>
      </c>
      <c r="AD36" s="908">
        <f>AD18/AC18-1</f>
        <v/>
      </c>
      <c r="AE36" s="908">
        <f>AE18/AD18-1</f>
        <v/>
      </c>
      <c r="AF36" s="908">
        <f>AF18/AE18-1</f>
        <v/>
      </c>
      <c r="AG36" s="908">
        <f>AG18/AF18-1</f>
        <v/>
      </c>
      <c r="AH36" s="908">
        <f>AH18/AG18-1</f>
        <v/>
      </c>
      <c r="AI36" s="908">
        <f>AI18/AH18-1</f>
        <v/>
      </c>
      <c r="AJ36" s="908">
        <f>AJ18/AI18-1</f>
        <v/>
      </c>
      <c r="AK36" s="908">
        <f>AK18/AJ18-1</f>
        <v/>
      </c>
      <c r="AL36" s="908">
        <f>AL18/AK18-1</f>
        <v/>
      </c>
      <c r="AM36" s="908">
        <f>AM18/AL18-1</f>
        <v/>
      </c>
      <c r="AN36" s="908">
        <f>AN18/AM18-1</f>
        <v/>
      </c>
      <c r="AO36" s="908">
        <f>AO18/AN18-1</f>
        <v/>
      </c>
      <c r="AP36" s="908">
        <f>AP18/AO18-1</f>
        <v/>
      </c>
      <c r="AQ36" s="908">
        <f>AQ18/AP18-1</f>
        <v/>
      </c>
      <c r="AR36" s="908">
        <f>AR18/AQ18-1</f>
        <v/>
      </c>
      <c r="AS36" s="908">
        <f>AS18/AR18-1</f>
        <v/>
      </c>
      <c r="AT36" s="908">
        <f>AT18/AS18-1</f>
        <v/>
      </c>
      <c r="AU36" s="908">
        <f>AU18/AT18-1</f>
        <v/>
      </c>
      <c r="AV36" s="908">
        <f>AV18/AU18-1</f>
        <v/>
      </c>
      <c r="AW36" s="908">
        <f>AW18/AV18-1</f>
        <v/>
      </c>
      <c r="AX36" s="908">
        <f>AX18/AW18-1</f>
        <v/>
      </c>
      <c r="AY36" s="908">
        <f>AY18/AX18-1</f>
        <v/>
      </c>
      <c r="AZ36" s="908">
        <f>AZ18/AY18-1</f>
        <v/>
      </c>
      <c r="BA36" s="908">
        <f>BA18/AZ18-1</f>
        <v/>
      </c>
      <c r="BB36" s="908">
        <f>BB18/BA18-1</f>
        <v/>
      </c>
      <c r="BC36" s="908">
        <f>BC18/BB18-1</f>
        <v/>
      </c>
      <c r="BD36" s="908">
        <f>BD18/BC18-1</f>
        <v/>
      </c>
      <c r="BE36" s="908">
        <f>BE18/BD18-1</f>
        <v/>
      </c>
      <c r="BF36" s="908">
        <f>BF18/BE18-1</f>
        <v/>
      </c>
      <c r="BG36" s="908">
        <f>BG18/BF18-1</f>
        <v/>
      </c>
      <c r="BH36" s="908">
        <f>BH18/BG18-1</f>
        <v/>
      </c>
      <c r="BI36" s="908">
        <f>BI18/BH18-1</f>
        <v/>
      </c>
      <c r="BJ36" s="908">
        <f>BJ18/BI18-1</f>
        <v/>
      </c>
      <c r="BK36" s="908">
        <f>BK18/BJ18-1</f>
        <v/>
      </c>
      <c r="BL36" s="908">
        <f>BL18/BK18-1</f>
        <v/>
      </c>
      <c r="BM36" s="908">
        <f>BM18/BL18-1</f>
        <v/>
      </c>
      <c r="BN36" s="908">
        <f>BN18/BM18-1</f>
        <v/>
      </c>
      <c r="BO36" s="908">
        <f>BO18/BN18-1</f>
        <v/>
      </c>
      <c r="BP36" s="908">
        <f>BP18/BO18-1</f>
        <v/>
      </c>
      <c r="BQ36" s="908">
        <f>BQ18/BP18-1</f>
        <v/>
      </c>
      <c r="BR36" s="908">
        <f>BR18/BQ18-1</f>
        <v/>
      </c>
      <c r="BS36" s="908">
        <f>BS18/BR18-1</f>
        <v/>
      </c>
      <c r="BT36" s="908">
        <f>BT18/BS18-1</f>
        <v/>
      </c>
      <c r="BU36" s="908">
        <f>BU18/BT18-1</f>
        <v/>
      </c>
      <c r="BV36" s="908">
        <f>BV18/BU18-1</f>
        <v/>
      </c>
      <c r="BW36" s="908">
        <f>BW18/BV18-1</f>
        <v/>
      </c>
      <c r="BX36" s="908">
        <f>BX18/BW18-1</f>
        <v/>
      </c>
      <c r="BY36" s="908">
        <f>BY18/BX18-1</f>
        <v/>
      </c>
      <c r="BZ36" s="908">
        <f>BZ18/BY18-1</f>
        <v/>
      </c>
      <c r="CA36" s="908">
        <f>CA18/BZ18-1</f>
        <v/>
      </c>
      <c r="CB36" s="908">
        <f>CB18/CA18-1</f>
        <v/>
      </c>
      <c r="CC36" s="908">
        <f>CC18/CB18-1</f>
        <v/>
      </c>
      <c r="CD36" s="908">
        <f>CD18/CC18-1</f>
        <v/>
      </c>
      <c r="CE36" s="908">
        <f>CE18/CD18-1</f>
        <v/>
      </c>
      <c r="CF36" s="908">
        <f>CF18/CE18-1</f>
        <v/>
      </c>
      <c r="CG36" s="908">
        <f>CG18/CF18-1</f>
        <v/>
      </c>
      <c r="CH36" s="908">
        <f>CH18/CG18-1</f>
        <v/>
      </c>
      <c r="CI36" s="908">
        <f>CI18/CH18-1</f>
        <v/>
      </c>
      <c r="CJ36" s="908">
        <f>CJ18/CI18-1</f>
        <v/>
      </c>
      <c r="CK36" s="908">
        <f>CK18/CJ18-1</f>
        <v/>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c r="DS36" s="406" t="n"/>
    </row>
    <row r="37">
      <c r="A37" s="74">
        <f>A28</f>
        <v/>
      </c>
      <c r="B37" s="890" t="n"/>
      <c r="C37" s="890" t="n"/>
      <c r="D37" s="890" t="n"/>
      <c r="E37" s="890" t="n"/>
      <c r="F37" s="890" t="n"/>
      <c r="G37" s="890" t="n"/>
      <c r="H37" s="890" t="n"/>
      <c r="I37" s="890" t="n"/>
      <c r="J37" s="890" t="n"/>
      <c r="K37" s="890" t="n"/>
      <c r="L37" s="890" t="n"/>
      <c r="M37" s="890" t="n"/>
      <c r="N37" s="515" t="n"/>
      <c r="O37" s="515" t="n"/>
      <c r="P37" s="515" t="n"/>
      <c r="Q37" s="515" t="n"/>
      <c r="R37" s="515" t="n"/>
      <c r="S37" s="515" t="n"/>
      <c r="T37" s="515" t="n"/>
      <c r="U37" s="515" t="n"/>
      <c r="V37" s="515" t="n"/>
      <c r="W37" s="515" t="n"/>
      <c r="X37" s="515" t="n"/>
      <c r="Y37" s="515" t="n"/>
      <c r="Z37" s="515" t="n"/>
      <c r="AA37" s="908">
        <f>AA19/Z19-1</f>
        <v/>
      </c>
      <c r="AB37" s="908">
        <f>AB19/AA19-1</f>
        <v/>
      </c>
      <c r="AC37" s="908">
        <f>AC19/AB19-1</f>
        <v/>
      </c>
      <c r="AD37" s="908">
        <f>AD19/AC19-1</f>
        <v/>
      </c>
      <c r="AE37" s="908">
        <f>AE19/AD19-1</f>
        <v/>
      </c>
      <c r="AF37" s="908">
        <f>AF19/AE19-1</f>
        <v/>
      </c>
      <c r="AG37" s="908">
        <f>AG19/AF19-1</f>
        <v/>
      </c>
      <c r="AH37" s="908">
        <f>AH19/AG19-1</f>
        <v/>
      </c>
      <c r="AI37" s="908">
        <f>AI19/AH19-1</f>
        <v/>
      </c>
      <c r="AJ37" s="908">
        <f>AJ19/AI19-1</f>
        <v/>
      </c>
      <c r="AK37" s="908">
        <f>AK19/AJ19-1</f>
        <v/>
      </c>
      <c r="AL37" s="908">
        <f>AL19/AK19-1</f>
        <v/>
      </c>
      <c r="AM37" s="908">
        <f>AM19/AL19-1</f>
        <v/>
      </c>
      <c r="AN37" s="908">
        <f>AN19/AM19-1</f>
        <v/>
      </c>
      <c r="AO37" s="908">
        <f>AO19/AN19-1</f>
        <v/>
      </c>
      <c r="AP37" s="908">
        <f>AP19/AO19-1</f>
        <v/>
      </c>
      <c r="AQ37" s="908">
        <f>AQ19/AP19-1</f>
        <v/>
      </c>
      <c r="AR37" s="908">
        <f>AR19/AQ19-1</f>
        <v/>
      </c>
      <c r="AS37" s="908">
        <f>AS19/AR19-1</f>
        <v/>
      </c>
      <c r="AT37" s="908">
        <f>AT19/AS19-1</f>
        <v/>
      </c>
      <c r="AU37" s="908">
        <f>AU19/AT19-1</f>
        <v/>
      </c>
      <c r="AV37" s="908">
        <f>AV19/AU19-1</f>
        <v/>
      </c>
      <c r="AW37" s="908">
        <f>AW19/AV19-1</f>
        <v/>
      </c>
      <c r="AX37" s="908">
        <f>AX19/AW19-1</f>
        <v/>
      </c>
      <c r="AY37" s="908">
        <f>AY19/AX19-1</f>
        <v/>
      </c>
      <c r="AZ37" s="908">
        <f>AZ19/AY19-1</f>
        <v/>
      </c>
      <c r="BA37" s="908">
        <f>BA19/AZ19-1</f>
        <v/>
      </c>
      <c r="BB37" s="908">
        <f>BB19/BA19-1</f>
        <v/>
      </c>
      <c r="BC37" s="908">
        <f>BC19/BB19-1</f>
        <v/>
      </c>
      <c r="BD37" s="908">
        <f>BD19/BC19-1</f>
        <v/>
      </c>
      <c r="BE37" s="908">
        <f>BE19/BD19-1</f>
        <v/>
      </c>
      <c r="BF37" s="908">
        <f>BF19/BE19-1</f>
        <v/>
      </c>
      <c r="BG37" s="908">
        <f>BG19/BF19-1</f>
        <v/>
      </c>
      <c r="BH37" s="908">
        <f>BH19/BG19-1</f>
        <v/>
      </c>
      <c r="BI37" s="908">
        <f>BI19/BH19-1</f>
        <v/>
      </c>
      <c r="BJ37" s="908">
        <f>BJ19/BI19-1</f>
        <v/>
      </c>
      <c r="BK37" s="908">
        <f>BK19/BJ19-1</f>
        <v/>
      </c>
      <c r="BL37" s="908">
        <f>BL19/BK19-1</f>
        <v/>
      </c>
      <c r="BM37" s="908">
        <f>BM19/BL19-1</f>
        <v/>
      </c>
      <c r="BN37" s="908">
        <f>BN19/BM19-1</f>
        <v/>
      </c>
      <c r="BO37" s="908">
        <f>BO19/BN19-1</f>
        <v/>
      </c>
      <c r="BP37" s="908">
        <f>BP19/BO19-1</f>
        <v/>
      </c>
      <c r="BQ37" s="908">
        <f>BQ19/BP19-1</f>
        <v/>
      </c>
      <c r="BR37" s="908">
        <f>BR19/BQ19-1</f>
        <v/>
      </c>
      <c r="BS37" s="908">
        <f>BS19/BR19-1</f>
        <v/>
      </c>
      <c r="BT37" s="908">
        <f>BT19/BS19-1</f>
        <v/>
      </c>
      <c r="BU37" s="908">
        <f>BU19/BT19-1</f>
        <v/>
      </c>
      <c r="BV37" s="908">
        <f>BV19/BU19-1</f>
        <v/>
      </c>
      <c r="BW37" s="908">
        <f>BW19/BV19-1</f>
        <v/>
      </c>
      <c r="BX37" s="908">
        <f>BX19/BW19-1</f>
        <v/>
      </c>
      <c r="BY37" s="908">
        <f>BY19/BX19-1</f>
        <v/>
      </c>
      <c r="BZ37" s="908">
        <f>BZ19/BY19-1</f>
        <v/>
      </c>
      <c r="CA37" s="908">
        <f>CA19/BZ19-1</f>
        <v/>
      </c>
      <c r="CB37" s="908">
        <f>CB19/CA19-1</f>
        <v/>
      </c>
      <c r="CC37" s="908">
        <f>CC19/CB19-1</f>
        <v/>
      </c>
      <c r="CD37" s="908">
        <f>CD19/CC19-1</f>
        <v/>
      </c>
      <c r="CE37" s="908">
        <f>CE19/CD19-1</f>
        <v/>
      </c>
      <c r="CF37" s="908">
        <f>CF19/CE19-1</f>
        <v/>
      </c>
      <c r="CG37" s="908">
        <f>CG19/CF19-1</f>
        <v/>
      </c>
      <c r="CH37" s="908">
        <f>CH19/CG19-1</f>
        <v/>
      </c>
      <c r="CI37" s="908">
        <f>CI19/CH19-1</f>
        <v/>
      </c>
      <c r="CJ37" s="908">
        <f>CJ19/CI19-1</f>
        <v/>
      </c>
      <c r="CK37" s="908">
        <f>CK19/CJ19-1</f>
        <v/>
      </c>
    </row>
    <row r="38" customFormat="1" s="21">
      <c r="A38" s="22">
        <f>A29</f>
        <v/>
      </c>
      <c r="B38" s="881" t="n"/>
      <c r="C38" s="881" t="n"/>
      <c r="D38" s="881" t="n"/>
      <c r="E38" s="881" t="n"/>
      <c r="F38" s="881" t="n"/>
      <c r="G38" s="881" t="n"/>
      <c r="H38" s="881" t="n"/>
      <c r="I38" s="881" t="n"/>
      <c r="J38" s="881" t="n"/>
      <c r="K38" s="881" t="n"/>
      <c r="L38" s="881" t="n"/>
      <c r="M38" s="881" t="n"/>
      <c r="AA38" s="910">
        <f>AA20/Z20-1</f>
        <v/>
      </c>
      <c r="AB38" s="910">
        <f>AB20/AA20-1</f>
        <v/>
      </c>
      <c r="AC38" s="910">
        <f>AC20/AB20-1</f>
        <v/>
      </c>
      <c r="AD38" s="910">
        <f>AD20/AC20-1</f>
        <v/>
      </c>
      <c r="AE38" s="910">
        <f>AE20/AD20-1</f>
        <v/>
      </c>
      <c r="AF38" s="910">
        <f>AF20/AE20-1</f>
        <v/>
      </c>
      <c r="AG38" s="910">
        <f>AG20/AF20-1</f>
        <v/>
      </c>
      <c r="AH38" s="910">
        <f>AH20/AG20-1</f>
        <v/>
      </c>
      <c r="AI38" s="910">
        <f>AI20/AH20-1</f>
        <v/>
      </c>
      <c r="AJ38" s="910">
        <f>AJ20/AI20-1</f>
        <v/>
      </c>
      <c r="AK38" s="910">
        <f>AK20/AJ20-1</f>
        <v/>
      </c>
      <c r="AL38" s="910">
        <f>AL20/AK20-1</f>
        <v/>
      </c>
      <c r="AM38" s="910">
        <f>AM20/AL20-1</f>
        <v/>
      </c>
      <c r="AN38" s="910">
        <f>AN20/AM20-1</f>
        <v/>
      </c>
      <c r="AO38" s="910">
        <f>AO20/AN20-1</f>
        <v/>
      </c>
      <c r="AP38" s="910">
        <f>AP20/AO20-1</f>
        <v/>
      </c>
      <c r="AQ38" s="910">
        <f>AQ20/AP20-1</f>
        <v/>
      </c>
      <c r="AR38" s="910">
        <f>AR20/AQ20-1</f>
        <v/>
      </c>
      <c r="AS38" s="910">
        <f>AS20/AR20-1</f>
        <v/>
      </c>
      <c r="AT38" s="910">
        <f>AT20/AS20-1</f>
        <v/>
      </c>
      <c r="AU38" s="910">
        <f>AU20/AT20-1</f>
        <v/>
      </c>
      <c r="AV38" s="910">
        <f>AV20/AU20-1</f>
        <v/>
      </c>
      <c r="AW38" s="910">
        <f>AW20/AV20-1</f>
        <v/>
      </c>
      <c r="AX38" s="910">
        <f>AX20/AW20-1</f>
        <v/>
      </c>
      <c r="AY38" s="910">
        <f>AY20/AX20-1</f>
        <v/>
      </c>
      <c r="AZ38" s="910">
        <f>AZ20/AY20-1</f>
        <v/>
      </c>
      <c r="BA38" s="910">
        <f>BA20/AZ20-1</f>
        <v/>
      </c>
      <c r="BB38" s="910">
        <f>BB20/BA20-1</f>
        <v/>
      </c>
      <c r="BC38" s="910">
        <f>BC20/BB20-1</f>
        <v/>
      </c>
      <c r="BD38" s="910">
        <f>BD20/BC20-1</f>
        <v/>
      </c>
      <c r="BE38" s="910">
        <f>BE20/BD20-1</f>
        <v/>
      </c>
      <c r="BF38" s="910">
        <f>BF20/BE20-1</f>
        <v/>
      </c>
      <c r="BG38" s="910">
        <f>BG20/BF20-1</f>
        <v/>
      </c>
      <c r="BH38" s="910">
        <f>BH20/BG20-1</f>
        <v/>
      </c>
      <c r="BI38" s="910">
        <f>BI20/BH20-1</f>
        <v/>
      </c>
      <c r="BJ38" s="910">
        <f>BJ20/BI20-1</f>
        <v/>
      </c>
      <c r="BK38" s="910">
        <f>BK20/BJ20-1</f>
        <v/>
      </c>
      <c r="BL38" s="910">
        <f>BL20/BK20-1</f>
        <v/>
      </c>
      <c r="BM38" s="910">
        <f>BM20/BL20-1</f>
        <v/>
      </c>
      <c r="BN38" s="910">
        <f>BN20/BM20-1</f>
        <v/>
      </c>
      <c r="BO38" s="910">
        <f>BO20/BN20-1</f>
        <v/>
      </c>
      <c r="BP38" s="910">
        <f>BP20/BO20-1</f>
        <v/>
      </c>
      <c r="BQ38" s="910">
        <f>BQ20/BP20-1</f>
        <v/>
      </c>
      <c r="BR38" s="910">
        <f>BR20/BQ20-1</f>
        <v/>
      </c>
      <c r="BS38" s="910">
        <f>BS20/BR20-1</f>
        <v/>
      </c>
      <c r="BT38" s="910">
        <f>BT20/BS20-1</f>
        <v/>
      </c>
      <c r="BU38" s="910">
        <f>BU20/BT20-1</f>
        <v/>
      </c>
      <c r="BV38" s="910">
        <f>BV20/BU20-1</f>
        <v/>
      </c>
      <c r="BW38" s="910">
        <f>BW20/BV20-1</f>
        <v/>
      </c>
      <c r="BX38" s="910">
        <f>BX20/BW20-1</f>
        <v/>
      </c>
      <c r="BY38" s="910">
        <f>BY20/BX20-1</f>
        <v/>
      </c>
      <c r="BZ38" s="910">
        <f>BZ20/BY20-1</f>
        <v/>
      </c>
      <c r="CA38" s="910">
        <f>CA20/BZ20-1</f>
        <v/>
      </c>
      <c r="CB38" s="910">
        <f>CB20/CA20-1</f>
        <v/>
      </c>
      <c r="CC38" s="910">
        <f>CC20/CB20-1</f>
        <v/>
      </c>
      <c r="CD38" s="910">
        <f>CD20/CC20-1</f>
        <v/>
      </c>
      <c r="CE38" s="910">
        <f>CE20/CD20-1</f>
        <v/>
      </c>
      <c r="CF38" s="910">
        <f>CF20/CE20-1</f>
        <v/>
      </c>
      <c r="CG38" s="910">
        <f>CG20/CF20-1</f>
        <v/>
      </c>
      <c r="CH38" s="910">
        <f>CH20/CG20-1</f>
        <v/>
      </c>
      <c r="CI38" s="910">
        <f>CI20/CH20-1</f>
        <v/>
      </c>
      <c r="CJ38" s="910">
        <f>CJ20/CI20-1</f>
        <v/>
      </c>
      <c r="CK38" s="910">
        <f>CK20/CJ20-1</f>
        <v/>
      </c>
    </row>
    <row r="39"/>
    <row r="40">
      <c r="A40" s="40" t="inlineStr">
        <is>
          <t>Product Mix (%)</t>
        </is>
      </c>
    </row>
    <row r="41">
      <c r="A41" s="74">
        <f>A32</f>
        <v/>
      </c>
      <c r="B41" s="890" t="n"/>
      <c r="C41" s="890" t="n"/>
      <c r="D41" s="890" t="n"/>
      <c r="E41" s="890" t="n"/>
      <c r="F41" s="890" t="n"/>
      <c r="G41" s="890" t="n"/>
      <c r="H41" s="890" t="n"/>
      <c r="I41" s="890" t="n"/>
      <c r="J41" s="890" t="n"/>
      <c r="K41" s="890" t="n"/>
      <c r="L41" s="890" t="n"/>
      <c r="M41" s="890" t="n"/>
      <c r="N41" s="515" t="n"/>
      <c r="O41" s="515" t="n"/>
      <c r="P41" s="515" t="n"/>
      <c r="Q41" s="515" t="n"/>
      <c r="R41" s="515" t="n"/>
      <c r="S41" s="515" t="n"/>
      <c r="T41" s="515" t="n"/>
      <c r="U41" s="515" t="n"/>
      <c r="V41" s="515" t="n"/>
      <c r="W41" s="515" t="n"/>
      <c r="X41" s="515" t="n"/>
      <c r="Y41" s="515" t="n"/>
      <c r="Z41" s="908">
        <f>Z14/Z$20</f>
        <v/>
      </c>
      <c r="AA41" s="908">
        <f>AA14/AA$20</f>
        <v/>
      </c>
      <c r="AB41" s="908">
        <f>AB14/AB$20</f>
        <v/>
      </c>
      <c r="AC41" s="908">
        <f>AC14/AC$20</f>
        <v/>
      </c>
      <c r="AD41" s="908">
        <f>AD14/AD$20</f>
        <v/>
      </c>
      <c r="AE41" s="908">
        <f>AE14/AE$20</f>
        <v/>
      </c>
      <c r="AF41" s="908">
        <f>AF14/AF$20</f>
        <v/>
      </c>
      <c r="AG41" s="908">
        <f>AG14/AG$20</f>
        <v/>
      </c>
      <c r="AH41" s="908">
        <f>AH14/AH$20</f>
        <v/>
      </c>
      <c r="AI41" s="908">
        <f>AI14/AI$20</f>
        <v/>
      </c>
      <c r="AJ41" s="908">
        <f>AJ14/AJ$20</f>
        <v/>
      </c>
      <c r="AK41" s="908">
        <f>AK14/AK$20</f>
        <v/>
      </c>
      <c r="AL41" s="908">
        <f>AL14/AL$20</f>
        <v/>
      </c>
      <c r="AM41" s="908">
        <f>AM14/AM$20</f>
        <v/>
      </c>
      <c r="AN41" s="908">
        <f>AN14/AN$20</f>
        <v/>
      </c>
      <c r="AO41" s="908">
        <f>AO14/AO$20</f>
        <v/>
      </c>
      <c r="AP41" s="908">
        <f>AP14/AP$20</f>
        <v/>
      </c>
      <c r="AQ41" s="908">
        <f>AQ14/AQ$20</f>
        <v/>
      </c>
      <c r="AR41" s="908">
        <f>AR14/AR$20</f>
        <v/>
      </c>
      <c r="AS41" s="908">
        <f>AS14/AS$20</f>
        <v/>
      </c>
      <c r="AT41" s="908">
        <f>AT14/AT$20</f>
        <v/>
      </c>
      <c r="AU41" s="908">
        <f>AU14/AU$20</f>
        <v/>
      </c>
      <c r="AV41" s="908">
        <f>AV14/AV$20</f>
        <v/>
      </c>
      <c r="AW41" s="908">
        <f>AW14/AW$20</f>
        <v/>
      </c>
      <c r="AX41" s="908">
        <f>AX14/AX$20</f>
        <v/>
      </c>
      <c r="AY41" s="908">
        <f>AY14/AY$20</f>
        <v/>
      </c>
      <c r="AZ41" s="908">
        <f>AZ14/AZ$20</f>
        <v/>
      </c>
      <c r="BA41" s="908">
        <f>BA14/BA$20</f>
        <v/>
      </c>
      <c r="BB41" s="908">
        <f>BB14/BB$20</f>
        <v/>
      </c>
      <c r="BC41" s="908">
        <f>BC14/BC$20</f>
        <v/>
      </c>
      <c r="BD41" s="908">
        <f>BD14/BD$20</f>
        <v/>
      </c>
      <c r="BE41" s="908">
        <f>BE14/BE$20</f>
        <v/>
      </c>
      <c r="BF41" s="908">
        <f>BF14/BF$20</f>
        <v/>
      </c>
      <c r="BG41" s="908">
        <f>BG14/BG$20</f>
        <v/>
      </c>
      <c r="BH41" s="908">
        <f>BH14/BH$20</f>
        <v/>
      </c>
      <c r="BI41" s="908">
        <f>BI14/BI$20</f>
        <v/>
      </c>
      <c r="BJ41" s="908">
        <f>BJ14/BJ$20</f>
        <v/>
      </c>
      <c r="BK41" s="908">
        <f>BK14/BK$20</f>
        <v/>
      </c>
      <c r="BL41" s="908">
        <f>BL14/BL$20</f>
        <v/>
      </c>
      <c r="BM41" s="908">
        <f>BM14/BM$20</f>
        <v/>
      </c>
      <c r="BN41" s="908">
        <f>BN14/BN$20</f>
        <v/>
      </c>
      <c r="BO41" s="908">
        <f>BO14/BO$20</f>
        <v/>
      </c>
      <c r="BP41" s="908">
        <f>BP14/BP$20</f>
        <v/>
      </c>
      <c r="BQ41" s="908">
        <f>BQ14/BQ$20</f>
        <v/>
      </c>
      <c r="BR41" s="908">
        <f>BR14/BR$20</f>
        <v/>
      </c>
      <c r="BS41" s="908">
        <f>BS14/BS$20</f>
        <v/>
      </c>
      <c r="BT41" s="908">
        <f>BT14/BT$20</f>
        <v/>
      </c>
      <c r="BU41" s="908">
        <f>BU14/BU$20</f>
        <v/>
      </c>
      <c r="BV41" s="908">
        <f>BV14/BV$20</f>
        <v/>
      </c>
      <c r="BW41" s="908">
        <f>BW14/BW$20</f>
        <v/>
      </c>
      <c r="BX41" s="908">
        <f>BX14/BX$20</f>
        <v/>
      </c>
      <c r="BY41" s="908">
        <f>BY14/BY$20</f>
        <v/>
      </c>
      <c r="BZ41" s="908">
        <f>BZ14/BZ$20</f>
        <v/>
      </c>
      <c r="CA41" s="908">
        <f>CA14/CA$20</f>
        <v/>
      </c>
      <c r="CB41" s="908">
        <f>CB14/CB$20</f>
        <v/>
      </c>
      <c r="CC41" s="908">
        <f>CC14/CC$20</f>
        <v/>
      </c>
      <c r="CD41" s="908">
        <f>CD14/CD$20</f>
        <v/>
      </c>
      <c r="CE41" s="908">
        <f>CE14/CE$20</f>
        <v/>
      </c>
      <c r="CF41" s="908">
        <f>CF14/CF$20</f>
        <v/>
      </c>
      <c r="CG41" s="908">
        <f>CG14/CG$20</f>
        <v/>
      </c>
      <c r="CH41" s="908">
        <f>CH14/CH$20</f>
        <v/>
      </c>
      <c r="CI41" s="908">
        <f>CI14/CI$20</f>
        <v/>
      </c>
      <c r="CJ41" s="908">
        <f>CJ14/CJ$20</f>
        <v/>
      </c>
      <c r="CK41" s="908">
        <f>CK14/CK$20</f>
        <v/>
      </c>
      <c r="DD41" s="912">
        <f>DD14/DD$20</f>
        <v/>
      </c>
      <c r="DE41" s="912">
        <f>DE14/DE$20</f>
        <v/>
      </c>
      <c r="DF41" s="912">
        <f>DF14/DF$20</f>
        <v/>
      </c>
      <c r="DG41" s="912">
        <f>DG14/DG$20</f>
        <v/>
      </c>
      <c r="DH41" s="912">
        <f>DH14/DH$20</f>
        <v/>
      </c>
      <c r="DI41" s="912">
        <f>DI14/DI$20</f>
        <v/>
      </c>
      <c r="DJ41" s="912">
        <f>DJ14/DJ$20</f>
        <v/>
      </c>
      <c r="DK41" s="912">
        <f>DK14/DK$20</f>
        <v/>
      </c>
      <c r="DL41" s="912">
        <f>DL14/DL$20</f>
        <v/>
      </c>
      <c r="DM41" s="912">
        <f>DM14/DM$20</f>
        <v/>
      </c>
      <c r="DN41" s="912">
        <f>DN14/DN$20</f>
        <v/>
      </c>
      <c r="DO41" s="912">
        <f>DO14/DO$20</f>
        <v/>
      </c>
      <c r="DP41" s="912">
        <f>DP14/DP$20</f>
        <v/>
      </c>
      <c r="DQ41" s="912">
        <f>DQ14/DQ$20</f>
        <v/>
      </c>
      <c r="DR41" s="912">
        <f>DR14/DR$20</f>
        <v/>
      </c>
      <c r="DS41" s="912">
        <f>DS14/DS$20</f>
        <v/>
      </c>
    </row>
    <row r="42">
      <c r="A42" s="74">
        <f>A33</f>
        <v/>
      </c>
      <c r="B42" s="890" t="n"/>
      <c r="C42" s="890" t="n"/>
      <c r="D42" s="890" t="n"/>
      <c r="E42" s="890" t="n"/>
      <c r="F42" s="890" t="n"/>
      <c r="G42" s="890" t="n"/>
      <c r="H42" s="890" t="n"/>
      <c r="I42" s="890" t="n"/>
      <c r="J42" s="890" t="n"/>
      <c r="K42" s="890" t="n"/>
      <c r="L42" s="890" t="n"/>
      <c r="M42" s="890" t="n"/>
      <c r="N42" s="515" t="n"/>
      <c r="O42" s="515" t="n"/>
      <c r="P42" s="515" t="n"/>
      <c r="Q42" s="515" t="n"/>
      <c r="R42" s="515" t="n"/>
      <c r="S42" s="515" t="n"/>
      <c r="T42" s="515" t="n"/>
      <c r="U42" s="515" t="n"/>
      <c r="V42" s="515" t="n"/>
      <c r="W42" s="515" t="n"/>
      <c r="X42" s="515" t="n"/>
      <c r="Y42" s="515" t="n"/>
      <c r="Z42" s="908">
        <f>Z15/Z$20</f>
        <v/>
      </c>
      <c r="AA42" s="908">
        <f>AA15/AA$20</f>
        <v/>
      </c>
      <c r="AB42" s="908">
        <f>AB15/AB$20</f>
        <v/>
      </c>
      <c r="AC42" s="908">
        <f>AC15/AC$20</f>
        <v/>
      </c>
      <c r="AD42" s="908">
        <f>AD15/AD$20</f>
        <v/>
      </c>
      <c r="AE42" s="908">
        <f>AE15/AE$20</f>
        <v/>
      </c>
      <c r="AF42" s="908">
        <f>AF15/AF$20</f>
        <v/>
      </c>
      <c r="AG42" s="908">
        <f>AG15/AG$20</f>
        <v/>
      </c>
      <c r="AH42" s="908">
        <f>AH15/AH$20</f>
        <v/>
      </c>
      <c r="AI42" s="908">
        <f>AI15/AI$20</f>
        <v/>
      </c>
      <c r="AJ42" s="908">
        <f>AJ15/AJ$20</f>
        <v/>
      </c>
      <c r="AK42" s="908">
        <f>AK15/AK$20</f>
        <v/>
      </c>
      <c r="AL42" s="908">
        <f>AL15/AL$20</f>
        <v/>
      </c>
      <c r="AM42" s="908">
        <f>AM15/AM$20</f>
        <v/>
      </c>
      <c r="AN42" s="908">
        <f>AN15/AN$20</f>
        <v/>
      </c>
      <c r="AO42" s="908">
        <f>AO15/AO$20</f>
        <v/>
      </c>
      <c r="AP42" s="908">
        <f>AP15/AP$20</f>
        <v/>
      </c>
      <c r="AQ42" s="908">
        <f>AQ15/AQ$20</f>
        <v/>
      </c>
      <c r="AR42" s="908">
        <f>AR15/AR$20</f>
        <v/>
      </c>
      <c r="AS42" s="908">
        <f>AS15/AS$20</f>
        <v/>
      </c>
      <c r="AT42" s="908">
        <f>AT15/AT$20</f>
        <v/>
      </c>
      <c r="AU42" s="908">
        <f>AU15/AU$20</f>
        <v/>
      </c>
      <c r="AV42" s="908">
        <f>AV15/AV$20</f>
        <v/>
      </c>
      <c r="AW42" s="908">
        <f>AW15/AW$20</f>
        <v/>
      </c>
      <c r="AX42" s="908">
        <f>AX15/AX$20</f>
        <v/>
      </c>
      <c r="AY42" s="908">
        <f>AY15/AY$20</f>
        <v/>
      </c>
      <c r="AZ42" s="908">
        <f>AZ15/AZ$20</f>
        <v/>
      </c>
      <c r="BA42" s="908">
        <f>BA15/BA$20</f>
        <v/>
      </c>
      <c r="BB42" s="908">
        <f>BB15/BB$20</f>
        <v/>
      </c>
      <c r="BC42" s="908">
        <f>BC15/BC$20</f>
        <v/>
      </c>
      <c r="BD42" s="908">
        <f>BD15/BD$20</f>
        <v/>
      </c>
      <c r="BE42" s="908">
        <f>BE15/BE$20</f>
        <v/>
      </c>
      <c r="BF42" s="908">
        <f>BF15/BF$20</f>
        <v/>
      </c>
      <c r="BG42" s="908">
        <f>BG15/BG$20</f>
        <v/>
      </c>
      <c r="BH42" s="908">
        <f>BH15/BH$20</f>
        <v/>
      </c>
      <c r="BI42" s="908">
        <f>BI15/BI$20</f>
        <v/>
      </c>
      <c r="BJ42" s="908">
        <f>BJ15/BJ$20</f>
        <v/>
      </c>
      <c r="BK42" s="908">
        <f>BK15/BK$20</f>
        <v/>
      </c>
      <c r="BL42" s="908">
        <f>BL15/BL$20</f>
        <v/>
      </c>
      <c r="BM42" s="908">
        <f>BM15/BM$20</f>
        <v/>
      </c>
      <c r="BN42" s="908">
        <f>BN15/BN$20</f>
        <v/>
      </c>
      <c r="BO42" s="908">
        <f>BO15/BO$20</f>
        <v/>
      </c>
      <c r="BP42" s="908">
        <f>BP15/BP$20</f>
        <v/>
      </c>
      <c r="BQ42" s="908">
        <f>BQ15/BQ$20</f>
        <v/>
      </c>
      <c r="BR42" s="908">
        <f>BR15/BR$20</f>
        <v/>
      </c>
      <c r="BS42" s="908">
        <f>BS15/BS$20</f>
        <v/>
      </c>
      <c r="BT42" s="908">
        <f>BT15/BT$20</f>
        <v/>
      </c>
      <c r="BU42" s="908">
        <f>BU15/BU$20</f>
        <v/>
      </c>
      <c r="BV42" s="908">
        <f>BV15/BV$20</f>
        <v/>
      </c>
      <c r="BW42" s="908">
        <f>BW15/BW$20</f>
        <v/>
      </c>
      <c r="BX42" s="908">
        <f>BX15/BX$20</f>
        <v/>
      </c>
      <c r="BY42" s="908">
        <f>BY15/BY$20</f>
        <v/>
      </c>
      <c r="BZ42" s="908">
        <f>BZ15/BZ$20</f>
        <v/>
      </c>
      <c r="CA42" s="908">
        <f>CA15/CA$20</f>
        <v/>
      </c>
      <c r="CB42" s="908">
        <f>CB15/CB$20</f>
        <v/>
      </c>
      <c r="CC42" s="908">
        <f>CC15/CC$20</f>
        <v/>
      </c>
      <c r="CD42" s="908">
        <f>CD15/CD$20</f>
        <v/>
      </c>
      <c r="CE42" s="908">
        <f>CE15/CE$20</f>
        <v/>
      </c>
      <c r="CF42" s="908">
        <f>CF15/CF$20</f>
        <v/>
      </c>
      <c r="CG42" s="908">
        <f>CG15/CG$20</f>
        <v/>
      </c>
      <c r="CH42" s="908">
        <f>CH15/CH$20</f>
        <v/>
      </c>
      <c r="CI42" s="908">
        <f>CI15/CI$20</f>
        <v/>
      </c>
      <c r="CJ42" s="908">
        <f>CJ15/CJ$20</f>
        <v/>
      </c>
      <c r="CK42" s="908">
        <f>CK15/CK$20</f>
        <v/>
      </c>
      <c r="DD42" s="912">
        <f>DD15/DD$20</f>
        <v/>
      </c>
      <c r="DE42" s="912">
        <f>DE15/DE$20</f>
        <v/>
      </c>
      <c r="DF42" s="912">
        <f>DF15/DF$20</f>
        <v/>
      </c>
      <c r="DG42" s="912">
        <f>DG15/DG$20</f>
        <v/>
      </c>
      <c r="DH42" s="912">
        <f>DH15/DH$20</f>
        <v/>
      </c>
      <c r="DI42" s="912">
        <f>DI15/DI$20</f>
        <v/>
      </c>
      <c r="DJ42" s="912">
        <f>DJ15/DJ$20</f>
        <v/>
      </c>
      <c r="DK42" s="912">
        <f>DK15/DK$20</f>
        <v/>
      </c>
      <c r="DL42" s="912">
        <f>DL15/DL$20</f>
        <v/>
      </c>
      <c r="DM42" s="912">
        <f>DM15/DM$20</f>
        <v/>
      </c>
      <c r="DN42" s="912">
        <f>DN15/DN$20</f>
        <v/>
      </c>
      <c r="DO42" s="912">
        <f>DO15/DO$20</f>
        <v/>
      </c>
      <c r="DP42" s="912">
        <f>DP15/DP$20</f>
        <v/>
      </c>
      <c r="DQ42" s="912">
        <f>DQ15/DQ$20</f>
        <v/>
      </c>
      <c r="DR42" s="912">
        <f>DR15/DR$20</f>
        <v/>
      </c>
      <c r="DS42" s="912">
        <f>DS15/DS$20</f>
        <v/>
      </c>
    </row>
    <row r="43">
      <c r="A43" s="74">
        <f>A34</f>
        <v/>
      </c>
      <c r="B43" s="890" t="n"/>
      <c r="C43" s="890" t="n"/>
      <c r="D43" s="890" t="n"/>
      <c r="E43" s="890" t="n"/>
      <c r="F43" s="890" t="n"/>
      <c r="G43" s="890" t="n"/>
      <c r="H43" s="890" t="n"/>
      <c r="I43" s="890" t="n"/>
      <c r="J43" s="890" t="n"/>
      <c r="K43" s="890" t="n"/>
      <c r="L43" s="890" t="n"/>
      <c r="M43" s="890" t="n"/>
      <c r="N43" s="515" t="n"/>
      <c r="O43" s="515" t="n"/>
      <c r="P43" s="515" t="n"/>
      <c r="Q43" s="515" t="n"/>
      <c r="R43" s="515" t="n"/>
      <c r="S43" s="515" t="n"/>
      <c r="T43" s="515" t="n"/>
      <c r="U43" s="515" t="n"/>
      <c r="V43" s="515" t="n"/>
      <c r="W43" s="515" t="n"/>
      <c r="X43" s="515" t="n"/>
      <c r="Y43" s="515" t="n"/>
      <c r="Z43" s="908">
        <f>Z16/Z$20</f>
        <v/>
      </c>
      <c r="AA43" s="908">
        <f>AA16/AA$20</f>
        <v/>
      </c>
      <c r="AB43" s="908">
        <f>AB16/AB$20</f>
        <v/>
      </c>
      <c r="AC43" s="908">
        <f>AC16/AC$20</f>
        <v/>
      </c>
      <c r="AD43" s="908">
        <f>AD16/AD$20</f>
        <v/>
      </c>
      <c r="AE43" s="908">
        <f>AE16/AE$20</f>
        <v/>
      </c>
      <c r="AF43" s="908">
        <f>AF16/AF$20</f>
        <v/>
      </c>
      <c r="AG43" s="908">
        <f>AG16/AG$20</f>
        <v/>
      </c>
      <c r="AH43" s="908">
        <f>AH16/AH$20</f>
        <v/>
      </c>
      <c r="AI43" s="908">
        <f>AI16/AI$20</f>
        <v/>
      </c>
      <c r="AJ43" s="908">
        <f>AJ16/AJ$20</f>
        <v/>
      </c>
      <c r="AK43" s="908">
        <f>AK16/AK$20</f>
        <v/>
      </c>
      <c r="AL43" s="908">
        <f>AL16/AL$20</f>
        <v/>
      </c>
      <c r="AM43" s="908">
        <f>AM16/AM$20</f>
        <v/>
      </c>
      <c r="AN43" s="908">
        <f>AN16/AN$20</f>
        <v/>
      </c>
      <c r="AO43" s="908">
        <f>AO16/AO$20</f>
        <v/>
      </c>
      <c r="AP43" s="908">
        <f>AP16/AP$20</f>
        <v/>
      </c>
      <c r="AQ43" s="908">
        <f>AQ16/AQ$20</f>
        <v/>
      </c>
      <c r="AR43" s="908">
        <f>AR16/AR$20</f>
        <v/>
      </c>
      <c r="AS43" s="908">
        <f>AS16/AS$20</f>
        <v/>
      </c>
      <c r="AT43" s="908">
        <f>AT16/AT$20</f>
        <v/>
      </c>
      <c r="AU43" s="908">
        <f>AU16/AU$20</f>
        <v/>
      </c>
      <c r="AV43" s="908">
        <f>AV16/AV$20</f>
        <v/>
      </c>
      <c r="AW43" s="908">
        <f>AW16/AW$20</f>
        <v/>
      </c>
      <c r="AX43" s="908">
        <f>AX16/AX$20</f>
        <v/>
      </c>
      <c r="AY43" s="908">
        <f>AY16/AY$20</f>
        <v/>
      </c>
      <c r="AZ43" s="908">
        <f>AZ16/AZ$20</f>
        <v/>
      </c>
      <c r="BA43" s="908">
        <f>BA16/BA$20</f>
        <v/>
      </c>
      <c r="BB43" s="908">
        <f>BB16/BB$20</f>
        <v/>
      </c>
      <c r="BC43" s="908">
        <f>BC16/BC$20</f>
        <v/>
      </c>
      <c r="BD43" s="908">
        <f>BD16/BD$20</f>
        <v/>
      </c>
      <c r="BE43" s="908">
        <f>BE16/BE$20</f>
        <v/>
      </c>
      <c r="BF43" s="908">
        <f>BF16/BF$20</f>
        <v/>
      </c>
      <c r="BG43" s="908">
        <f>BG16/BG$20</f>
        <v/>
      </c>
      <c r="BH43" s="908">
        <f>BH16/BH$20</f>
        <v/>
      </c>
      <c r="BI43" s="908">
        <f>BI16/BI$20</f>
        <v/>
      </c>
      <c r="BJ43" s="908">
        <f>BJ16/BJ$20</f>
        <v/>
      </c>
      <c r="BK43" s="908">
        <f>BK16/BK$20</f>
        <v/>
      </c>
      <c r="BL43" s="908">
        <f>BL16/BL$20</f>
        <v/>
      </c>
      <c r="BM43" s="908">
        <f>BM16/BM$20</f>
        <v/>
      </c>
      <c r="BN43" s="908">
        <f>BN16/BN$20</f>
        <v/>
      </c>
      <c r="BO43" s="908">
        <f>BO16/BO$20</f>
        <v/>
      </c>
      <c r="BP43" s="908">
        <f>BP16/BP$20</f>
        <v/>
      </c>
      <c r="BQ43" s="908">
        <f>BQ16/BQ$20</f>
        <v/>
      </c>
      <c r="BR43" s="908">
        <f>BR16/BR$20</f>
        <v/>
      </c>
      <c r="BS43" s="908">
        <f>BS16/BS$20</f>
        <v/>
      </c>
      <c r="BT43" s="908">
        <f>BT16/BT$20</f>
        <v/>
      </c>
      <c r="BU43" s="908">
        <f>BU16/BU$20</f>
        <v/>
      </c>
      <c r="BV43" s="908">
        <f>BV16/BV$20</f>
        <v/>
      </c>
      <c r="BW43" s="908">
        <f>BW16/BW$20</f>
        <v/>
      </c>
      <c r="BX43" s="908">
        <f>BX16/BX$20</f>
        <v/>
      </c>
      <c r="BY43" s="908">
        <f>BY16/BY$20</f>
        <v/>
      </c>
      <c r="BZ43" s="908">
        <f>BZ16/BZ$20</f>
        <v/>
      </c>
      <c r="CA43" s="908">
        <f>CA16/CA$20</f>
        <v/>
      </c>
      <c r="CB43" s="908">
        <f>CB16/CB$20</f>
        <v/>
      </c>
      <c r="CC43" s="908">
        <f>CC16/CC$20</f>
        <v/>
      </c>
      <c r="CD43" s="908">
        <f>CD16/CD$20</f>
        <v/>
      </c>
      <c r="CE43" s="908">
        <f>CE16/CE$20</f>
        <v/>
      </c>
      <c r="CF43" s="908">
        <f>CF16/CF$20</f>
        <v/>
      </c>
      <c r="CG43" s="908">
        <f>CG16/CG$20</f>
        <v/>
      </c>
      <c r="CH43" s="908">
        <f>CH16/CH$20</f>
        <v/>
      </c>
      <c r="CI43" s="908">
        <f>CI16/CI$20</f>
        <v/>
      </c>
      <c r="CJ43" s="908">
        <f>CJ16/CJ$20</f>
        <v/>
      </c>
      <c r="CK43" s="908">
        <f>CK16/CK$20</f>
        <v/>
      </c>
      <c r="DD43" s="912">
        <f>DD16/DD$20</f>
        <v/>
      </c>
      <c r="DE43" s="912">
        <f>DE16/DE$20</f>
        <v/>
      </c>
      <c r="DF43" s="912">
        <f>DF16/DF$20</f>
        <v/>
      </c>
      <c r="DG43" s="912">
        <f>DG16/DG$20</f>
        <v/>
      </c>
      <c r="DH43" s="912">
        <f>DH16/DH$20</f>
        <v/>
      </c>
      <c r="DI43" s="912">
        <f>DI16/DI$20</f>
        <v/>
      </c>
      <c r="DJ43" s="912">
        <f>DJ16/DJ$20</f>
        <v/>
      </c>
      <c r="DK43" s="912">
        <f>DK16/DK$20</f>
        <v/>
      </c>
      <c r="DL43" s="912">
        <f>DL16/DL$20</f>
        <v/>
      </c>
      <c r="DM43" s="912">
        <f>DM16/DM$20</f>
        <v/>
      </c>
      <c r="DN43" s="912">
        <f>DN16/DN$20</f>
        <v/>
      </c>
      <c r="DO43" s="912">
        <f>DO16/DO$20</f>
        <v/>
      </c>
      <c r="DP43" s="912">
        <f>DP16/DP$20</f>
        <v/>
      </c>
      <c r="DQ43" s="912">
        <f>DQ16/DQ$20</f>
        <v/>
      </c>
      <c r="DR43" s="912">
        <f>DR16/DR$20</f>
        <v/>
      </c>
      <c r="DS43" s="912">
        <f>DS16/DS$20</f>
        <v/>
      </c>
    </row>
    <row r="44">
      <c r="A44" s="74">
        <f>A35</f>
        <v/>
      </c>
      <c r="B44" s="890" t="n"/>
      <c r="C44" s="890" t="n"/>
      <c r="D44" s="890" t="n"/>
      <c r="E44" s="890" t="n"/>
      <c r="F44" s="890" t="n"/>
      <c r="G44" s="890" t="n"/>
      <c r="H44" s="890" t="n"/>
      <c r="I44" s="890" t="n"/>
      <c r="J44" s="890" t="n"/>
      <c r="K44" s="890" t="n"/>
      <c r="L44" s="890" t="n"/>
      <c r="M44" s="890" t="n"/>
      <c r="N44" s="515" t="n"/>
      <c r="O44" s="515" t="n"/>
      <c r="P44" s="515" t="n"/>
      <c r="Q44" s="515" t="n"/>
      <c r="R44" s="515" t="n"/>
      <c r="S44" s="515" t="n"/>
      <c r="T44" s="515" t="n"/>
      <c r="U44" s="515" t="n"/>
      <c r="V44" s="515" t="n"/>
      <c r="W44" s="515" t="n"/>
      <c r="X44" s="515" t="n"/>
      <c r="Y44" s="515" t="n"/>
      <c r="Z44" s="908">
        <f>Z17/Z$20</f>
        <v/>
      </c>
      <c r="AA44" s="908">
        <f>AA17/AA$20</f>
        <v/>
      </c>
      <c r="AB44" s="908">
        <f>AB17/AB$20</f>
        <v/>
      </c>
      <c r="AC44" s="908">
        <f>AC17/AC$20</f>
        <v/>
      </c>
      <c r="AD44" s="908">
        <f>AD17/AD$20</f>
        <v/>
      </c>
      <c r="AE44" s="908">
        <f>AE17/AE$20</f>
        <v/>
      </c>
      <c r="AF44" s="908">
        <f>AF17/AF$20</f>
        <v/>
      </c>
      <c r="AG44" s="908">
        <f>AG17/AG$20</f>
        <v/>
      </c>
      <c r="AH44" s="908">
        <f>AH17/AH$20</f>
        <v/>
      </c>
      <c r="AI44" s="908">
        <f>AI17/AI$20</f>
        <v/>
      </c>
      <c r="AJ44" s="908">
        <f>AJ17/AJ$20</f>
        <v/>
      </c>
      <c r="AK44" s="908">
        <f>AK17/AK$20</f>
        <v/>
      </c>
      <c r="AL44" s="908">
        <f>AL17/AL$20</f>
        <v/>
      </c>
      <c r="AM44" s="908">
        <f>AM17/AM$20</f>
        <v/>
      </c>
      <c r="AN44" s="908">
        <f>AN17/AN$20</f>
        <v/>
      </c>
      <c r="AO44" s="908">
        <f>AO17/AO$20</f>
        <v/>
      </c>
      <c r="AP44" s="908">
        <f>AP17/AP$20</f>
        <v/>
      </c>
      <c r="AQ44" s="908">
        <f>AQ17/AQ$20</f>
        <v/>
      </c>
      <c r="AR44" s="908">
        <f>AR17/AR$20</f>
        <v/>
      </c>
      <c r="AS44" s="908">
        <f>AS17/AS$20</f>
        <v/>
      </c>
      <c r="AT44" s="908">
        <f>AT17/AT$20</f>
        <v/>
      </c>
      <c r="AU44" s="908">
        <f>AU17/AU$20</f>
        <v/>
      </c>
      <c r="AV44" s="908">
        <f>AV17/AV$20</f>
        <v/>
      </c>
      <c r="AW44" s="908">
        <f>AW17/AW$20</f>
        <v/>
      </c>
      <c r="AX44" s="908">
        <f>AX17/AX$20</f>
        <v/>
      </c>
      <c r="AY44" s="908">
        <f>AY17/AY$20</f>
        <v/>
      </c>
      <c r="AZ44" s="908">
        <f>AZ17/AZ$20</f>
        <v/>
      </c>
      <c r="BA44" s="908">
        <f>BA17/BA$20</f>
        <v/>
      </c>
      <c r="BB44" s="908">
        <f>BB17/BB$20</f>
        <v/>
      </c>
      <c r="BC44" s="908">
        <f>BC17/BC$20</f>
        <v/>
      </c>
      <c r="BD44" s="908">
        <f>BD17/BD$20</f>
        <v/>
      </c>
      <c r="BE44" s="908">
        <f>BE17/BE$20</f>
        <v/>
      </c>
      <c r="BF44" s="908">
        <f>BF17/BF$20</f>
        <v/>
      </c>
      <c r="BG44" s="908">
        <f>BG17/BG$20</f>
        <v/>
      </c>
      <c r="BH44" s="908">
        <f>BH17/BH$20</f>
        <v/>
      </c>
      <c r="BI44" s="908">
        <f>BI17/BI$20</f>
        <v/>
      </c>
      <c r="BJ44" s="908">
        <f>BJ17/BJ$20</f>
        <v/>
      </c>
      <c r="BK44" s="908">
        <f>BK17/BK$20</f>
        <v/>
      </c>
      <c r="BL44" s="908">
        <f>BL17/BL$20</f>
        <v/>
      </c>
      <c r="BM44" s="908">
        <f>BM17/BM$20</f>
        <v/>
      </c>
      <c r="BN44" s="908">
        <f>BN17/BN$20</f>
        <v/>
      </c>
      <c r="BO44" s="908">
        <f>BO17/BO$20</f>
        <v/>
      </c>
      <c r="BP44" s="908">
        <f>BP17/BP$20</f>
        <v/>
      </c>
      <c r="BQ44" s="908">
        <f>BQ17/BQ$20</f>
        <v/>
      </c>
      <c r="BR44" s="908">
        <f>BR17/BR$20</f>
        <v/>
      </c>
      <c r="BS44" s="908">
        <f>BS17/BS$20</f>
        <v/>
      </c>
      <c r="BT44" s="908">
        <f>BT17/BT$20</f>
        <v/>
      </c>
      <c r="BU44" s="908">
        <f>BU17/BU$20</f>
        <v/>
      </c>
      <c r="BV44" s="908">
        <f>BV17/BV$20</f>
        <v/>
      </c>
      <c r="BW44" s="908">
        <f>BW17/BW$20</f>
        <v/>
      </c>
      <c r="BX44" s="908">
        <f>BX17/BX$20</f>
        <v/>
      </c>
      <c r="BY44" s="908">
        <f>BY17/BY$20</f>
        <v/>
      </c>
      <c r="BZ44" s="908">
        <f>BZ17/BZ$20</f>
        <v/>
      </c>
      <c r="CA44" s="908">
        <f>CA17/CA$20</f>
        <v/>
      </c>
      <c r="CB44" s="908">
        <f>CB17/CB$20</f>
        <v/>
      </c>
      <c r="CC44" s="908">
        <f>CC17/CC$20</f>
        <v/>
      </c>
      <c r="CD44" s="908">
        <f>CD17/CD$20</f>
        <v/>
      </c>
      <c r="CE44" s="908">
        <f>CE17/CE$20</f>
        <v/>
      </c>
      <c r="CF44" s="908">
        <f>CF17/CF$20</f>
        <v/>
      </c>
      <c r="CG44" s="908">
        <f>CG17/CG$20</f>
        <v/>
      </c>
      <c r="CH44" s="908">
        <f>CH17/CH$20</f>
        <v/>
      </c>
      <c r="CI44" s="908">
        <f>CI17/CI$20</f>
        <v/>
      </c>
      <c r="CJ44" s="908">
        <f>CJ17/CJ$20</f>
        <v/>
      </c>
      <c r="CK44" s="908">
        <f>CK17/CK$20</f>
        <v/>
      </c>
      <c r="DD44" s="912">
        <f>DD17/DD$20</f>
        <v/>
      </c>
      <c r="DE44" s="912">
        <f>DE17/DE$20</f>
        <v/>
      </c>
      <c r="DF44" s="912">
        <f>DF17/DF$20</f>
        <v/>
      </c>
      <c r="DG44" s="912">
        <f>DG17/DG$20</f>
        <v/>
      </c>
      <c r="DH44" s="912">
        <f>DH17/DH$20</f>
        <v/>
      </c>
      <c r="DI44" s="912">
        <f>DI17/DI$20</f>
        <v/>
      </c>
      <c r="DJ44" s="912">
        <f>DJ17/DJ$20</f>
        <v/>
      </c>
      <c r="DK44" s="912">
        <f>DK17/DK$20</f>
        <v/>
      </c>
      <c r="DL44" s="912">
        <f>DL17/DL$20</f>
        <v/>
      </c>
      <c r="DM44" s="912">
        <f>DM17/DM$20</f>
        <v/>
      </c>
      <c r="DN44" s="912">
        <f>DN17/DN$20</f>
        <v/>
      </c>
      <c r="DO44" s="912">
        <f>DO17/DO$20</f>
        <v/>
      </c>
      <c r="DP44" s="912">
        <f>DP17/DP$20</f>
        <v/>
      </c>
      <c r="DQ44" s="912">
        <f>DQ17/DQ$20</f>
        <v/>
      </c>
      <c r="DR44" s="912">
        <f>DR17/DR$20</f>
        <v/>
      </c>
      <c r="DS44" s="912">
        <f>DS17/DS$20</f>
        <v/>
      </c>
    </row>
    <row r="45">
      <c r="A45" s="74">
        <f>A36</f>
        <v/>
      </c>
      <c r="B45" s="890" t="n"/>
      <c r="C45" s="890" t="n"/>
      <c r="D45" s="890" t="n"/>
      <c r="E45" s="890" t="n"/>
      <c r="F45" s="890" t="n"/>
      <c r="G45" s="890" t="n"/>
      <c r="H45" s="890" t="n"/>
      <c r="I45" s="890" t="n"/>
      <c r="J45" s="890" t="n"/>
      <c r="K45" s="890" t="n"/>
      <c r="L45" s="890" t="n"/>
      <c r="M45" s="890" t="n"/>
      <c r="N45" s="515" t="n"/>
      <c r="O45" s="515" t="n"/>
      <c r="P45" s="515" t="n"/>
      <c r="Q45" s="515" t="n"/>
      <c r="R45" s="515" t="n"/>
      <c r="S45" s="515" t="n"/>
      <c r="T45" s="515" t="n"/>
      <c r="U45" s="515" t="n"/>
      <c r="V45" s="515" t="n"/>
      <c r="W45" s="515" t="n"/>
      <c r="X45" s="515" t="n"/>
      <c r="Y45" s="515" t="n"/>
      <c r="Z45" s="908">
        <f>Z18/Z$20</f>
        <v/>
      </c>
      <c r="AA45" s="908">
        <f>AA18/AA$20</f>
        <v/>
      </c>
      <c r="AB45" s="908">
        <f>AB18/AB$20</f>
        <v/>
      </c>
      <c r="AC45" s="908">
        <f>AC18/AC$20</f>
        <v/>
      </c>
      <c r="AD45" s="908">
        <f>AD18/AD$20</f>
        <v/>
      </c>
      <c r="AE45" s="908">
        <f>AE18/AE$20</f>
        <v/>
      </c>
      <c r="AF45" s="908">
        <f>AF18/AF$20</f>
        <v/>
      </c>
      <c r="AG45" s="908">
        <f>AG18/AG$20</f>
        <v/>
      </c>
      <c r="AH45" s="908">
        <f>AH18/AH$20</f>
        <v/>
      </c>
      <c r="AI45" s="908">
        <f>AI18/AI$20</f>
        <v/>
      </c>
      <c r="AJ45" s="908">
        <f>AJ18/AJ$20</f>
        <v/>
      </c>
      <c r="AK45" s="908">
        <f>AK18/AK$20</f>
        <v/>
      </c>
      <c r="AL45" s="908">
        <f>AL18/AL$20</f>
        <v/>
      </c>
      <c r="AM45" s="908">
        <f>AM18/AM$20</f>
        <v/>
      </c>
      <c r="AN45" s="908">
        <f>AN18/AN$20</f>
        <v/>
      </c>
      <c r="AO45" s="908">
        <f>AO18/AO$20</f>
        <v/>
      </c>
      <c r="AP45" s="908">
        <f>AP18/AP$20</f>
        <v/>
      </c>
      <c r="AQ45" s="908">
        <f>AQ18/AQ$20</f>
        <v/>
      </c>
      <c r="AR45" s="908">
        <f>AR18/AR$20</f>
        <v/>
      </c>
      <c r="AS45" s="908">
        <f>AS18/AS$20</f>
        <v/>
      </c>
      <c r="AT45" s="908">
        <f>AT18/AT$20</f>
        <v/>
      </c>
      <c r="AU45" s="908">
        <f>AU18/AU$20</f>
        <v/>
      </c>
      <c r="AV45" s="908">
        <f>AV18/AV$20</f>
        <v/>
      </c>
      <c r="AW45" s="908">
        <f>AW18/AW$20</f>
        <v/>
      </c>
      <c r="AX45" s="908">
        <f>AX18/AX$20</f>
        <v/>
      </c>
      <c r="AY45" s="908">
        <f>AY18/AY$20</f>
        <v/>
      </c>
      <c r="AZ45" s="908">
        <f>AZ18/AZ$20</f>
        <v/>
      </c>
      <c r="BA45" s="908">
        <f>BA18/BA$20</f>
        <v/>
      </c>
      <c r="BB45" s="908">
        <f>BB18/BB$20</f>
        <v/>
      </c>
      <c r="BC45" s="908">
        <f>BC18/BC$20</f>
        <v/>
      </c>
      <c r="BD45" s="908">
        <f>BD18/BD$20</f>
        <v/>
      </c>
      <c r="BE45" s="908">
        <f>BE18/BE$20</f>
        <v/>
      </c>
      <c r="BF45" s="908">
        <f>BF18/BF$20</f>
        <v/>
      </c>
      <c r="BG45" s="908">
        <f>BG18/BG$20</f>
        <v/>
      </c>
      <c r="BH45" s="908">
        <f>BH18/BH$20</f>
        <v/>
      </c>
      <c r="BI45" s="908">
        <f>BI18/BI$20</f>
        <v/>
      </c>
      <c r="BJ45" s="908">
        <f>BJ18/BJ$20</f>
        <v/>
      </c>
      <c r="BK45" s="908">
        <f>BK18/BK$20</f>
        <v/>
      </c>
      <c r="BL45" s="908">
        <f>BL18/BL$20</f>
        <v/>
      </c>
      <c r="BM45" s="908">
        <f>BM18/BM$20</f>
        <v/>
      </c>
      <c r="BN45" s="908">
        <f>BN18/BN$20</f>
        <v/>
      </c>
      <c r="BO45" s="908">
        <f>BO18/BO$20</f>
        <v/>
      </c>
      <c r="BP45" s="908">
        <f>BP18/BP$20</f>
        <v/>
      </c>
      <c r="BQ45" s="908">
        <f>BQ18/BQ$20</f>
        <v/>
      </c>
      <c r="BR45" s="908">
        <f>BR18/BR$20</f>
        <v/>
      </c>
      <c r="BS45" s="908">
        <f>BS18/BS$20</f>
        <v/>
      </c>
      <c r="BT45" s="908">
        <f>BT18/BT$20</f>
        <v/>
      </c>
      <c r="BU45" s="908">
        <f>BU18/BU$20</f>
        <v/>
      </c>
      <c r="BV45" s="908">
        <f>BV18/BV$20</f>
        <v/>
      </c>
      <c r="BW45" s="908">
        <f>BW18/BW$20</f>
        <v/>
      </c>
      <c r="BX45" s="908">
        <f>BX18/BX$20</f>
        <v/>
      </c>
      <c r="BY45" s="908">
        <f>BY18/BY$20</f>
        <v/>
      </c>
      <c r="BZ45" s="908">
        <f>BZ18/BZ$20</f>
        <v/>
      </c>
      <c r="CA45" s="908">
        <f>CA18/CA$20</f>
        <v/>
      </c>
      <c r="CB45" s="908">
        <f>CB18/CB$20</f>
        <v/>
      </c>
      <c r="CC45" s="908">
        <f>CC18/CC$20</f>
        <v/>
      </c>
      <c r="CD45" s="908">
        <f>CD18/CD$20</f>
        <v/>
      </c>
      <c r="CE45" s="908">
        <f>CE18/CE$20</f>
        <v/>
      </c>
      <c r="CF45" s="908">
        <f>CF18/CF$20</f>
        <v/>
      </c>
      <c r="CG45" s="908">
        <f>CG18/CG$20</f>
        <v/>
      </c>
      <c r="CH45" s="908">
        <f>CH18/CH$20</f>
        <v/>
      </c>
      <c r="CI45" s="908">
        <f>CI18/CI$20</f>
        <v/>
      </c>
      <c r="CJ45" s="908">
        <f>CJ18/CJ$20</f>
        <v/>
      </c>
      <c r="CK45" s="908">
        <f>CK18/CK$20</f>
        <v/>
      </c>
      <c r="DD45" s="912">
        <f>DD18/DD$20</f>
        <v/>
      </c>
      <c r="DE45" s="912">
        <f>DE18/DE$20</f>
        <v/>
      </c>
      <c r="DF45" s="912">
        <f>DF18/DF$20</f>
        <v/>
      </c>
      <c r="DG45" s="912">
        <f>DG18/DG$20</f>
        <v/>
      </c>
      <c r="DH45" s="912">
        <f>DH18/DH$20</f>
        <v/>
      </c>
      <c r="DI45" s="912">
        <f>DI18/DI$20</f>
        <v/>
      </c>
      <c r="DJ45" s="912">
        <f>DJ18/DJ$20</f>
        <v/>
      </c>
      <c r="DK45" s="912">
        <f>DK18/DK$20</f>
        <v/>
      </c>
      <c r="DL45" s="912">
        <f>DL18/DL$20</f>
        <v/>
      </c>
      <c r="DM45" s="912">
        <f>DM18/DM$20</f>
        <v/>
      </c>
      <c r="DN45" s="912">
        <f>DN18/DN$20</f>
        <v/>
      </c>
      <c r="DO45" s="912">
        <f>DO18/DO$20</f>
        <v/>
      </c>
      <c r="DP45" s="912">
        <f>DP18/DP$20</f>
        <v/>
      </c>
      <c r="DQ45" s="912">
        <f>DQ18/DQ$20</f>
        <v/>
      </c>
      <c r="DR45" s="912">
        <f>DR18/DR$20</f>
        <v/>
      </c>
      <c r="DS45" s="912">
        <f>DS18/DS$20</f>
        <v/>
      </c>
    </row>
    <row r="46">
      <c r="A46" s="74">
        <f>A37</f>
        <v/>
      </c>
      <c r="B46" s="890" t="n"/>
      <c r="C46" s="890" t="n"/>
      <c r="D46" s="890" t="n"/>
      <c r="E46" s="890" t="n"/>
      <c r="F46" s="890" t="n"/>
      <c r="G46" s="890" t="n"/>
      <c r="H46" s="890" t="n"/>
      <c r="I46" s="890" t="n"/>
      <c r="J46" s="890" t="n"/>
      <c r="K46" s="890" t="n"/>
      <c r="L46" s="890" t="n"/>
      <c r="M46" s="890" t="n"/>
      <c r="N46" s="515" t="n"/>
      <c r="O46" s="515" t="n"/>
      <c r="P46" s="515" t="n"/>
      <c r="Q46" s="515" t="n"/>
      <c r="R46" s="515" t="n"/>
      <c r="S46" s="515" t="n"/>
      <c r="T46" s="515" t="n"/>
      <c r="U46" s="515" t="n"/>
      <c r="V46" s="515" t="n"/>
      <c r="W46" s="515" t="n"/>
      <c r="X46" s="515" t="n"/>
      <c r="Y46" s="515" t="n"/>
      <c r="Z46" s="908">
        <f>Z19/Z$20</f>
        <v/>
      </c>
      <c r="AA46" s="908">
        <f>AA19/AA$20</f>
        <v/>
      </c>
      <c r="AB46" s="908">
        <f>AB19/AB$20</f>
        <v/>
      </c>
      <c r="AC46" s="908">
        <f>AC19/AC$20</f>
        <v/>
      </c>
      <c r="AD46" s="908">
        <f>AD19/AD$20</f>
        <v/>
      </c>
      <c r="AE46" s="908">
        <f>AE19/AE$20</f>
        <v/>
      </c>
      <c r="AF46" s="908">
        <f>AF19/AF$20</f>
        <v/>
      </c>
      <c r="AG46" s="908">
        <f>AG19/AG$20</f>
        <v/>
      </c>
      <c r="AH46" s="908">
        <f>AH19/AH$20</f>
        <v/>
      </c>
      <c r="AI46" s="908">
        <f>AI19/AI$20</f>
        <v/>
      </c>
      <c r="AJ46" s="908">
        <f>AJ19/AJ$20</f>
        <v/>
      </c>
      <c r="AK46" s="908">
        <f>AK19/AK$20</f>
        <v/>
      </c>
      <c r="AL46" s="908">
        <f>AL19/AL$20</f>
        <v/>
      </c>
      <c r="AM46" s="908">
        <f>AM19/AM$20</f>
        <v/>
      </c>
      <c r="AN46" s="908">
        <f>AN19/AN$20</f>
        <v/>
      </c>
      <c r="AO46" s="908">
        <f>AO19/AO$20</f>
        <v/>
      </c>
      <c r="AP46" s="908">
        <f>AP19/AP$20</f>
        <v/>
      </c>
      <c r="AQ46" s="908">
        <f>AQ19/AQ$20</f>
        <v/>
      </c>
      <c r="AR46" s="908">
        <f>AR19/AR$20</f>
        <v/>
      </c>
      <c r="AS46" s="908">
        <f>AS19/AS$20</f>
        <v/>
      </c>
      <c r="AT46" s="908">
        <f>AT19/AT$20</f>
        <v/>
      </c>
      <c r="AU46" s="908">
        <f>AU19/AU$20</f>
        <v/>
      </c>
      <c r="AV46" s="908">
        <f>AV19/AV$20</f>
        <v/>
      </c>
      <c r="AW46" s="908">
        <f>AW19/AW$20</f>
        <v/>
      </c>
      <c r="AX46" s="908">
        <f>AX19/AX$20</f>
        <v/>
      </c>
      <c r="AY46" s="908">
        <f>AY19/AY$20</f>
        <v/>
      </c>
      <c r="AZ46" s="908">
        <f>AZ19/AZ$20</f>
        <v/>
      </c>
      <c r="BA46" s="908">
        <f>BA19/BA$20</f>
        <v/>
      </c>
      <c r="BB46" s="908">
        <f>BB19/BB$20</f>
        <v/>
      </c>
      <c r="BC46" s="908">
        <f>BC19/BC$20</f>
        <v/>
      </c>
      <c r="BD46" s="908">
        <f>BD19/BD$20</f>
        <v/>
      </c>
      <c r="BE46" s="908">
        <f>BE19/BE$20</f>
        <v/>
      </c>
      <c r="BF46" s="908">
        <f>BF19/BF$20</f>
        <v/>
      </c>
      <c r="BG46" s="908">
        <f>BG19/BG$20</f>
        <v/>
      </c>
      <c r="BH46" s="908">
        <f>BH19/BH$20</f>
        <v/>
      </c>
      <c r="BI46" s="908">
        <f>BI19/BI$20</f>
        <v/>
      </c>
      <c r="BJ46" s="908">
        <f>BJ19/BJ$20</f>
        <v/>
      </c>
      <c r="BK46" s="908">
        <f>BK19/BK$20</f>
        <v/>
      </c>
      <c r="BL46" s="908">
        <f>BL19/BL$20</f>
        <v/>
      </c>
      <c r="BM46" s="908">
        <f>BM19/BM$20</f>
        <v/>
      </c>
      <c r="BN46" s="908">
        <f>BN19/BN$20</f>
        <v/>
      </c>
      <c r="BO46" s="908">
        <f>BO19/BO$20</f>
        <v/>
      </c>
      <c r="BP46" s="908">
        <f>BP19/BP$20</f>
        <v/>
      </c>
      <c r="BQ46" s="908">
        <f>BQ19/BQ$20</f>
        <v/>
      </c>
      <c r="BR46" s="908">
        <f>BR19/BR$20</f>
        <v/>
      </c>
      <c r="BS46" s="908">
        <f>BS19/BS$20</f>
        <v/>
      </c>
      <c r="BT46" s="908">
        <f>BT19/BT$20</f>
        <v/>
      </c>
      <c r="BU46" s="908">
        <f>BU19/BU$20</f>
        <v/>
      </c>
      <c r="BV46" s="908">
        <f>BV19/BV$20</f>
        <v/>
      </c>
      <c r="BW46" s="908">
        <f>BW19/BW$20</f>
        <v/>
      </c>
      <c r="BX46" s="908">
        <f>BX19/BX$20</f>
        <v/>
      </c>
      <c r="BY46" s="908">
        <f>BY19/BY$20</f>
        <v/>
      </c>
      <c r="BZ46" s="908">
        <f>BZ19/BZ$20</f>
        <v/>
      </c>
      <c r="CA46" s="908">
        <f>CA19/CA$20</f>
        <v/>
      </c>
      <c r="CB46" s="908">
        <f>CB19/CB$20</f>
        <v/>
      </c>
      <c r="CC46" s="908">
        <f>CC19/CC$20</f>
        <v/>
      </c>
      <c r="CD46" s="908">
        <f>CD19/CD$20</f>
        <v/>
      </c>
      <c r="CE46" s="908">
        <f>CE19/CE$20</f>
        <v/>
      </c>
      <c r="CF46" s="908">
        <f>CF19/CF$20</f>
        <v/>
      </c>
      <c r="CG46" s="908">
        <f>CG19/CG$20</f>
        <v/>
      </c>
      <c r="CH46" s="908">
        <f>CH19/CH$20</f>
        <v/>
      </c>
      <c r="CI46" s="908">
        <f>CI19/CI$20</f>
        <v/>
      </c>
      <c r="CJ46" s="908">
        <f>CJ19/CJ$20</f>
        <v/>
      </c>
      <c r="CK46" s="908">
        <f>CK19/CK$20</f>
        <v/>
      </c>
      <c r="DD46" s="912">
        <f>DD19/DD$20</f>
        <v/>
      </c>
      <c r="DE46" s="912">
        <f>DE19/DE$20</f>
        <v/>
      </c>
      <c r="DF46" s="912">
        <f>DF19/DF$20</f>
        <v/>
      </c>
      <c r="DG46" s="912">
        <f>DG19/DG$20</f>
        <v/>
      </c>
      <c r="DH46" s="912">
        <f>DH19/DH$20</f>
        <v/>
      </c>
      <c r="DI46" s="912">
        <f>DI19/DI$20</f>
        <v/>
      </c>
      <c r="DJ46" s="912">
        <f>DJ19/DJ$20</f>
        <v/>
      </c>
      <c r="DK46" s="912">
        <f>DK19/DK$20</f>
        <v/>
      </c>
      <c r="DL46" s="912">
        <f>DL19/DL$20</f>
        <v/>
      </c>
      <c r="DM46" s="912">
        <f>DM19/DM$20</f>
        <v/>
      </c>
      <c r="DN46" s="912">
        <f>DN19/DN$20</f>
        <v/>
      </c>
      <c r="DO46" s="912">
        <f>DO19/DO$20</f>
        <v/>
      </c>
      <c r="DP46" s="912">
        <f>DP19/DP$20</f>
        <v/>
      </c>
      <c r="DQ46" s="912">
        <f>DQ19/DQ$20</f>
        <v/>
      </c>
      <c r="DR46" s="912">
        <f>DR19/DR$20</f>
        <v/>
      </c>
      <c r="DS46" s="912">
        <f>DS19/DS$20</f>
        <v/>
      </c>
    </row>
    <row r="47">
      <c r="A47" s="22" t="inlineStr">
        <is>
          <t>Total</t>
        </is>
      </c>
      <c r="G47" s="890" t="n"/>
      <c r="H47" s="890" t="n"/>
      <c r="I47" s="890" t="n"/>
      <c r="J47" s="881" t="n"/>
      <c r="K47" s="881" t="n"/>
      <c r="L47" s="881" t="n"/>
      <c r="M47" s="881" t="n"/>
      <c r="N47" s="515" t="n"/>
      <c r="O47" s="515" t="n"/>
      <c r="P47" s="515" t="n"/>
      <c r="Q47" s="515" t="n"/>
      <c r="R47" s="515" t="n"/>
      <c r="S47" s="515" t="n"/>
      <c r="T47" s="515" t="n"/>
      <c r="U47" s="515" t="n"/>
      <c r="V47" s="515" t="n"/>
      <c r="W47" s="515" t="n"/>
      <c r="X47" s="515" t="n"/>
      <c r="Y47" s="515" t="n"/>
      <c r="Z47" s="910">
        <f>Z20/Z$20</f>
        <v/>
      </c>
      <c r="AA47" s="910">
        <f>AA20/AA$20</f>
        <v/>
      </c>
      <c r="AB47" s="910">
        <f>AB20/AB$20</f>
        <v/>
      </c>
      <c r="AC47" s="910">
        <f>AC20/AC$20</f>
        <v/>
      </c>
      <c r="AD47" s="910">
        <f>AD20/AD$20</f>
        <v/>
      </c>
      <c r="AE47" s="910">
        <f>AE20/AE$20</f>
        <v/>
      </c>
      <c r="AF47" s="910">
        <f>AF20/AF$20</f>
        <v/>
      </c>
      <c r="AG47" s="910">
        <f>AG20/AG$20</f>
        <v/>
      </c>
      <c r="AH47" s="910">
        <f>AH20/AH$20</f>
        <v/>
      </c>
      <c r="AI47" s="910">
        <f>AI20/AI$20</f>
        <v/>
      </c>
      <c r="AJ47" s="910">
        <f>AJ20/AJ$20</f>
        <v/>
      </c>
      <c r="AK47" s="910">
        <f>AK20/AK$20</f>
        <v/>
      </c>
      <c r="AL47" s="910">
        <f>AL20/AL$20</f>
        <v/>
      </c>
      <c r="AM47" s="910">
        <f>AM20/AM$20</f>
        <v/>
      </c>
      <c r="AN47" s="910">
        <f>AN20/AN$20</f>
        <v/>
      </c>
      <c r="AO47" s="910">
        <f>AO20/AO$20</f>
        <v/>
      </c>
      <c r="AP47" s="910">
        <f>AP20/AP$20</f>
        <v/>
      </c>
      <c r="AQ47" s="910">
        <f>AQ20/AQ$20</f>
        <v/>
      </c>
      <c r="AR47" s="910">
        <f>AR20/AR$20</f>
        <v/>
      </c>
      <c r="AS47" s="910">
        <f>AS20/AS$20</f>
        <v/>
      </c>
      <c r="AT47" s="910">
        <f>AT20/AT$20</f>
        <v/>
      </c>
      <c r="AU47" s="910">
        <f>AU20/AU$20</f>
        <v/>
      </c>
      <c r="AV47" s="910">
        <f>AV20/AV$20</f>
        <v/>
      </c>
      <c r="AW47" s="910">
        <f>AW20/AW$20</f>
        <v/>
      </c>
      <c r="AX47" s="910">
        <f>AX20/AX$20</f>
        <v/>
      </c>
      <c r="AY47" s="910">
        <f>AY20/AY$20</f>
        <v/>
      </c>
      <c r="AZ47" s="910">
        <f>AZ20/AZ$20</f>
        <v/>
      </c>
      <c r="BA47" s="910">
        <f>BA20/BA$20</f>
        <v/>
      </c>
      <c r="BB47" s="910">
        <f>BB20/BB$20</f>
        <v/>
      </c>
      <c r="BC47" s="910">
        <f>BC20/BC$20</f>
        <v/>
      </c>
      <c r="BD47" s="910">
        <f>BD20/BD$20</f>
        <v/>
      </c>
      <c r="BE47" s="910">
        <f>BE20/BE$20</f>
        <v/>
      </c>
      <c r="BF47" s="910">
        <f>BF20/BF$20</f>
        <v/>
      </c>
      <c r="BG47" s="910">
        <f>BG20/BG$20</f>
        <v/>
      </c>
      <c r="BH47" s="910">
        <f>BH20/BH$20</f>
        <v/>
      </c>
      <c r="BI47" s="910">
        <f>BI20/BI$20</f>
        <v/>
      </c>
      <c r="BJ47" s="910">
        <f>BJ20/BJ$20</f>
        <v/>
      </c>
      <c r="BK47" s="910">
        <f>BK20/BK$20</f>
        <v/>
      </c>
      <c r="BL47" s="910">
        <f>BL20/BL$20</f>
        <v/>
      </c>
      <c r="BM47" s="910">
        <f>BM20/BM$20</f>
        <v/>
      </c>
      <c r="BN47" s="910">
        <f>BN20/BN$20</f>
        <v/>
      </c>
      <c r="BO47" s="910">
        <f>BO20/BO$20</f>
        <v/>
      </c>
      <c r="BP47" s="910">
        <f>BP20/BP$20</f>
        <v/>
      </c>
      <c r="BQ47" s="910">
        <f>BQ20/BQ$20</f>
        <v/>
      </c>
      <c r="BR47" s="910">
        <f>BR20/BR$20</f>
        <v/>
      </c>
      <c r="BS47" s="910">
        <f>BS20/BS$20</f>
        <v/>
      </c>
      <c r="BT47" s="910">
        <f>BT20/BT$20</f>
        <v/>
      </c>
      <c r="BU47" s="910">
        <f>BU20/BU$20</f>
        <v/>
      </c>
      <c r="BV47" s="910">
        <f>BV20/BV$20</f>
        <v/>
      </c>
      <c r="BW47" s="910">
        <f>BW20/BW$20</f>
        <v/>
      </c>
      <c r="BX47" s="910">
        <f>BX20/BX$20</f>
        <v/>
      </c>
      <c r="BY47" s="910">
        <f>BY20/BY$20</f>
        <v/>
      </c>
      <c r="BZ47" s="910">
        <f>BZ20/BZ$20</f>
        <v/>
      </c>
      <c r="CA47" s="910">
        <f>CA20/CA$20</f>
        <v/>
      </c>
      <c r="CB47" s="910">
        <f>CB20/CB$20</f>
        <v/>
      </c>
      <c r="CC47" s="910">
        <f>CC20/CC$20</f>
        <v/>
      </c>
      <c r="CD47" s="910">
        <f>CD20/CD$20</f>
        <v/>
      </c>
      <c r="CE47" s="910">
        <f>CE20/CE$20</f>
        <v/>
      </c>
      <c r="CF47" s="910">
        <f>CF20/CF$20</f>
        <v/>
      </c>
      <c r="CG47" s="910">
        <f>CG20/CG$20</f>
        <v/>
      </c>
      <c r="CH47" s="910">
        <f>CH20/CH$20</f>
        <v/>
      </c>
      <c r="CI47" s="910">
        <f>CI20/CI$20</f>
        <v/>
      </c>
      <c r="CJ47" s="910">
        <f>CJ20/CJ$20</f>
        <v/>
      </c>
      <c r="CK47" s="910">
        <f>CK20/CK$20</f>
        <v/>
      </c>
      <c r="DD47" s="913">
        <f>DD20/DD$20</f>
        <v/>
      </c>
      <c r="DE47" s="913">
        <f>DE20/DE$20</f>
        <v/>
      </c>
      <c r="DF47" s="913">
        <f>DF20/DF$20</f>
        <v/>
      </c>
      <c r="DG47" s="913">
        <f>DG20/DG$20</f>
        <v/>
      </c>
      <c r="DH47" s="913">
        <f>DH20/DH$20</f>
        <v/>
      </c>
      <c r="DI47" s="913">
        <f>DI20/DI$20</f>
        <v/>
      </c>
      <c r="DJ47" s="913">
        <f>DJ20/DJ$20</f>
        <v/>
      </c>
      <c r="DK47" s="913">
        <f>DK20/DK$20</f>
        <v/>
      </c>
      <c r="DL47" s="913">
        <f>DL20/DL$20</f>
        <v/>
      </c>
      <c r="DM47" s="913">
        <f>DM20/DM$20</f>
        <v/>
      </c>
      <c r="DN47" s="913">
        <f>DN20/DN$20</f>
        <v/>
      </c>
      <c r="DO47" s="913">
        <f>DO20/DO$20</f>
        <v/>
      </c>
      <c r="DP47" s="913">
        <f>DP20/DP$20</f>
        <v/>
      </c>
      <c r="DQ47" s="913">
        <f>DQ20/DQ$20</f>
        <v/>
      </c>
      <c r="DR47" s="913">
        <f>DR20/DR$20</f>
        <v/>
      </c>
      <c r="DS47" s="913">
        <f>DS20/DS$20</f>
        <v/>
      </c>
    </row>
    <row r="48">
      <c r="G48" s="890" t="n"/>
      <c r="H48" s="890" t="n"/>
      <c r="I48" s="890" t="n"/>
      <c r="J48" s="890" t="n"/>
      <c r="K48" s="890" t="n"/>
      <c r="L48" s="890" t="n"/>
      <c r="M48" s="890" t="n"/>
    </row>
    <row r="49"/>
    <row r="50">
      <c r="A50" s="81" t="inlineStr">
        <is>
          <t>Cost of Goods Sold (in '000 USD)</t>
        </is>
      </c>
      <c r="I50" s="890" t="n"/>
      <c r="J50" s="890" t="n"/>
    </row>
    <row r="51" hidden="1"/>
    <row r="52" hidden="1">
      <c r="A52" s="42">
        <f>+A14</f>
        <v/>
      </c>
      <c r="B52" s="79" t="n"/>
      <c r="C52" s="79" t="n"/>
      <c r="D52" s="79" t="n"/>
      <c r="E52" s="79" t="n"/>
      <c r="F52" s="79" t="n"/>
      <c r="G52" s="79" t="n"/>
      <c r="H52" s="50" t="n"/>
      <c r="I52" s="50" t="n"/>
      <c r="J52" s="50" t="n"/>
      <c r="K52" s="50" t="n"/>
      <c r="L52" s="50" t="n"/>
      <c r="M52" s="50" t="n"/>
    </row>
    <row r="53" hidden="1">
      <c r="A53" s="43" t="inlineStr">
        <is>
          <t>Gross Margin</t>
        </is>
      </c>
      <c r="B53" s="890" t="n"/>
      <c r="C53" s="890" t="n"/>
      <c r="D53" s="890" t="n"/>
      <c r="E53" s="890" t="n"/>
      <c r="F53" s="890" t="n"/>
      <c r="G53" s="890" t="n"/>
      <c r="H53" s="854" t="n"/>
      <c r="I53" s="854" t="n"/>
      <c r="J53" s="854" t="n"/>
      <c r="K53" s="854" t="n"/>
      <c r="L53" s="854" t="n"/>
      <c r="M53" s="854" t="n"/>
    </row>
    <row r="54" hidden="1">
      <c r="A54" s="43" t="n"/>
      <c r="B54" s="890" t="n"/>
      <c r="C54" s="890" t="n"/>
      <c r="D54" s="890" t="n"/>
      <c r="E54" s="890" t="n"/>
      <c r="F54" s="890" t="n"/>
      <c r="G54" s="890" t="n"/>
      <c r="H54" s="854" t="n"/>
      <c r="I54" s="854" t="n"/>
      <c r="J54" s="854" t="n"/>
      <c r="K54" s="854" t="n"/>
      <c r="L54" s="854" t="n"/>
      <c r="M54" s="854" t="n"/>
    </row>
    <row r="55" hidden="1">
      <c r="A55" s="42">
        <f>+A15</f>
        <v/>
      </c>
      <c r="B55" s="79" t="n"/>
      <c r="C55" s="79" t="n"/>
      <c r="D55" s="79" t="n"/>
      <c r="E55" s="79" t="n"/>
      <c r="F55" s="79" t="n"/>
      <c r="G55" s="79" t="n"/>
      <c r="H55" s="50" t="n"/>
      <c r="I55" s="50" t="n"/>
      <c r="J55" s="50" t="n"/>
      <c r="K55" s="50" t="n"/>
      <c r="L55" s="50" t="n"/>
      <c r="M55" s="50" t="n"/>
    </row>
    <row r="56" hidden="1">
      <c r="A56" s="43" t="inlineStr">
        <is>
          <t>Gross Margin</t>
        </is>
      </c>
      <c r="B56" s="890" t="n"/>
      <c r="C56" s="890" t="n"/>
      <c r="D56" s="890" t="n"/>
      <c r="E56" s="890" t="n"/>
      <c r="F56" s="890" t="n"/>
      <c r="G56" s="890" t="n"/>
      <c r="H56" s="854" t="n"/>
      <c r="I56" s="854" t="n"/>
      <c r="J56" s="854" t="n"/>
      <c r="K56" s="854" t="n"/>
      <c r="L56" s="854" t="n"/>
      <c r="M56" s="854" t="n"/>
    </row>
    <row r="57" hidden="1">
      <c r="A57" s="43" t="n"/>
      <c r="H57" s="854" t="n"/>
      <c r="I57" s="854" t="n"/>
      <c r="J57" s="854" t="n"/>
      <c r="K57" s="854" t="n"/>
      <c r="L57" s="854" t="n"/>
      <c r="M57" s="854" t="n"/>
    </row>
    <row r="58" hidden="1">
      <c r="A58" s="42">
        <f>+A16</f>
        <v/>
      </c>
      <c r="B58" s="79" t="n"/>
      <c r="C58" s="79" t="n"/>
      <c r="D58" s="79" t="n"/>
      <c r="E58" s="79" t="n"/>
      <c r="F58" s="79" t="n"/>
      <c r="G58" s="79" t="n"/>
      <c r="H58" s="50" t="n"/>
      <c r="I58" s="50" t="n"/>
      <c r="J58" s="50" t="n"/>
      <c r="K58" s="50" t="n"/>
      <c r="L58" s="50" t="n"/>
      <c r="M58" s="50" t="n"/>
    </row>
    <row r="59" hidden="1">
      <c r="A59" s="43" t="inlineStr">
        <is>
          <t>Gross Margin</t>
        </is>
      </c>
      <c r="B59" s="890" t="n"/>
      <c r="C59" s="890" t="n"/>
      <c r="D59" s="890" t="n"/>
      <c r="E59" s="890" t="n"/>
      <c r="F59" s="890" t="n"/>
      <c r="G59" s="890" t="n"/>
      <c r="H59" s="854" t="n"/>
      <c r="I59" s="854" t="n"/>
      <c r="J59" s="854" t="n"/>
      <c r="K59" s="854" t="n"/>
      <c r="L59" s="854" t="n"/>
      <c r="M59" s="854" t="n"/>
    </row>
    <row r="60" hidden="1">
      <c r="A60" s="43" t="n"/>
      <c r="H60" s="854" t="n"/>
      <c r="I60" s="854" t="n"/>
      <c r="J60" s="854" t="n"/>
      <c r="K60" s="854" t="n"/>
      <c r="L60" s="854" t="n"/>
      <c r="M60" s="854" t="n"/>
    </row>
    <row r="61" hidden="1">
      <c r="A61" s="42">
        <f>+A17</f>
        <v/>
      </c>
      <c r="B61" s="79" t="n"/>
      <c r="C61" s="79" t="n"/>
      <c r="D61" s="79" t="n"/>
      <c r="E61" s="79" t="n"/>
      <c r="F61" s="79" t="n"/>
      <c r="G61" s="79" t="n"/>
      <c r="H61" s="50" t="n"/>
      <c r="I61" s="50" t="n"/>
      <c r="J61" s="50" t="n"/>
      <c r="K61" s="50" t="n"/>
      <c r="L61" s="50" t="n"/>
      <c r="M61" s="50" t="n"/>
    </row>
    <row r="62" hidden="1">
      <c r="A62" s="43" t="inlineStr">
        <is>
          <t>Gross Margin</t>
        </is>
      </c>
      <c r="B62" s="890" t="n"/>
      <c r="C62" s="890" t="n"/>
      <c r="D62" s="890" t="n"/>
      <c r="E62" s="890" t="n"/>
      <c r="F62" s="890" t="n"/>
      <c r="G62" s="890" t="n"/>
      <c r="H62" s="854" t="n"/>
      <c r="I62" s="854" t="n"/>
      <c r="J62" s="854" t="n"/>
      <c r="K62" s="854" t="n"/>
      <c r="L62" s="854" t="n"/>
      <c r="M62" s="854" t="n"/>
    </row>
    <row r="63">
      <c r="A63" s="43" t="n"/>
      <c r="H63" s="854" t="n"/>
      <c r="I63" s="854" t="n"/>
      <c r="J63" s="854" t="n"/>
      <c r="K63" s="854" t="n"/>
      <c r="L63" s="854" t="n"/>
      <c r="M63" s="854" t="n"/>
    </row>
    <row r="64" customFormat="1" s="21">
      <c r="A64" s="77" t="inlineStr">
        <is>
          <t>Total COGS</t>
        </is>
      </c>
      <c r="B64" s="72" t="n"/>
      <c r="C64" s="72" t="n"/>
      <c r="D64" s="72" t="n"/>
      <c r="E64" s="72" t="n"/>
      <c r="F64" s="72" t="n"/>
      <c r="G64" s="72" t="n"/>
      <c r="H64" s="72" t="n"/>
      <c r="I64" s="72" t="n"/>
      <c r="J64" s="72" t="n"/>
      <c r="K64" s="72" t="n"/>
      <c r="L64" s="72" t="n"/>
      <c r="M64" s="72" t="n"/>
      <c r="N64" s="537">
        <f>FS_Q!N12</f>
        <v/>
      </c>
      <c r="O64" s="537">
        <f>FS_Q!O12</f>
        <v/>
      </c>
      <c r="P64" s="537">
        <f>FS_Q!P12</f>
        <v/>
      </c>
      <c r="Q64" s="537">
        <f>FS_Q!Q12</f>
        <v/>
      </c>
      <c r="R64" s="537">
        <f>FS_Q!R12</f>
        <v/>
      </c>
      <c r="S64" s="537">
        <f>FS_Q!S12</f>
        <v/>
      </c>
      <c r="T64" s="537">
        <f>FS_Q!T12</f>
        <v/>
      </c>
      <c r="U64" s="537">
        <f>FS_Q!U12</f>
        <v/>
      </c>
      <c r="V64" s="537">
        <f>FS_Q!V12</f>
        <v/>
      </c>
      <c r="W64" s="537">
        <f>FS_Q!W12</f>
        <v/>
      </c>
      <c r="X64" s="537">
        <f>FS_Q!X12</f>
        <v/>
      </c>
      <c r="Y64" s="537">
        <f>FS_Q!Y12</f>
        <v/>
      </c>
      <c r="Z64" s="537">
        <f>FS_Q!Z12</f>
        <v/>
      </c>
      <c r="AA64" s="537">
        <f>FS_Q!AA12</f>
        <v/>
      </c>
      <c r="AB64" s="537">
        <f>FS_Q!AB12</f>
        <v/>
      </c>
      <c r="AC64" s="537">
        <f>FS_Q!AC12</f>
        <v/>
      </c>
      <c r="AD64" s="537">
        <f>FS_Q!AD12</f>
        <v/>
      </c>
      <c r="AE64" s="537">
        <f>FS_Q!AE12</f>
        <v/>
      </c>
      <c r="AF64" s="537">
        <f>FS_Q!AF12</f>
        <v/>
      </c>
      <c r="AG64" s="537">
        <f>FS_Q!AG12</f>
        <v/>
      </c>
      <c r="AH64" s="537">
        <f>FS_Q!AH12</f>
        <v/>
      </c>
      <c r="AI64" s="537">
        <f>FS_Q!AI12</f>
        <v/>
      </c>
      <c r="AJ64" s="537">
        <f>FS_Q!AJ12</f>
        <v/>
      </c>
      <c r="AK64" s="537">
        <f>FS_Q!AK12</f>
        <v/>
      </c>
      <c r="AL64" s="537">
        <f>FS_Q!AL12</f>
        <v/>
      </c>
      <c r="AM64" s="537">
        <f>FS_Q!AM12</f>
        <v/>
      </c>
      <c r="AN64" s="537">
        <f>FS_Q!AN12</f>
        <v/>
      </c>
      <c r="AO64" s="537">
        <f>FS_Q!AO12</f>
        <v/>
      </c>
      <c r="AP64" s="537">
        <f>FS_Q!AP12</f>
        <v/>
      </c>
      <c r="AQ64" s="537">
        <f>FS_Q!AQ12</f>
        <v/>
      </c>
      <c r="AR64" s="537">
        <f>FS_Q!AR12</f>
        <v/>
      </c>
      <c r="AS64" s="537">
        <f>FS_Q!AS12</f>
        <v/>
      </c>
      <c r="AT64" s="537">
        <f>FS_Q!AT12</f>
        <v/>
      </c>
      <c r="AU64" s="537">
        <f>FS_Q!AU12</f>
        <v/>
      </c>
      <c r="AV64" s="537">
        <f>FS_Q!AV12</f>
        <v/>
      </c>
      <c r="AW64" s="537">
        <f>FS_Q!AW12</f>
        <v/>
      </c>
      <c r="AX64" s="537">
        <f>FS_Q!AX12</f>
        <v/>
      </c>
      <c r="AY64" s="537">
        <f>FS_Q!AY12</f>
        <v/>
      </c>
      <c r="AZ64" s="537">
        <f>FS_Q!AZ12</f>
        <v/>
      </c>
      <c r="BA64" s="537">
        <f>FS_Q!BA12</f>
        <v/>
      </c>
      <c r="BB64" s="537">
        <f>FS_Q!BB12</f>
        <v/>
      </c>
      <c r="BC64" s="537">
        <f>FS_Q!BC12</f>
        <v/>
      </c>
      <c r="BD64" s="537">
        <f>FS_Q!BD12</f>
        <v/>
      </c>
      <c r="BE64" s="537">
        <f>FS_Q!BE12</f>
        <v/>
      </c>
      <c r="BF64" s="537">
        <f>FS_Q!BF12</f>
        <v/>
      </c>
      <c r="BG64" s="537">
        <f>FS_Q!BG12</f>
        <v/>
      </c>
      <c r="BH64" s="537">
        <f>FS_Q!BH12</f>
        <v/>
      </c>
      <c r="BI64" s="537">
        <f>FS_Q!BI12</f>
        <v/>
      </c>
      <c r="BJ64" s="537">
        <f>FS_Q!BJ12</f>
        <v/>
      </c>
      <c r="BK64" s="537">
        <f>FS_Q!BK12</f>
        <v/>
      </c>
      <c r="BL64" s="537">
        <f>FS_Q!BL12</f>
        <v/>
      </c>
      <c r="BM64" s="537">
        <f>FS_Q!BM12</f>
        <v/>
      </c>
      <c r="BN64" s="537">
        <f>FS_Q!BN12</f>
        <v/>
      </c>
      <c r="BO64" s="537">
        <f>FS_Q!BO12</f>
        <v/>
      </c>
      <c r="BP64" s="537">
        <f>FS_Q!BP12</f>
        <v/>
      </c>
      <c r="BQ64" s="537">
        <f>FS_Q!BQ12</f>
        <v/>
      </c>
      <c r="BR64" s="537">
        <f>FS_Q!BR12</f>
        <v/>
      </c>
      <c r="BS64" s="519">
        <f>BS20*(1-BS65)</f>
        <v/>
      </c>
      <c r="BT64" s="519">
        <f>BT20*(1-BT65)</f>
        <v/>
      </c>
      <c r="BU64" s="519">
        <f>BU20*(1-BU65)</f>
        <v/>
      </c>
      <c r="BV64" s="519">
        <f>BV20*(1-BV65)</f>
        <v/>
      </c>
      <c r="BW64" s="519">
        <f>BW20*(1-BW65)</f>
        <v/>
      </c>
      <c r="BX64" s="519">
        <f>BX20*(1-BX65)</f>
        <v/>
      </c>
      <c r="BY64" s="519">
        <f>BY20*(1-BY65)</f>
        <v/>
      </c>
      <c r="BZ64" s="519">
        <f>BZ20*(1-BZ65)</f>
        <v/>
      </c>
      <c r="CA64" s="519">
        <f>CA20*(1-CA65)</f>
        <v/>
      </c>
      <c r="CB64" s="519">
        <f>CB20*(1-CB65)</f>
        <v/>
      </c>
      <c r="CC64" s="519">
        <f>CC20*(1-CC65)</f>
        <v/>
      </c>
      <c r="CD64" s="519">
        <f>CD20*(1-CD65)</f>
        <v/>
      </c>
      <c r="CE64" s="519">
        <f>CE20*(1-CE65)</f>
        <v/>
      </c>
      <c r="CF64" s="519">
        <f>CF20*(1-CF65)</f>
        <v/>
      </c>
      <c r="CG64" s="519">
        <f>CG20*(1-CG65)</f>
        <v/>
      </c>
      <c r="CH64" s="519">
        <f>CH20*(1-CH65)</f>
        <v/>
      </c>
      <c r="CI64" s="519">
        <f>CI20*(1-CI65)</f>
        <v/>
      </c>
      <c r="CJ64" s="519">
        <f>CJ20*(1-CJ65)</f>
        <v/>
      </c>
      <c r="CK64" s="519">
        <f>CK20*(1-CK65)</f>
        <v/>
      </c>
      <c r="DA64" s="519">
        <f>SUMIF($N$1:$CG$1,DA$1,$N64:$CG64)</f>
        <v/>
      </c>
      <c r="DB64" s="519">
        <f>SUMIF($N$1:$CG$1,DB$1,$N64:$CG64)</f>
        <v/>
      </c>
      <c r="DC64" s="519">
        <f>SUMIF($N$1:$CG$1,DC$1,$N64:$CG64)</f>
        <v/>
      </c>
      <c r="DD64" s="519">
        <f>SUMIF($N$1:$CG$1,DD$1,$N64:$CG64)</f>
        <v/>
      </c>
      <c r="DE64" s="519">
        <f>SUMIF($N$1:$CG$1,DE$1,$N64:$CG64)</f>
        <v/>
      </c>
      <c r="DF64" s="519">
        <f>SUMIF($N$1:$CG$1,DF$1,$N64:$CG64)</f>
        <v/>
      </c>
      <c r="DG64" s="519">
        <f>SUMIF($N$1:$CG$1,DG$1,$N64:$CG64)</f>
        <v/>
      </c>
      <c r="DH64" s="519">
        <f>SUMIF($N$1:$CG$1,DH$1,$N64:$CG64)</f>
        <v/>
      </c>
      <c r="DI64" s="519">
        <f>SUMIF($N$1:$CG$1,DI$1,$N64:$CG64)</f>
        <v/>
      </c>
      <c r="DJ64" s="519">
        <f>SUMIF($N$1:$CG$1,DJ$1,$N64:$CG64)</f>
        <v/>
      </c>
      <c r="DK64" s="519">
        <f>SUMIF($N$1:$CG$1,DK$1,$N64:$CG64)</f>
        <v/>
      </c>
      <c r="DL64" s="519">
        <f>SUMIF($N$1:$CG$1,DL$1,$N64:$CG64)</f>
        <v/>
      </c>
      <c r="DM64" s="519">
        <f>SUMIF($N$1:$CG$1,DM$1,$N64:$CG64)</f>
        <v/>
      </c>
      <c r="DN64" s="519">
        <f>SUMIF($N$1:$CG$1,DN$1,$N64:$CG64)</f>
        <v/>
      </c>
      <c r="DO64" s="519">
        <f>SUMIF($N$1:$CG$1,DO$1,$N64:$CG64)</f>
        <v/>
      </c>
      <c r="DP64" s="519">
        <f>SUMIF($N$1:$CG$1,DP$1,$N64:$CG64)</f>
        <v/>
      </c>
      <c r="DQ64" s="519">
        <f>SUMIF($N$1:$CG$1,DQ$1,$N64:$CG64)</f>
        <v/>
      </c>
      <c r="DR64" s="519">
        <f>SUMIF($N$1:$CG$1,DR$1,$N64:$CG64)</f>
        <v/>
      </c>
      <c r="DS64" s="519">
        <f>SUMIF($N$1:$CK$1,DS$1,$N64:$CK64)</f>
        <v/>
      </c>
    </row>
    <row r="65">
      <c r="A65" s="43" t="inlineStr">
        <is>
          <t>Gross margin</t>
        </is>
      </c>
      <c r="B65" s="914" t="n"/>
      <c r="C65" s="914" t="n"/>
      <c r="D65" s="914" t="n"/>
      <c r="E65" s="914" t="n"/>
      <c r="F65" s="914" t="n"/>
      <c r="G65" s="914" t="n"/>
      <c r="H65" s="914" t="n"/>
      <c r="I65" s="914" t="n"/>
      <c r="J65" s="914" t="n"/>
      <c r="K65" s="914" t="n"/>
      <c r="L65" s="914" t="n"/>
      <c r="M65" s="914" t="n"/>
      <c r="N65" s="908">
        <f>1-N64/N20</f>
        <v/>
      </c>
      <c r="O65" s="908">
        <f>1-O64/O20</f>
        <v/>
      </c>
      <c r="P65" s="908">
        <f>1-P64/P20</f>
        <v/>
      </c>
      <c r="Q65" s="908">
        <f>1-Q64/Q20</f>
        <v/>
      </c>
      <c r="R65" s="908">
        <f>1-R64/R20</f>
        <v/>
      </c>
      <c r="S65" s="908">
        <f>1-S64/S20</f>
        <v/>
      </c>
      <c r="T65" s="908">
        <f>1-T64/T20</f>
        <v/>
      </c>
      <c r="U65" s="908">
        <f>1-U64/U20</f>
        <v/>
      </c>
      <c r="V65" s="908">
        <f>1-V64/V20</f>
        <v/>
      </c>
      <c r="W65" s="908">
        <f>1-W64/W20</f>
        <v/>
      </c>
      <c r="X65" s="908">
        <f>1-X64/X20</f>
        <v/>
      </c>
      <c r="Y65" s="908">
        <f>1-Y64/Y20</f>
        <v/>
      </c>
      <c r="Z65" s="908">
        <f>1-Z64/Z20</f>
        <v/>
      </c>
      <c r="AA65" s="908">
        <f>1-AA64/AA20</f>
        <v/>
      </c>
      <c r="AB65" s="908">
        <f>1-AB64/AB20</f>
        <v/>
      </c>
      <c r="AC65" s="908">
        <f>1-AC64/AC20</f>
        <v/>
      </c>
      <c r="AD65" s="908">
        <f>1-AD64/AD20</f>
        <v/>
      </c>
      <c r="AE65" s="908">
        <f>1-AE64/AE20</f>
        <v/>
      </c>
      <c r="AF65" s="908">
        <f>1-AF64/AF20</f>
        <v/>
      </c>
      <c r="AG65" s="908">
        <f>1-AG64/AG20</f>
        <v/>
      </c>
      <c r="AH65" s="908">
        <f>1-AH64/AH20</f>
        <v/>
      </c>
      <c r="AI65" s="908">
        <f>1-AI64/AI20</f>
        <v/>
      </c>
      <c r="AJ65" s="908">
        <f>1-AJ64/AJ20</f>
        <v/>
      </c>
      <c r="AK65" s="908">
        <f>1-AK64/AK20</f>
        <v/>
      </c>
      <c r="AL65" s="908">
        <f>1-AL64/AL20</f>
        <v/>
      </c>
      <c r="AM65" s="908">
        <f>1-AM64/AM20</f>
        <v/>
      </c>
      <c r="AN65" s="908">
        <f>1-AN64/AN20</f>
        <v/>
      </c>
      <c r="AO65" s="908">
        <f>1-AO64/AO20</f>
        <v/>
      </c>
      <c r="AP65" s="908">
        <f>1-AP64/AP20</f>
        <v/>
      </c>
      <c r="AQ65" s="908">
        <f>1-AQ64/AQ20</f>
        <v/>
      </c>
      <c r="AR65" s="908">
        <f>1-AR64/AR20</f>
        <v/>
      </c>
      <c r="AS65" s="908">
        <f>1-AS64/AS20</f>
        <v/>
      </c>
      <c r="AT65" s="908">
        <f>1-AT64/AT20</f>
        <v/>
      </c>
      <c r="AU65" s="908">
        <f>1-AU64/AU20</f>
        <v/>
      </c>
      <c r="AV65" s="908">
        <f>1-AV64/AV20</f>
        <v/>
      </c>
      <c r="AW65" s="908">
        <f>1-AW64/AW20</f>
        <v/>
      </c>
      <c r="AX65" s="908">
        <f>1-AX64/AX20</f>
        <v/>
      </c>
      <c r="AY65" s="908">
        <f>1-AY64/AY20</f>
        <v/>
      </c>
      <c r="AZ65" s="908">
        <f>1-AZ64/AZ20</f>
        <v/>
      </c>
      <c r="BA65" s="908">
        <f>1-BA64/BA20</f>
        <v/>
      </c>
      <c r="BB65" s="908">
        <f>1-BB64/BB20</f>
        <v/>
      </c>
      <c r="BC65" s="908">
        <f>1-BC64/BC20</f>
        <v/>
      </c>
      <c r="BD65" s="908">
        <f>1-BD64/BD20</f>
        <v/>
      </c>
      <c r="BE65" s="908">
        <f>1-BE64/BE20</f>
        <v/>
      </c>
      <c r="BF65" s="908">
        <f>1-BF64/BF20</f>
        <v/>
      </c>
      <c r="BG65" s="908">
        <f>1-BG64/BG20</f>
        <v/>
      </c>
      <c r="BH65" s="908">
        <f>1-BH64/BH20</f>
        <v/>
      </c>
      <c r="BI65" s="908">
        <f>1-BI64/BI20</f>
        <v/>
      </c>
      <c r="BJ65" s="908">
        <f>1-BJ64/BJ20</f>
        <v/>
      </c>
      <c r="BK65" s="908">
        <f>1-BK64/BK20</f>
        <v/>
      </c>
      <c r="BL65" s="908">
        <f>1-BL64/BL20</f>
        <v/>
      </c>
      <c r="BM65" s="908">
        <f>1-BM64/BM20</f>
        <v/>
      </c>
      <c r="BN65" s="908">
        <f>1-BN64/BN20</f>
        <v/>
      </c>
      <c r="BO65" s="908">
        <f>1-BO64/BO20</f>
        <v/>
      </c>
      <c r="BP65" s="908">
        <f>1-BP64/BP20</f>
        <v/>
      </c>
      <c r="BQ65" s="908">
        <f>1-BQ64/BQ20</f>
        <v/>
      </c>
      <c r="BR65" s="908">
        <f>1-BR64/BR20</f>
        <v/>
      </c>
      <c r="BS65" s="915" t="n">
        <v>0.39</v>
      </c>
      <c r="BT65" s="915" t="n">
        <v>0.415</v>
      </c>
      <c r="BU65" s="915" t="n">
        <v>0.43</v>
      </c>
      <c r="BV65" s="915" t="n">
        <v>0.44</v>
      </c>
      <c r="BW65" s="915" t="n">
        <v>0.445</v>
      </c>
      <c r="BX65" s="909" t="n">
        <v>0.445</v>
      </c>
      <c r="BY65" s="909" t="n">
        <v>0.445</v>
      </c>
      <c r="BZ65" s="909" t="n">
        <v>0.425</v>
      </c>
      <c r="CA65" s="909" t="n">
        <v>0.42</v>
      </c>
      <c r="CB65" s="909" t="n">
        <v>0.43</v>
      </c>
      <c r="CC65" s="909" t="n">
        <v>0.43</v>
      </c>
      <c r="CD65" s="909" t="n">
        <v>0.435</v>
      </c>
      <c r="CE65" s="909" t="n">
        <v>0.44</v>
      </c>
      <c r="CF65" s="909" t="n">
        <v>0.44</v>
      </c>
      <c r="CG65" s="909" t="n">
        <v>0.445</v>
      </c>
      <c r="CH65" s="909" t="n">
        <v>0.445</v>
      </c>
      <c r="CI65" s="909" t="n">
        <v>0.445</v>
      </c>
      <c r="CJ65" s="909" t="n">
        <v>0.445</v>
      </c>
      <c r="CK65" s="909" t="n">
        <v>0.445</v>
      </c>
      <c r="DA65" s="912">
        <f>1-DA64/DA$20</f>
        <v/>
      </c>
      <c r="DB65" s="912">
        <f>1-DB64/DB$20</f>
        <v/>
      </c>
      <c r="DC65" s="912">
        <f>1-DC64/DC$20</f>
        <v/>
      </c>
      <c r="DD65" s="912">
        <f>1-DD64/DD$20</f>
        <v/>
      </c>
      <c r="DE65" s="912">
        <f>1-DE64/DE$20</f>
        <v/>
      </c>
      <c r="DF65" s="912">
        <f>1-DF64/DF$20</f>
        <v/>
      </c>
      <c r="DG65" s="912">
        <f>1-DG64/DG$20</f>
        <v/>
      </c>
      <c r="DH65" s="912">
        <f>1-DH64/DH$20</f>
        <v/>
      </c>
      <c r="DI65" s="912">
        <f>1-DI64/DI$20</f>
        <v/>
      </c>
      <c r="DJ65" s="912">
        <f>1-DJ64/DJ$20</f>
        <v/>
      </c>
      <c r="DK65" s="912">
        <f>1-DK64/DK$20</f>
        <v/>
      </c>
      <c r="DL65" s="912">
        <f>1-DL64/DL$20</f>
        <v/>
      </c>
      <c r="DM65" s="912">
        <f>1-DM64/DM$20</f>
        <v/>
      </c>
      <c r="DN65" s="912">
        <f>1-DN64/DN$20</f>
        <v/>
      </c>
      <c r="DO65" s="912">
        <f>1-DO64/DO$20</f>
        <v/>
      </c>
      <c r="DP65" s="912">
        <f>1-DP64/DP$20</f>
        <v/>
      </c>
      <c r="DQ65" s="912">
        <f>1-DQ64/DQ$20</f>
        <v/>
      </c>
      <c r="DR65" s="912">
        <f>1-DR64/DR$20</f>
        <v/>
      </c>
      <c r="DS65" s="912">
        <f>1-DS64/DS$20</f>
        <v/>
      </c>
    </row>
    <row r="66"/>
    <row r="67">
      <c r="AV67" s="905">
        <f>AV65-8.3%</f>
        <v/>
      </c>
    </row>
    <row r="68"/>
    <row r="69">
      <c r="A69" s="81" t="inlineStr">
        <is>
          <t>Operating and Non-operating Income&amp;Expense (in '000 USD)</t>
        </is>
      </c>
    </row>
    <row r="70">
      <c r="A70" s="169" t="n"/>
      <c r="AW70" s="50" t="n"/>
    </row>
    <row r="71">
      <c r="A71" s="518" t="inlineStr">
        <is>
          <t>Operating Expenses</t>
        </is>
      </c>
      <c r="B71" s="31" t="n"/>
      <c r="C71" s="31" t="n"/>
      <c r="D71" s="31" t="n"/>
      <c r="E71" s="31" t="n"/>
      <c r="F71" s="31" t="n"/>
    </row>
    <row r="72">
      <c r="A72" s="518" t="n"/>
      <c r="B72" s="31" t="n"/>
      <c r="C72" s="31" t="n"/>
      <c r="D72" s="31" t="n"/>
      <c r="E72" s="31" t="n"/>
      <c r="F72" s="31" t="n"/>
    </row>
    <row r="73">
      <c r="A73" s="74">
        <f>FS_Q!A14</f>
        <v/>
      </c>
      <c r="B73" s="140" t="n"/>
      <c r="C73" s="140" t="n"/>
      <c r="D73" s="140" t="n"/>
      <c r="E73" s="140" t="n"/>
      <c r="F73" s="140" t="n"/>
      <c r="G73" s="140" t="n"/>
      <c r="H73" s="140" t="n"/>
      <c r="I73" s="140" t="n"/>
      <c r="J73" s="140" t="n"/>
      <c r="K73" s="140" t="n"/>
      <c r="L73" s="140" t="n"/>
      <c r="M73" s="140" t="n"/>
      <c r="N73" s="516">
        <f>FS_Q!N14</f>
        <v/>
      </c>
      <c r="O73" s="516">
        <f>FS_Q!O14</f>
        <v/>
      </c>
      <c r="P73" s="516">
        <f>FS_Q!P14</f>
        <v/>
      </c>
      <c r="Q73" s="516">
        <f>FS_Q!Q14</f>
        <v/>
      </c>
      <c r="R73" s="516">
        <f>FS_Q!R14</f>
        <v/>
      </c>
      <c r="S73" s="516">
        <f>FS_Q!S14</f>
        <v/>
      </c>
      <c r="T73" s="516">
        <f>FS_Q!T14</f>
        <v/>
      </c>
      <c r="U73" s="516">
        <f>FS_Q!U14</f>
        <v/>
      </c>
      <c r="V73" s="516">
        <f>FS_Q!V14</f>
        <v/>
      </c>
      <c r="W73" s="516">
        <f>FS_Q!W14</f>
        <v/>
      </c>
      <c r="X73" s="516">
        <f>FS_Q!X14</f>
        <v/>
      </c>
      <c r="Y73" s="516">
        <f>FS_Q!Y14</f>
        <v/>
      </c>
      <c r="Z73" s="516">
        <f>FS_Q!Z14</f>
        <v/>
      </c>
      <c r="AA73" s="516">
        <f>FS_Q!AA14</f>
        <v/>
      </c>
      <c r="AB73" s="516">
        <f>FS_Q!AB14</f>
        <v/>
      </c>
      <c r="AC73" s="516">
        <f>FS_Q!AC14</f>
        <v/>
      </c>
      <c r="AD73" s="516">
        <f>FS_Q!AD14</f>
        <v/>
      </c>
      <c r="AE73" s="516">
        <f>FS_Q!AE14</f>
        <v/>
      </c>
      <c r="AF73" s="516">
        <f>FS_Q!AF14</f>
        <v/>
      </c>
      <c r="AG73" s="516">
        <f>FS_Q!AG14</f>
        <v/>
      </c>
      <c r="AH73" s="516">
        <f>FS_Q!AH14</f>
        <v/>
      </c>
      <c r="AI73" s="516">
        <f>FS_Q!AI14</f>
        <v/>
      </c>
      <c r="AJ73" s="516">
        <f>FS_Q!AJ14</f>
        <v/>
      </c>
      <c r="AK73" s="516">
        <f>FS_Q!AK14</f>
        <v/>
      </c>
      <c r="AL73" s="516">
        <f>FS_Q!AL14</f>
        <v/>
      </c>
      <c r="AM73" s="516">
        <f>FS_Q!AM14</f>
        <v/>
      </c>
      <c r="AN73" s="516">
        <f>FS_Q!AN14</f>
        <v/>
      </c>
      <c r="AO73" s="516">
        <f>FS_Q!AO14</f>
        <v/>
      </c>
      <c r="AP73" s="516">
        <f>FS_Q!AP14</f>
        <v/>
      </c>
      <c r="AQ73" s="516">
        <f>FS_Q!AQ14</f>
        <v/>
      </c>
      <c r="AR73" s="516">
        <f>FS_Q!AR14</f>
        <v/>
      </c>
      <c r="AS73" s="516">
        <f>FS_Q!AS14</f>
        <v/>
      </c>
      <c r="AT73" s="516">
        <f>FS_Q!AT14</f>
        <v/>
      </c>
      <c r="AU73" s="516">
        <f>FS_Q!AU14</f>
        <v/>
      </c>
      <c r="AV73" s="516">
        <f>FS_Q!AV14</f>
        <v/>
      </c>
      <c r="AW73" s="516">
        <f>FS_Q!AW14</f>
        <v/>
      </c>
      <c r="AX73" s="516">
        <f>FS_Q!AX14</f>
        <v/>
      </c>
      <c r="AY73" s="516">
        <f>FS_Q!AY14</f>
        <v/>
      </c>
      <c r="AZ73" s="516">
        <f>FS_Q!AZ14</f>
        <v/>
      </c>
      <c r="BA73" s="516">
        <f>FS_Q!BA14</f>
        <v/>
      </c>
      <c r="BB73" s="516">
        <f>FS_Q!BB14</f>
        <v/>
      </c>
      <c r="BC73" s="516">
        <f>FS_Q!BC14</f>
        <v/>
      </c>
      <c r="BD73" s="516">
        <f>FS_Q!BD14</f>
        <v/>
      </c>
      <c r="BE73" s="516">
        <f>FS_Q!BE14</f>
        <v/>
      </c>
      <c r="BF73" s="516">
        <f>FS_Q!BF14</f>
        <v/>
      </c>
      <c r="BG73" s="516">
        <f>FS_Q!BG14</f>
        <v/>
      </c>
      <c r="BH73" s="516">
        <f>FS_Q!BH14</f>
        <v/>
      </c>
      <c r="BI73" s="516">
        <f>FS_Q!BI14</f>
        <v/>
      </c>
      <c r="BJ73" s="516">
        <f>FS_Q!BJ14</f>
        <v/>
      </c>
      <c r="BK73" s="516">
        <f>FS_Q!BK14</f>
        <v/>
      </c>
      <c r="BL73" s="516">
        <f>FS_Q!BL14</f>
        <v/>
      </c>
      <c r="BM73" s="516">
        <f>FS_Q!BM14</f>
        <v/>
      </c>
      <c r="BN73" s="516">
        <f>FS_Q!BN14</f>
        <v/>
      </c>
      <c r="BO73" s="516">
        <f>FS_Q!BO14</f>
        <v/>
      </c>
      <c r="BP73" s="516">
        <f>FS_Q!BP14</f>
        <v/>
      </c>
      <c r="BQ73" s="516">
        <f>FS_Q!BQ14</f>
        <v/>
      </c>
      <c r="BR73" s="516">
        <f>FS_Q!BR14</f>
        <v/>
      </c>
      <c r="BS73" s="517">
        <f>BS$20*BS74</f>
        <v/>
      </c>
      <c r="BT73" s="517">
        <f>BT$20*BT74</f>
        <v/>
      </c>
      <c r="BU73" s="517">
        <f>BU$20*BU74</f>
        <v/>
      </c>
      <c r="BV73" s="517">
        <f>BV$20*BV74</f>
        <v/>
      </c>
      <c r="BW73" s="517">
        <f>BW$20*BW74</f>
        <v/>
      </c>
      <c r="BX73" s="517">
        <f>BX$20*BX74</f>
        <v/>
      </c>
      <c r="BY73" s="517">
        <f>BY$20*BY74</f>
        <v/>
      </c>
      <c r="BZ73" s="517">
        <f>BZ$20*BZ74</f>
        <v/>
      </c>
      <c r="CA73" s="517">
        <f>CA$20*CA74</f>
        <v/>
      </c>
      <c r="CB73" s="517">
        <f>CB$20*CB74</f>
        <v/>
      </c>
      <c r="CC73" s="517">
        <f>CC$20*CC74</f>
        <v/>
      </c>
      <c r="CD73" s="517">
        <f>CD$20*CD74</f>
        <v/>
      </c>
      <c r="CE73" s="517">
        <f>CE$20*CE74</f>
        <v/>
      </c>
      <c r="CF73" s="517">
        <f>CF$20*CF74</f>
        <v/>
      </c>
      <c r="CG73" s="517">
        <f>CG$20*CG74</f>
        <v/>
      </c>
      <c r="CH73" s="517">
        <f>CH$20*CH74</f>
        <v/>
      </c>
      <c r="CI73" s="517">
        <f>CI$20*CI74</f>
        <v/>
      </c>
      <c r="CJ73" s="517">
        <f>CJ$20*CJ74</f>
        <v/>
      </c>
      <c r="CK73" s="517">
        <f>CK$20*CK74</f>
        <v/>
      </c>
      <c r="DA73" s="517">
        <f>SUMIF($N$1:$CG$1,DA$1,$N73:$CG73)</f>
        <v/>
      </c>
      <c r="DB73" s="517">
        <f>SUMIF($N$1:$CG$1,DB$1,$N73:$CG73)</f>
        <v/>
      </c>
      <c r="DC73" s="517">
        <f>SUMIF($N$1:$CG$1,DC$1,$N73:$CG73)</f>
        <v/>
      </c>
      <c r="DD73" s="517">
        <f>SUMIF($N$1:$CG$1,DD$1,$N73:$CG73)</f>
        <v/>
      </c>
      <c r="DE73" s="517">
        <f>SUMIF($N$1:$CG$1,DE$1,$N73:$CG73)</f>
        <v/>
      </c>
      <c r="DF73" s="517">
        <f>SUMIF($N$1:$CG$1,DF$1,$N73:$CG73)</f>
        <v/>
      </c>
      <c r="DG73" s="517">
        <f>SUMIF($N$1:$CG$1,DG$1,$N73:$CG73)</f>
        <v/>
      </c>
      <c r="DH73" s="517">
        <f>SUMIF($N$1:$CG$1,DH$1,$N73:$CG73)</f>
        <v/>
      </c>
      <c r="DI73" s="517">
        <f>SUMIF($N$1:$CG$1,DI$1,$N73:$CG73)</f>
        <v/>
      </c>
      <c r="DJ73" s="517">
        <f>SUMIF($N$1:$CG$1,DJ$1,$N73:$CG73)</f>
        <v/>
      </c>
      <c r="DK73" s="517">
        <f>SUMIF($N$1:$CG$1,DK$1,$N73:$CG73)</f>
        <v/>
      </c>
      <c r="DL73" s="517">
        <f>SUMIF($N$1:$CG$1,DL$1,$N73:$CG73)</f>
        <v/>
      </c>
      <c r="DM73" s="517">
        <f>SUMIF($N$1:$CG$1,DM$1,$N73:$CG73)</f>
        <v/>
      </c>
      <c r="DN73" s="517">
        <f>SUMIF($N$1:$CG$1,DN$1,$N73:$CG73)</f>
        <v/>
      </c>
      <c r="DO73" s="517">
        <f>SUMIF($N$1:$CG$1,DO$1,$N73:$CG73)</f>
        <v/>
      </c>
      <c r="DP73" s="517">
        <f>SUMIF($N$1:$CG$1,DP$1,$N73:$CG73)</f>
        <v/>
      </c>
      <c r="DQ73" s="517">
        <f>SUMIF($N$1:$CG$1,DQ$1,$N73:$CG73)</f>
        <v/>
      </c>
      <c r="DR73" s="517">
        <f>SUMIF($N$1:$CG$1,DR$1,$N73:$CG73)</f>
        <v/>
      </c>
      <c r="DS73" s="517">
        <f>SUMIF($N$1:$CK$1,DS$1,$N73:$CK73)</f>
        <v/>
      </c>
    </row>
    <row r="74">
      <c r="A74" s="191" t="inlineStr">
        <is>
          <t>as % of sales</t>
        </is>
      </c>
      <c r="B74" s="914" t="n"/>
      <c r="C74" s="914" t="n"/>
      <c r="D74" s="914" t="n"/>
      <c r="E74" s="914" t="n"/>
      <c r="F74" s="914" t="n"/>
      <c r="G74" s="914" t="n"/>
      <c r="H74" s="914" t="n"/>
      <c r="I74" s="914" t="n"/>
      <c r="J74" s="914" t="n"/>
      <c r="K74" s="914" t="n"/>
      <c r="L74" s="914" t="n"/>
      <c r="M74" s="914" t="n"/>
      <c r="N74" s="908">
        <f>N73/N$20</f>
        <v/>
      </c>
      <c r="O74" s="908">
        <f>O73/O$20</f>
        <v/>
      </c>
      <c r="P74" s="908">
        <f>P73/P$20</f>
        <v/>
      </c>
      <c r="Q74" s="908">
        <f>Q73/Q$20</f>
        <v/>
      </c>
      <c r="R74" s="908">
        <f>R73/R$20</f>
        <v/>
      </c>
      <c r="S74" s="908">
        <f>S73/S$20</f>
        <v/>
      </c>
      <c r="T74" s="908">
        <f>T73/T$20</f>
        <v/>
      </c>
      <c r="U74" s="908">
        <f>U73/U$20</f>
        <v/>
      </c>
      <c r="V74" s="908">
        <f>V73/V$20</f>
        <v/>
      </c>
      <c r="W74" s="908">
        <f>W73/W$20</f>
        <v/>
      </c>
      <c r="X74" s="908">
        <f>X73/X$20</f>
        <v/>
      </c>
      <c r="Y74" s="908">
        <f>Y73/Y$20</f>
        <v/>
      </c>
      <c r="Z74" s="908">
        <f>Z73/Z$20</f>
        <v/>
      </c>
      <c r="AA74" s="908">
        <f>AA73/AA$20</f>
        <v/>
      </c>
      <c r="AB74" s="908">
        <f>AB73/AB$20</f>
        <v/>
      </c>
      <c r="AC74" s="908">
        <f>AC73/AC$20</f>
        <v/>
      </c>
      <c r="AD74" s="908">
        <f>AD73/AD$20</f>
        <v/>
      </c>
      <c r="AE74" s="908">
        <f>AE73/AE$20</f>
        <v/>
      </c>
      <c r="AF74" s="908">
        <f>AF73/AF$20</f>
        <v/>
      </c>
      <c r="AG74" s="908">
        <f>AG73/AG$20</f>
        <v/>
      </c>
      <c r="AH74" s="908">
        <f>AH73/AH$20</f>
        <v/>
      </c>
      <c r="AI74" s="908">
        <f>AI73/AI$20</f>
        <v/>
      </c>
      <c r="AJ74" s="908">
        <f>AJ73/AJ$20</f>
        <v/>
      </c>
      <c r="AK74" s="908">
        <f>AK73/AK$20</f>
        <v/>
      </c>
      <c r="AL74" s="908">
        <f>AL73/AL$20</f>
        <v/>
      </c>
      <c r="AM74" s="908">
        <f>AM73/AM$20</f>
        <v/>
      </c>
      <c r="AN74" s="908">
        <f>AN73/AN$20</f>
        <v/>
      </c>
      <c r="AO74" s="908">
        <f>AO73/AO$20</f>
        <v/>
      </c>
      <c r="AP74" s="908">
        <f>AP73/AP$20</f>
        <v/>
      </c>
      <c r="AQ74" s="908">
        <f>AQ73/AQ$20</f>
        <v/>
      </c>
      <c r="AR74" s="908">
        <f>AR73/AR$20</f>
        <v/>
      </c>
      <c r="AS74" s="908">
        <f>AS73/AS$20</f>
        <v/>
      </c>
      <c r="AT74" s="908">
        <f>AT73/AT$20</f>
        <v/>
      </c>
      <c r="AU74" s="908">
        <f>AU73/AU$20</f>
        <v/>
      </c>
      <c r="AV74" s="908">
        <f>AV73/AV$20</f>
        <v/>
      </c>
      <c r="AW74" s="908">
        <f>AW73/AW$20</f>
        <v/>
      </c>
      <c r="AX74" s="908">
        <f>AX73/AX$20</f>
        <v/>
      </c>
      <c r="AY74" s="908">
        <f>AY73/AY$20</f>
        <v/>
      </c>
      <c r="AZ74" s="908">
        <f>AZ73/AZ$20</f>
        <v/>
      </c>
      <c r="BA74" s="908">
        <f>BA73/BA$20</f>
        <v/>
      </c>
      <c r="BB74" s="908">
        <f>BB73/BB$20</f>
        <v/>
      </c>
      <c r="BC74" s="908">
        <f>BC73/BC$20</f>
        <v/>
      </c>
      <c r="BD74" s="908">
        <f>BD73/BD$20</f>
        <v/>
      </c>
      <c r="BE74" s="908">
        <f>BE73/BE$20</f>
        <v/>
      </c>
      <c r="BF74" s="908">
        <f>BF73/BF$20</f>
        <v/>
      </c>
      <c r="BG74" s="908">
        <f>BG73/BG$20</f>
        <v/>
      </c>
      <c r="BH74" s="908">
        <f>BH73/BH$20</f>
        <v/>
      </c>
      <c r="BI74" s="908">
        <f>BI73/BI$20</f>
        <v/>
      </c>
      <c r="BJ74" s="908">
        <f>BJ73/BJ$20</f>
        <v/>
      </c>
      <c r="BK74" s="908">
        <f>BK73/BK$20</f>
        <v/>
      </c>
      <c r="BL74" s="908">
        <f>BL73/BL$20</f>
        <v/>
      </c>
      <c r="BM74" s="908">
        <f>BM73/BM$20</f>
        <v/>
      </c>
      <c r="BN74" s="908">
        <f>BN73/BN$20</f>
        <v/>
      </c>
      <c r="BO74" s="908">
        <f>BO73/BO$20</f>
        <v/>
      </c>
      <c r="BP74" s="908">
        <f>BP73/BP$20</f>
        <v/>
      </c>
      <c r="BQ74" s="908">
        <f>BQ73/BQ$20</f>
        <v/>
      </c>
      <c r="BR74" s="908">
        <f>BR73/BR$20</f>
        <v/>
      </c>
      <c r="BS74" s="915" t="n">
        <v>0.08500000000000001</v>
      </c>
      <c r="BT74" s="915" t="n">
        <v>0.07000000000000001</v>
      </c>
      <c r="BU74" s="915" t="n">
        <v>0.065</v>
      </c>
      <c r="BV74" s="909" t="n">
        <v>0.065</v>
      </c>
      <c r="BW74" s="909" t="n">
        <v>0.065</v>
      </c>
      <c r="BX74" s="909" t="n">
        <v>0.063</v>
      </c>
      <c r="BY74" s="909" t="n">
        <v>0.063</v>
      </c>
      <c r="BZ74" s="909" t="n">
        <v>0.07000000000000001</v>
      </c>
      <c r="CA74" s="909" t="n">
        <v>0.07000000000000001</v>
      </c>
      <c r="CB74" s="909" t="n">
        <v>0.07000000000000001</v>
      </c>
      <c r="CC74" s="909" t="n">
        <v>0.07000000000000001</v>
      </c>
      <c r="CD74" s="909" t="n">
        <v>0.065</v>
      </c>
      <c r="CE74" s="909" t="n">
        <v>0.065</v>
      </c>
      <c r="CF74" s="909" t="n">
        <v>0.065</v>
      </c>
      <c r="CG74" s="909" t="n">
        <v>0.065</v>
      </c>
      <c r="CH74" s="909" t="n">
        <v>0.065</v>
      </c>
      <c r="CI74" s="909" t="n">
        <v>0.065</v>
      </c>
      <c r="CJ74" s="909" t="n">
        <v>0.065</v>
      </c>
      <c r="CK74" s="909" t="n">
        <v>0.065</v>
      </c>
      <c r="DA74" s="912">
        <f>DA73/DA$20</f>
        <v/>
      </c>
      <c r="DB74" s="912">
        <f>DB73/DB$20</f>
        <v/>
      </c>
      <c r="DC74" s="912">
        <f>DC73/DC$20</f>
        <v/>
      </c>
      <c r="DD74" s="912">
        <f>DD73/DD$20</f>
        <v/>
      </c>
      <c r="DE74" s="912">
        <f>DE73/DE$20</f>
        <v/>
      </c>
      <c r="DF74" s="912">
        <f>DF73/DF$20</f>
        <v/>
      </c>
      <c r="DG74" s="912">
        <f>DG73/DG$20</f>
        <v/>
      </c>
      <c r="DH74" s="912">
        <f>DH73/DH$20</f>
        <v/>
      </c>
      <c r="DI74" s="912">
        <f>DI73/DI$20</f>
        <v/>
      </c>
      <c r="DJ74" s="912">
        <f>DJ73/DJ$20</f>
        <v/>
      </c>
      <c r="DK74" s="912">
        <f>DK73/DK$20</f>
        <v/>
      </c>
      <c r="DL74" s="912">
        <f>DL73/DL$20</f>
        <v/>
      </c>
      <c r="DM74" s="912">
        <f>DM73/DM$20</f>
        <v/>
      </c>
      <c r="DN74" s="912">
        <f>DN73/DN$20</f>
        <v/>
      </c>
      <c r="DO74" s="912">
        <f>DO73/DO$20</f>
        <v/>
      </c>
      <c r="DP74" s="912">
        <f>DP73/DP$20</f>
        <v/>
      </c>
      <c r="DQ74" s="912">
        <f>DQ73/DQ$20</f>
        <v/>
      </c>
      <c r="DR74" s="912">
        <f>DR73/DR$20</f>
        <v/>
      </c>
      <c r="DS74" s="912">
        <f>DS73/DS$20</f>
        <v/>
      </c>
    </row>
    <row r="75">
      <c r="A75" s="191" t="n"/>
      <c r="B75" s="914" t="n"/>
      <c r="C75" s="914" t="n"/>
      <c r="D75" s="914" t="n"/>
      <c r="E75" s="914" t="n"/>
      <c r="F75" s="914" t="n"/>
      <c r="G75" s="914" t="n"/>
      <c r="H75" s="914" t="n"/>
      <c r="I75" s="914" t="n"/>
      <c r="J75" s="914" t="n"/>
      <c r="K75" s="914" t="n"/>
      <c r="L75" s="914" t="n"/>
      <c r="M75" s="914" t="n"/>
    </row>
    <row r="76">
      <c r="A76" s="74">
        <f>FS_Q!A15</f>
        <v/>
      </c>
      <c r="B76" s="914" t="n"/>
      <c r="C76" s="914" t="n"/>
      <c r="D76" s="914" t="n"/>
      <c r="E76" s="914" t="n"/>
      <c r="F76" s="914" t="n"/>
      <c r="G76" s="914" t="n"/>
      <c r="H76" s="914" t="n"/>
      <c r="I76" s="914" t="n"/>
      <c r="J76" s="914" t="n"/>
      <c r="K76" s="914" t="n"/>
      <c r="L76" s="914" t="n"/>
      <c r="M76" s="914" t="n"/>
      <c r="N76" s="516">
        <f>FS_Q!N15</f>
        <v/>
      </c>
      <c r="O76" s="516">
        <f>FS_Q!O15</f>
        <v/>
      </c>
      <c r="P76" s="516">
        <f>FS_Q!P15</f>
        <v/>
      </c>
      <c r="Q76" s="516">
        <f>FS_Q!Q15</f>
        <v/>
      </c>
      <c r="R76" s="516">
        <f>FS_Q!R15</f>
        <v/>
      </c>
      <c r="S76" s="516">
        <f>FS_Q!S15</f>
        <v/>
      </c>
      <c r="T76" s="516">
        <f>FS_Q!T15</f>
        <v/>
      </c>
      <c r="U76" s="516">
        <f>FS_Q!U15</f>
        <v/>
      </c>
      <c r="V76" s="516">
        <f>FS_Q!V15</f>
        <v/>
      </c>
      <c r="W76" s="516">
        <f>FS_Q!W15</f>
        <v/>
      </c>
      <c r="X76" s="516">
        <f>FS_Q!X15</f>
        <v/>
      </c>
      <c r="Y76" s="516">
        <f>FS_Q!Y15</f>
        <v/>
      </c>
      <c r="Z76" s="516">
        <f>FS_Q!Z15</f>
        <v/>
      </c>
      <c r="AA76" s="516">
        <f>FS_Q!AA15</f>
        <v/>
      </c>
      <c r="AB76" s="516">
        <f>FS_Q!AB15</f>
        <v/>
      </c>
      <c r="AC76" s="516">
        <f>FS_Q!AC15</f>
        <v/>
      </c>
      <c r="AD76" s="516">
        <f>FS_Q!AD15</f>
        <v/>
      </c>
      <c r="AE76" s="516">
        <f>FS_Q!AE15</f>
        <v/>
      </c>
      <c r="AF76" s="516">
        <f>FS_Q!AF15</f>
        <v/>
      </c>
      <c r="AG76" s="516">
        <f>FS_Q!AG15</f>
        <v/>
      </c>
      <c r="AH76" s="516">
        <f>FS_Q!AH15</f>
        <v/>
      </c>
      <c r="AI76" s="516">
        <f>FS_Q!AI15</f>
        <v/>
      </c>
      <c r="AJ76" s="516">
        <f>FS_Q!AJ15</f>
        <v/>
      </c>
      <c r="AK76" s="516">
        <f>FS_Q!AK15</f>
        <v/>
      </c>
      <c r="AL76" s="516">
        <f>FS_Q!AL15</f>
        <v/>
      </c>
      <c r="AM76" s="516">
        <f>FS_Q!AM15</f>
        <v/>
      </c>
      <c r="AN76" s="516">
        <f>FS_Q!AN15</f>
        <v/>
      </c>
      <c r="AO76" s="516">
        <f>FS_Q!AO15</f>
        <v/>
      </c>
      <c r="AP76" s="516">
        <f>FS_Q!AP15</f>
        <v/>
      </c>
      <c r="AQ76" s="516">
        <f>FS_Q!AQ15</f>
        <v/>
      </c>
      <c r="AR76" s="516">
        <f>FS_Q!AR15</f>
        <v/>
      </c>
      <c r="AS76" s="516">
        <f>FS_Q!AS15</f>
        <v/>
      </c>
      <c r="AT76" s="516">
        <f>FS_Q!AT15</f>
        <v/>
      </c>
      <c r="AU76" s="516">
        <f>FS_Q!AU15</f>
        <v/>
      </c>
      <c r="AV76" s="516">
        <f>FS_Q!AV15</f>
        <v/>
      </c>
      <c r="AW76" s="516">
        <f>FS_Q!AW15</f>
        <v/>
      </c>
      <c r="AX76" s="516">
        <f>FS_Q!AX15</f>
        <v/>
      </c>
      <c r="AY76" s="516">
        <f>FS_Q!AY15</f>
        <v/>
      </c>
      <c r="AZ76" s="516">
        <f>FS_Q!AZ15</f>
        <v/>
      </c>
      <c r="BA76" s="516">
        <f>FS_Q!BA15</f>
        <v/>
      </c>
      <c r="BB76" s="516">
        <f>FS_Q!BB15</f>
        <v/>
      </c>
      <c r="BC76" s="516">
        <f>FS_Q!BC15</f>
        <v/>
      </c>
      <c r="BD76" s="516">
        <f>FS_Q!BD15</f>
        <v/>
      </c>
      <c r="BE76" s="516">
        <f>FS_Q!BE15</f>
        <v/>
      </c>
      <c r="BF76" s="516">
        <f>FS_Q!BF15</f>
        <v/>
      </c>
      <c r="BG76" s="516">
        <f>FS_Q!BG15</f>
        <v/>
      </c>
      <c r="BH76" s="516">
        <f>FS_Q!BH15</f>
        <v/>
      </c>
      <c r="BI76" s="516">
        <f>FS_Q!BI15</f>
        <v/>
      </c>
      <c r="BJ76" s="516">
        <f>FS_Q!BJ15</f>
        <v/>
      </c>
      <c r="BK76" s="516">
        <f>FS_Q!BK15</f>
        <v/>
      </c>
      <c r="BL76" s="516">
        <f>FS_Q!BL15</f>
        <v/>
      </c>
      <c r="BM76" s="516">
        <f>FS_Q!BM15</f>
        <v/>
      </c>
      <c r="BN76" s="516">
        <f>FS_Q!BN15</f>
        <v/>
      </c>
      <c r="BO76" s="516">
        <f>FS_Q!BO15</f>
        <v/>
      </c>
      <c r="BP76" s="516">
        <f>FS_Q!BP15</f>
        <v/>
      </c>
      <c r="BQ76" s="516">
        <f>FS_Q!BQ15</f>
        <v/>
      </c>
      <c r="BR76" s="516">
        <f>FS_Q!BR15</f>
        <v/>
      </c>
      <c r="BS76" s="517">
        <f>BS$20*BS77</f>
        <v/>
      </c>
      <c r="BT76" s="517">
        <f>BT$20*BT77</f>
        <v/>
      </c>
      <c r="BU76" s="517">
        <f>BU$20*BU77</f>
        <v/>
      </c>
      <c r="BV76" s="517">
        <f>BV$20*BV77</f>
        <v/>
      </c>
      <c r="BW76" s="517">
        <f>BW$20*BW77</f>
        <v/>
      </c>
      <c r="BX76" s="517">
        <f>BX$20*BX77</f>
        <v/>
      </c>
      <c r="BY76" s="517">
        <f>BY$20*BY77</f>
        <v/>
      </c>
      <c r="BZ76" s="517">
        <f>BZ$20*BZ77</f>
        <v/>
      </c>
      <c r="CA76" s="517">
        <f>CA$20*CA77</f>
        <v/>
      </c>
      <c r="CB76" s="517">
        <f>CB$20*CB77</f>
        <v/>
      </c>
      <c r="CC76" s="517">
        <f>CC$20*CC77</f>
        <v/>
      </c>
      <c r="CD76" s="517">
        <f>CD$20*CD77</f>
        <v/>
      </c>
      <c r="CE76" s="517">
        <f>CE$20*CE77</f>
        <v/>
      </c>
      <c r="CF76" s="517">
        <f>CF$20*CF77</f>
        <v/>
      </c>
      <c r="CG76" s="517">
        <f>CG$20*CG77</f>
        <v/>
      </c>
      <c r="CH76" s="517">
        <f>CH$20*CH77</f>
        <v/>
      </c>
      <c r="CI76" s="517">
        <f>CI$20*CI77</f>
        <v/>
      </c>
      <c r="CJ76" s="517">
        <f>CJ$20*CJ77</f>
        <v/>
      </c>
      <c r="CK76" s="517">
        <f>CK$20*CK77</f>
        <v/>
      </c>
      <c r="DA76" s="517">
        <f>SUMIF($N$1:$CG$1,DA$1,$N76:$CG76)</f>
        <v/>
      </c>
      <c r="DB76" s="517">
        <f>SUMIF($N$1:$CG$1,DB$1,$N76:$CG76)</f>
        <v/>
      </c>
      <c r="DC76" s="517">
        <f>SUMIF($N$1:$CG$1,DC$1,$N76:$CG76)</f>
        <v/>
      </c>
      <c r="DD76" s="517">
        <f>SUMIF($N$1:$CG$1,DD$1,$N76:$CG76)</f>
        <v/>
      </c>
      <c r="DE76" s="517">
        <f>SUMIF($N$1:$CG$1,DE$1,$N76:$CG76)</f>
        <v/>
      </c>
      <c r="DF76" s="517">
        <f>SUMIF($N$1:$CG$1,DF$1,$N76:$CG76)</f>
        <v/>
      </c>
      <c r="DG76" s="517">
        <f>SUMIF($N$1:$CG$1,DG$1,$N76:$CG76)</f>
        <v/>
      </c>
      <c r="DH76" s="517">
        <f>SUMIF($N$1:$CG$1,DH$1,$N76:$CG76)</f>
        <v/>
      </c>
      <c r="DI76" s="517">
        <f>SUMIF($N$1:$CG$1,DI$1,$N76:$CG76)</f>
        <v/>
      </c>
      <c r="DJ76" s="517">
        <f>SUMIF($N$1:$CG$1,DJ$1,$N76:$CG76)</f>
        <v/>
      </c>
      <c r="DK76" s="517">
        <f>SUMIF($N$1:$CG$1,DK$1,$N76:$CG76)</f>
        <v/>
      </c>
      <c r="DL76" s="517">
        <f>SUMIF($N$1:$CG$1,DL$1,$N76:$CG76)</f>
        <v/>
      </c>
      <c r="DM76" s="517">
        <f>SUMIF($N$1:$CG$1,DM$1,$N76:$CG76)</f>
        <v/>
      </c>
      <c r="DN76" s="517">
        <f>SUMIF($N$1:$CG$1,DN$1,$N76:$CG76)</f>
        <v/>
      </c>
      <c r="DO76" s="517">
        <f>SUMIF($N$1:$CG$1,DO$1,$N76:$CG76)</f>
        <v/>
      </c>
      <c r="DP76" s="517">
        <f>SUMIF($N$1:$CG$1,DP$1,$N76:$CG76)</f>
        <v/>
      </c>
      <c r="DQ76" s="517">
        <f>SUMIF($N$1:$CG$1,DQ$1,$N76:$CG76)</f>
        <v/>
      </c>
      <c r="DR76" s="517">
        <f>SUMIF($N$1:$CG$1,DR$1,$N76:$CG76)</f>
        <v/>
      </c>
      <c r="DS76" s="517">
        <f>SUMIF($N$1:$CK$1,DS$1,$N76:$CK76)</f>
        <v/>
      </c>
    </row>
    <row r="77">
      <c r="A77" s="191">
        <f>A74</f>
        <v/>
      </c>
      <c r="B77" s="914" t="n"/>
      <c r="C77" s="914" t="n"/>
      <c r="D77" s="914" t="n"/>
      <c r="E77" s="914" t="n"/>
      <c r="F77" s="914" t="n"/>
      <c r="G77" s="914" t="n"/>
      <c r="H77" s="914" t="n"/>
      <c r="I77" s="914" t="n"/>
      <c r="J77" s="914" t="n"/>
      <c r="K77" s="914" t="n"/>
      <c r="L77" s="914" t="n"/>
      <c r="M77" s="914" t="n"/>
      <c r="N77" s="908">
        <f>N76/N$20</f>
        <v/>
      </c>
      <c r="O77" s="908">
        <f>O76/O$20</f>
        <v/>
      </c>
      <c r="P77" s="908">
        <f>P76/P$20</f>
        <v/>
      </c>
      <c r="Q77" s="908">
        <f>Q76/Q$20</f>
        <v/>
      </c>
      <c r="R77" s="908">
        <f>R76/R$20</f>
        <v/>
      </c>
      <c r="S77" s="908">
        <f>S76/S$20</f>
        <v/>
      </c>
      <c r="T77" s="908">
        <f>T76/T$20</f>
        <v/>
      </c>
      <c r="U77" s="908">
        <f>U76/U$20</f>
        <v/>
      </c>
      <c r="V77" s="908">
        <f>V76/V$20</f>
        <v/>
      </c>
      <c r="W77" s="908">
        <f>W76/W$20</f>
        <v/>
      </c>
      <c r="X77" s="908">
        <f>X76/X$20</f>
        <v/>
      </c>
      <c r="Y77" s="908">
        <f>Y76/Y$20</f>
        <v/>
      </c>
      <c r="Z77" s="908">
        <f>Z76/Z$20</f>
        <v/>
      </c>
      <c r="AA77" s="908">
        <f>AA76/AA$20</f>
        <v/>
      </c>
      <c r="AB77" s="908">
        <f>AB76/AB$20</f>
        <v/>
      </c>
      <c r="AC77" s="908">
        <f>AC76/AC$20</f>
        <v/>
      </c>
      <c r="AD77" s="908">
        <f>AD76/AD$20</f>
        <v/>
      </c>
      <c r="AE77" s="908">
        <f>AE76/AE$20</f>
        <v/>
      </c>
      <c r="AF77" s="908">
        <f>AF76/AF$20</f>
        <v/>
      </c>
      <c r="AG77" s="908">
        <f>AG76/AG$20</f>
        <v/>
      </c>
      <c r="AH77" s="908">
        <f>AH76/AH$20</f>
        <v/>
      </c>
      <c r="AI77" s="908">
        <f>AI76/AI$20</f>
        <v/>
      </c>
      <c r="AJ77" s="908">
        <f>AJ76/AJ$20</f>
        <v/>
      </c>
      <c r="AK77" s="908">
        <f>AK76/AK$20</f>
        <v/>
      </c>
      <c r="AL77" s="908">
        <f>AL76/AL$20</f>
        <v/>
      </c>
      <c r="AM77" s="908">
        <f>AM76/AM$20</f>
        <v/>
      </c>
      <c r="AN77" s="908">
        <f>AN76/AN$20</f>
        <v/>
      </c>
      <c r="AO77" s="908">
        <f>AO76/AO$20</f>
        <v/>
      </c>
      <c r="AP77" s="908">
        <f>AP76/AP$20</f>
        <v/>
      </c>
      <c r="AQ77" s="908">
        <f>AQ76/AQ$20</f>
        <v/>
      </c>
      <c r="AR77" s="908">
        <f>AR76/AR$20</f>
        <v/>
      </c>
      <c r="AS77" s="908">
        <f>AS76/AS$20</f>
        <v/>
      </c>
      <c r="AT77" s="908">
        <f>AT76/AT$20</f>
        <v/>
      </c>
      <c r="AU77" s="908">
        <f>AU76/AU$20</f>
        <v/>
      </c>
      <c r="AV77" s="908">
        <f>AV76/AV$20</f>
        <v/>
      </c>
      <c r="AW77" s="908">
        <f>AW76/AW$20</f>
        <v/>
      </c>
      <c r="AX77" s="908">
        <f>AX76/AX$20</f>
        <v/>
      </c>
      <c r="AY77" s="908">
        <f>AY76/AY$20</f>
        <v/>
      </c>
      <c r="AZ77" s="908">
        <f>AZ76/AZ$20</f>
        <v/>
      </c>
      <c r="BA77" s="908">
        <f>BA76/BA$20</f>
        <v/>
      </c>
      <c r="BB77" s="908">
        <f>BB76/BB$20</f>
        <v/>
      </c>
      <c r="BC77" s="908">
        <f>BC76/BC$20</f>
        <v/>
      </c>
      <c r="BD77" s="908">
        <f>BD76/BD$20</f>
        <v/>
      </c>
      <c r="BE77" s="908">
        <f>BE76/BE$20</f>
        <v/>
      </c>
      <c r="BF77" s="908">
        <f>BF76/BF$20</f>
        <v/>
      </c>
      <c r="BG77" s="908">
        <f>BG76/BG$20</f>
        <v/>
      </c>
      <c r="BH77" s="908">
        <f>BH76/BH$20</f>
        <v/>
      </c>
      <c r="BI77" s="908">
        <f>BI76/BI$20</f>
        <v/>
      </c>
      <c r="BJ77" s="908">
        <f>BJ76/BJ$20</f>
        <v/>
      </c>
      <c r="BK77" s="908">
        <f>BK76/BK$20</f>
        <v/>
      </c>
      <c r="BL77" s="908">
        <f>BL76/BL$20</f>
        <v/>
      </c>
      <c r="BM77" s="908">
        <f>BM76/BM$20</f>
        <v/>
      </c>
      <c r="BN77" s="908">
        <f>BN76/BN$20</f>
        <v/>
      </c>
      <c r="BO77" s="908">
        <f>BO76/BO$20</f>
        <v/>
      </c>
      <c r="BP77" s="908">
        <f>BP76/BP$20</f>
        <v/>
      </c>
      <c r="BQ77" s="908">
        <f>BQ76/BQ$20</f>
        <v/>
      </c>
      <c r="BR77" s="908">
        <f>BR76/BR$20</f>
        <v/>
      </c>
      <c r="BS77" s="915" t="n">
        <v>0.11</v>
      </c>
      <c r="BT77" s="915" t="n">
        <v>0.095</v>
      </c>
      <c r="BU77" s="915" t="n">
        <v>0.093</v>
      </c>
      <c r="BV77" s="909" t="n">
        <v>0.093</v>
      </c>
      <c r="BW77" s="909" t="n">
        <v>0.093</v>
      </c>
      <c r="BX77" s="909" t="n">
        <v>0.08500000000000001</v>
      </c>
      <c r="BY77" s="909" t="n">
        <v>0.08500000000000001</v>
      </c>
      <c r="BZ77" s="909" t="n">
        <v>0.095</v>
      </c>
      <c r="CA77" s="909" t="n">
        <v>0.08500000000000001</v>
      </c>
      <c r="CB77" s="909" t="n">
        <v>0.08500000000000001</v>
      </c>
      <c r="CC77" s="909" t="n">
        <v>0.08500000000000001</v>
      </c>
      <c r="CD77" s="909" t="n">
        <v>0.08500000000000001</v>
      </c>
      <c r="CE77" s="909" t="n">
        <v>0.08500000000000001</v>
      </c>
      <c r="CF77" s="909" t="n">
        <v>0.08500000000000001</v>
      </c>
      <c r="CG77" s="909" t="n">
        <v>0.08500000000000001</v>
      </c>
      <c r="CH77" s="909" t="n">
        <v>0.08500000000000001</v>
      </c>
      <c r="CI77" s="909" t="n">
        <v>0.08500000000000001</v>
      </c>
      <c r="CJ77" s="909" t="n">
        <v>0.08500000000000001</v>
      </c>
      <c r="CK77" s="909" t="n">
        <v>0.08500000000000001</v>
      </c>
      <c r="DA77" s="912">
        <f>DA76/DA$20</f>
        <v/>
      </c>
      <c r="DB77" s="912">
        <f>DB76/DB$20</f>
        <v/>
      </c>
      <c r="DC77" s="912">
        <f>DC76/DC$20</f>
        <v/>
      </c>
      <c r="DD77" s="912">
        <f>DD76/DD$20</f>
        <v/>
      </c>
      <c r="DE77" s="912">
        <f>DE76/DE$20</f>
        <v/>
      </c>
      <c r="DF77" s="912">
        <f>DF76/DF$20</f>
        <v/>
      </c>
      <c r="DG77" s="912">
        <f>DG76/DG$20</f>
        <v/>
      </c>
      <c r="DH77" s="912">
        <f>DH76/DH$20</f>
        <v/>
      </c>
      <c r="DI77" s="912">
        <f>DI76/DI$20</f>
        <v/>
      </c>
      <c r="DJ77" s="912">
        <f>DJ76/DJ$20</f>
        <v/>
      </c>
      <c r="DK77" s="912">
        <f>DK76/DK$20</f>
        <v/>
      </c>
      <c r="DL77" s="912">
        <f>DL76/DL$20</f>
        <v/>
      </c>
      <c r="DM77" s="912">
        <f>DM76/DM$20</f>
        <v/>
      </c>
      <c r="DN77" s="912">
        <f>DN76/DN$20</f>
        <v/>
      </c>
      <c r="DO77" s="912">
        <f>DO76/DO$20</f>
        <v/>
      </c>
      <c r="DP77" s="912">
        <f>DP76/DP$20</f>
        <v/>
      </c>
      <c r="DQ77" s="912">
        <f>DQ76/DQ$20</f>
        <v/>
      </c>
      <c r="DR77" s="912">
        <f>DR76/DR$20</f>
        <v/>
      </c>
      <c r="DS77" s="912">
        <f>DS76/DS$20</f>
        <v/>
      </c>
    </row>
    <row r="78">
      <c r="A78" s="191" t="n"/>
      <c r="B78" s="914" t="n"/>
      <c r="C78" s="914" t="n"/>
      <c r="D78" s="914" t="n"/>
      <c r="E78" s="914" t="n"/>
      <c r="F78" s="914" t="n"/>
      <c r="G78" s="914" t="n"/>
      <c r="H78" s="914" t="n"/>
      <c r="I78" s="914" t="n"/>
      <c r="J78" s="914" t="n"/>
      <c r="K78" s="914" t="n"/>
      <c r="L78" s="914" t="n"/>
      <c r="M78" s="914" t="n"/>
    </row>
    <row r="79">
      <c r="A79" s="74">
        <f>FS_Q!A16</f>
        <v/>
      </c>
      <c r="B79" s="914" t="n"/>
      <c r="C79" s="914" t="n"/>
      <c r="D79" s="914" t="n"/>
      <c r="E79" s="914" t="n"/>
      <c r="F79" s="914" t="n"/>
      <c r="G79" s="914" t="n"/>
      <c r="H79" s="914" t="n"/>
      <c r="I79" s="914" t="n"/>
      <c r="J79" s="914" t="n"/>
      <c r="K79" s="914" t="n"/>
      <c r="L79" s="914" t="n"/>
      <c r="M79" s="914" t="n"/>
      <c r="N79" s="516">
        <f>FS_Q!N16</f>
        <v/>
      </c>
      <c r="O79" s="516">
        <f>FS_Q!O16</f>
        <v/>
      </c>
      <c r="P79" s="516">
        <f>FS_Q!P16</f>
        <v/>
      </c>
      <c r="Q79" s="516">
        <f>FS_Q!Q16</f>
        <v/>
      </c>
      <c r="R79" s="516">
        <f>FS_Q!R16</f>
        <v/>
      </c>
      <c r="S79" s="516">
        <f>FS_Q!S16</f>
        <v/>
      </c>
      <c r="T79" s="516">
        <f>FS_Q!T16</f>
        <v/>
      </c>
      <c r="U79" s="516">
        <f>FS_Q!U16</f>
        <v/>
      </c>
      <c r="V79" s="516">
        <f>FS_Q!V16</f>
        <v/>
      </c>
      <c r="W79" s="516">
        <f>FS_Q!W16</f>
        <v/>
      </c>
      <c r="X79" s="516">
        <f>FS_Q!X16</f>
        <v/>
      </c>
      <c r="Y79" s="516">
        <f>FS_Q!Y16</f>
        <v/>
      </c>
      <c r="Z79" s="516">
        <f>FS_Q!Z16</f>
        <v/>
      </c>
      <c r="AA79" s="516">
        <f>FS_Q!AA16</f>
        <v/>
      </c>
      <c r="AB79" s="516">
        <f>FS_Q!AB16</f>
        <v/>
      </c>
      <c r="AC79" s="516">
        <f>FS_Q!AC16</f>
        <v/>
      </c>
      <c r="AD79" s="516">
        <f>FS_Q!AD16</f>
        <v/>
      </c>
      <c r="AE79" s="516">
        <f>FS_Q!AE16</f>
        <v/>
      </c>
      <c r="AF79" s="516">
        <f>FS_Q!AF16</f>
        <v/>
      </c>
      <c r="AG79" s="516">
        <f>FS_Q!AG16</f>
        <v/>
      </c>
      <c r="AH79" s="516">
        <f>FS_Q!AH16</f>
        <v/>
      </c>
      <c r="AI79" s="516">
        <f>FS_Q!AI16</f>
        <v/>
      </c>
      <c r="AJ79" s="516">
        <f>FS_Q!AJ16</f>
        <v/>
      </c>
      <c r="AK79" s="516">
        <f>FS_Q!AK16</f>
        <v/>
      </c>
      <c r="AL79" s="516">
        <f>FS_Q!AL16</f>
        <v/>
      </c>
      <c r="AM79" s="516">
        <f>FS_Q!AM16</f>
        <v/>
      </c>
      <c r="AN79" s="516">
        <f>FS_Q!AN16</f>
        <v/>
      </c>
      <c r="AO79" s="516">
        <f>FS_Q!AO16</f>
        <v/>
      </c>
      <c r="AP79" s="516">
        <f>FS_Q!AP16</f>
        <v/>
      </c>
      <c r="AQ79" s="516">
        <f>FS_Q!AQ16</f>
        <v/>
      </c>
      <c r="AR79" s="516">
        <f>FS_Q!AR16</f>
        <v/>
      </c>
      <c r="AS79" s="516">
        <f>FS_Q!AS16</f>
        <v/>
      </c>
      <c r="AT79" s="516">
        <f>FS_Q!AT16</f>
        <v/>
      </c>
      <c r="AU79" s="516">
        <f>FS_Q!AU16</f>
        <v/>
      </c>
      <c r="AV79" s="516">
        <f>FS_Q!AV16</f>
        <v/>
      </c>
      <c r="AW79" s="516">
        <f>FS_Q!AW16</f>
        <v/>
      </c>
      <c r="AX79" s="516">
        <f>FS_Q!AX16</f>
        <v/>
      </c>
      <c r="AY79" s="516">
        <f>FS_Q!AY16</f>
        <v/>
      </c>
      <c r="AZ79" s="516">
        <f>FS_Q!AZ16</f>
        <v/>
      </c>
      <c r="BA79" s="516">
        <f>FS_Q!BA16</f>
        <v/>
      </c>
      <c r="BB79" s="516">
        <f>FS_Q!BB16</f>
        <v/>
      </c>
      <c r="BC79" s="516">
        <f>FS_Q!BC16</f>
        <v/>
      </c>
      <c r="BD79" s="516">
        <f>FS_Q!BD16</f>
        <v/>
      </c>
      <c r="BE79" s="516">
        <f>FS_Q!BE16</f>
        <v/>
      </c>
      <c r="BF79" s="516">
        <f>FS_Q!BF16</f>
        <v/>
      </c>
      <c r="BG79" s="516">
        <f>FS_Q!BG16</f>
        <v/>
      </c>
      <c r="BH79" s="516">
        <f>FS_Q!BH16</f>
        <v/>
      </c>
      <c r="BI79" s="516">
        <f>FS_Q!BI16</f>
        <v/>
      </c>
      <c r="BJ79" s="516">
        <f>FS_Q!BJ16</f>
        <v/>
      </c>
      <c r="BK79" s="516">
        <f>FS_Q!BK16</f>
        <v/>
      </c>
      <c r="BL79" s="516">
        <f>FS_Q!BL16</f>
        <v/>
      </c>
      <c r="BM79" s="516">
        <f>FS_Q!BM16</f>
        <v/>
      </c>
      <c r="BN79" s="516">
        <f>FS_Q!BN16</f>
        <v/>
      </c>
      <c r="BO79" s="516">
        <f>FS_Q!BO16</f>
        <v/>
      </c>
      <c r="BP79" s="516">
        <f>FS_Q!BP16</f>
        <v/>
      </c>
      <c r="BQ79" s="516">
        <f>FS_Q!BQ16</f>
        <v/>
      </c>
      <c r="BR79" s="516">
        <f>FS_Q!BR16</f>
        <v/>
      </c>
      <c r="BS79" s="517">
        <f>BS$20*BS80</f>
        <v/>
      </c>
      <c r="BT79" s="517">
        <f>BT$20*BT80</f>
        <v/>
      </c>
      <c r="BU79" s="517">
        <f>BU$20*BU80</f>
        <v/>
      </c>
      <c r="BV79" s="517">
        <f>BV$20*BV80</f>
        <v/>
      </c>
      <c r="BW79" s="517">
        <f>BW$20*BW80</f>
        <v/>
      </c>
      <c r="BX79" s="517">
        <f>BX$20*BX80</f>
        <v/>
      </c>
      <c r="BY79" s="517">
        <f>BY$20*BY80</f>
        <v/>
      </c>
      <c r="BZ79" s="517">
        <f>BZ$20*BZ80</f>
        <v/>
      </c>
      <c r="CA79" s="517">
        <f>CA$20*CA80</f>
        <v/>
      </c>
      <c r="CB79" s="517">
        <f>CB$20*CB80</f>
        <v/>
      </c>
      <c r="CC79" s="517">
        <f>CC$20*CC80</f>
        <v/>
      </c>
      <c r="CD79" s="517">
        <f>CD$20*CD80</f>
        <v/>
      </c>
      <c r="CE79" s="517">
        <f>CE$20*CE80</f>
        <v/>
      </c>
      <c r="CF79" s="517">
        <f>CF$20*CF80</f>
        <v/>
      </c>
      <c r="CG79" s="517">
        <f>CG$20*CG80</f>
        <v/>
      </c>
      <c r="CH79" s="517">
        <f>CH$20*CH80</f>
        <v/>
      </c>
      <c r="CI79" s="517">
        <f>CI$20*CI80</f>
        <v/>
      </c>
      <c r="CJ79" s="517">
        <f>CJ$20*CJ80</f>
        <v/>
      </c>
      <c r="CK79" s="517">
        <f>CK$20*CK80</f>
        <v/>
      </c>
      <c r="DA79" s="517">
        <f>SUMIF($N$1:$CG$1,DA$1,$N79:$CG79)</f>
        <v/>
      </c>
      <c r="DB79" s="517">
        <f>SUMIF($N$1:$CG$1,DB$1,$N79:$CG79)</f>
        <v/>
      </c>
      <c r="DC79" s="517">
        <f>SUMIF($N$1:$CG$1,DC$1,$N79:$CG79)</f>
        <v/>
      </c>
      <c r="DD79" s="517">
        <f>SUMIF($N$1:$CG$1,DD$1,$N79:$CG79)</f>
        <v/>
      </c>
      <c r="DE79" s="517">
        <f>SUMIF($N$1:$CG$1,DE$1,$N79:$CG79)</f>
        <v/>
      </c>
      <c r="DF79" s="517">
        <f>SUMIF($N$1:$CG$1,DF$1,$N79:$CG79)</f>
        <v/>
      </c>
      <c r="DG79" s="517">
        <f>SUMIF($N$1:$CG$1,DG$1,$N79:$CG79)</f>
        <v/>
      </c>
      <c r="DH79" s="517">
        <f>SUMIF($N$1:$CG$1,DH$1,$N79:$CG79)</f>
        <v/>
      </c>
      <c r="DI79" s="517">
        <f>SUMIF($N$1:$CG$1,DI$1,$N79:$CG79)</f>
        <v/>
      </c>
      <c r="DJ79" s="517">
        <f>SUMIF($N$1:$CG$1,DJ$1,$N79:$CG79)</f>
        <v/>
      </c>
      <c r="DK79" s="517">
        <f>SUMIF($N$1:$CG$1,DK$1,$N79:$CG79)</f>
        <v/>
      </c>
      <c r="DL79" s="517">
        <f>SUMIF($N$1:$CG$1,DL$1,$N79:$CG79)</f>
        <v/>
      </c>
      <c r="DM79" s="517">
        <f>SUMIF($N$1:$CG$1,DM$1,$N79:$CG79)</f>
        <v/>
      </c>
      <c r="DN79" s="517">
        <f>SUMIF($N$1:$CG$1,DN$1,$N79:$CG79)</f>
        <v/>
      </c>
      <c r="DO79" s="517">
        <f>SUMIF($N$1:$CG$1,DO$1,$N79:$CG79)</f>
        <v/>
      </c>
      <c r="DP79" s="517">
        <f>SUMIF($N$1:$CG$1,DP$1,$N79:$CG79)</f>
        <v/>
      </c>
      <c r="DQ79" s="517">
        <f>SUMIF($N$1:$CG$1,DQ$1,$N79:$CG79)</f>
        <v/>
      </c>
      <c r="DR79" s="517">
        <f>SUMIF($N$1:$CG$1,DR$1,$N79:$CG79)</f>
        <v/>
      </c>
      <c r="DS79" s="517">
        <f>SUMIF($N$1:$CK$1,DS$1,$N79:$CK79)</f>
        <v/>
      </c>
    </row>
    <row r="80">
      <c r="A80" s="191">
        <f>A77</f>
        <v/>
      </c>
      <c r="B80" s="914" t="n"/>
      <c r="C80" s="914" t="n"/>
      <c r="D80" s="914" t="n"/>
      <c r="E80" s="914" t="n"/>
      <c r="F80" s="914" t="n"/>
      <c r="G80" s="914" t="n"/>
      <c r="H80" s="914" t="n"/>
      <c r="I80" s="914" t="n"/>
      <c r="J80" s="914" t="n"/>
      <c r="K80" s="914" t="n"/>
      <c r="L80" s="914" t="n"/>
      <c r="M80" s="914" t="n"/>
      <c r="N80" s="908">
        <f>N79/N$20</f>
        <v/>
      </c>
      <c r="O80" s="908">
        <f>O79/O$20</f>
        <v/>
      </c>
      <c r="P80" s="908">
        <f>P79/P$20</f>
        <v/>
      </c>
      <c r="Q80" s="908">
        <f>Q79/Q$20</f>
        <v/>
      </c>
      <c r="R80" s="908">
        <f>R79/R$20</f>
        <v/>
      </c>
      <c r="S80" s="908">
        <f>S79/S$20</f>
        <v/>
      </c>
      <c r="T80" s="908">
        <f>T79/T$20</f>
        <v/>
      </c>
      <c r="U80" s="908">
        <f>U79/U$20</f>
        <v/>
      </c>
      <c r="V80" s="908">
        <f>V79/V$20</f>
        <v/>
      </c>
      <c r="W80" s="908">
        <f>W79/W$20</f>
        <v/>
      </c>
      <c r="X80" s="908">
        <f>X79/X$20</f>
        <v/>
      </c>
      <c r="Y80" s="908">
        <f>Y79/Y$20</f>
        <v/>
      </c>
      <c r="Z80" s="908">
        <f>Z79/Z$20</f>
        <v/>
      </c>
      <c r="AA80" s="908">
        <f>AA79/AA$20</f>
        <v/>
      </c>
      <c r="AB80" s="908">
        <f>AB79/AB$20</f>
        <v/>
      </c>
      <c r="AC80" s="908">
        <f>AC79/AC$20</f>
        <v/>
      </c>
      <c r="AD80" s="908">
        <f>AD79/AD$20</f>
        <v/>
      </c>
      <c r="AE80" s="908">
        <f>AE79/AE$20</f>
        <v/>
      </c>
      <c r="AF80" s="908">
        <f>AF79/AF$20</f>
        <v/>
      </c>
      <c r="AG80" s="908">
        <f>AG79/AG$20</f>
        <v/>
      </c>
      <c r="AH80" s="908">
        <f>AH79/AH$20</f>
        <v/>
      </c>
      <c r="AI80" s="908">
        <f>AI79/AI$20</f>
        <v/>
      </c>
      <c r="AJ80" s="908">
        <f>AJ79/AJ$20</f>
        <v/>
      </c>
      <c r="AK80" s="908">
        <f>AK79/AK$20</f>
        <v/>
      </c>
      <c r="AL80" s="908">
        <f>AL79/AL$20</f>
        <v/>
      </c>
      <c r="AM80" s="908">
        <f>AM79/AM$20</f>
        <v/>
      </c>
      <c r="AN80" s="908">
        <f>AN79/AN$20</f>
        <v/>
      </c>
      <c r="AO80" s="908">
        <f>AO79/AO$20</f>
        <v/>
      </c>
      <c r="AP80" s="908">
        <f>AP79/AP$20</f>
        <v/>
      </c>
      <c r="AQ80" s="908">
        <f>AQ79/AQ$20</f>
        <v/>
      </c>
      <c r="AR80" s="908">
        <f>AR79/AR$20</f>
        <v/>
      </c>
      <c r="AS80" s="908">
        <f>AS79/AS$20</f>
        <v/>
      </c>
      <c r="AT80" s="908">
        <f>AT79/AT$20</f>
        <v/>
      </c>
      <c r="AU80" s="908">
        <f>AU79/AU$20</f>
        <v/>
      </c>
      <c r="AV80" s="908">
        <f>AV79/AV$20</f>
        <v/>
      </c>
      <c r="AW80" s="908">
        <f>AW79/AW$20</f>
        <v/>
      </c>
      <c r="AX80" s="908">
        <f>AX79/AX$20</f>
        <v/>
      </c>
      <c r="AY80" s="908">
        <f>AY79/AY$20</f>
        <v/>
      </c>
      <c r="AZ80" s="908">
        <f>AZ79/AZ$20</f>
        <v/>
      </c>
      <c r="BA80" s="908">
        <f>BA79/BA$20</f>
        <v/>
      </c>
      <c r="BB80" s="908">
        <f>BB79/BB$20</f>
        <v/>
      </c>
      <c r="BC80" s="908">
        <f>BC79/BC$20</f>
        <v/>
      </c>
      <c r="BD80" s="908">
        <f>BD79/BD$20</f>
        <v/>
      </c>
      <c r="BE80" s="908">
        <f>BE79/BE$20</f>
        <v/>
      </c>
      <c r="BF80" s="908">
        <f>BF79/BF$20</f>
        <v/>
      </c>
      <c r="BG80" s="908">
        <f>BG79/BG$20</f>
        <v/>
      </c>
      <c r="BH80" s="908">
        <f>BH79/BH$20</f>
        <v/>
      </c>
      <c r="BI80" s="908">
        <f>BI79/BI$20</f>
        <v/>
      </c>
      <c r="BJ80" s="908">
        <f>BJ79/BJ$20</f>
        <v/>
      </c>
      <c r="BK80" s="908">
        <f>BK79/BK$20</f>
        <v/>
      </c>
      <c r="BL80" s="908">
        <f>BL79/BL$20</f>
        <v/>
      </c>
      <c r="BM80" s="908">
        <f>BM79/BM$20</f>
        <v/>
      </c>
      <c r="BN80" s="908">
        <f>BN79/BN$20</f>
        <v/>
      </c>
      <c r="BO80" s="908">
        <f>BO79/BO$20</f>
        <v/>
      </c>
      <c r="BP80" s="908">
        <f>BP79/BP$20</f>
        <v/>
      </c>
      <c r="BQ80" s="908">
        <f>BQ79/BQ$20</f>
        <v/>
      </c>
      <c r="BR80" s="908">
        <f>BR79/BR$20</f>
        <v/>
      </c>
      <c r="BS80" s="915" t="n">
        <v>0.12</v>
      </c>
      <c r="BT80" s="915" t="n">
        <v>0.1</v>
      </c>
      <c r="BU80" s="915" t="n">
        <v>0.095</v>
      </c>
      <c r="BV80" s="909" t="n">
        <v>0.095</v>
      </c>
      <c r="BW80" s="909" t="n">
        <v>0.093</v>
      </c>
      <c r="BX80" s="909" t="n">
        <v>0.08</v>
      </c>
      <c r="BY80" s="909" t="n">
        <v>0.08</v>
      </c>
      <c r="BZ80" s="909" t="n">
        <v>0.095</v>
      </c>
      <c r="CA80" s="909" t="n">
        <v>0.09</v>
      </c>
      <c r="CB80" s="909" t="n">
        <v>0.09</v>
      </c>
      <c r="CC80" s="909" t="n">
        <v>0.09</v>
      </c>
      <c r="CD80" s="909" t="n">
        <v>0.08500000000000001</v>
      </c>
      <c r="CE80" s="909" t="n">
        <v>0.08500000000000001</v>
      </c>
      <c r="CF80" s="909" t="n">
        <v>0.08500000000000001</v>
      </c>
      <c r="CG80" s="909" t="n">
        <v>0.08500000000000001</v>
      </c>
      <c r="CH80" s="909" t="n">
        <v>0.08500000000000001</v>
      </c>
      <c r="CI80" s="909" t="n">
        <v>0.08500000000000001</v>
      </c>
      <c r="CJ80" s="909" t="n">
        <v>0.08500000000000001</v>
      </c>
      <c r="CK80" s="909" t="n">
        <v>0.08500000000000001</v>
      </c>
      <c r="DA80" s="912">
        <f>DA79/DA$20</f>
        <v/>
      </c>
      <c r="DB80" s="912">
        <f>DB79/DB$20</f>
        <v/>
      </c>
      <c r="DC80" s="912">
        <f>DC79/DC$20</f>
        <v/>
      </c>
      <c r="DD80" s="912">
        <f>DD79/DD$20</f>
        <v/>
      </c>
      <c r="DE80" s="912">
        <f>DE79/DE$20</f>
        <v/>
      </c>
      <c r="DF80" s="912">
        <f>DF79/DF$20</f>
        <v/>
      </c>
      <c r="DG80" s="912">
        <f>DG79/DG$20</f>
        <v/>
      </c>
      <c r="DH80" s="912">
        <f>DH79/DH$20</f>
        <v/>
      </c>
      <c r="DI80" s="912">
        <f>DI79/DI$20</f>
        <v/>
      </c>
      <c r="DJ80" s="912">
        <f>DJ79/DJ$20</f>
        <v/>
      </c>
      <c r="DK80" s="912">
        <f>DK79/DK$20</f>
        <v/>
      </c>
      <c r="DL80" s="912">
        <f>DL79/DL$20</f>
        <v/>
      </c>
      <c r="DM80" s="912">
        <f>DM79/DM$20</f>
        <v/>
      </c>
      <c r="DN80" s="912">
        <f>DN79/DN$20</f>
        <v/>
      </c>
      <c r="DO80" s="912">
        <f>DO79/DO$20</f>
        <v/>
      </c>
      <c r="DP80" s="912">
        <f>DP79/DP$20</f>
        <v/>
      </c>
      <c r="DQ80" s="912">
        <f>DQ79/DQ$20</f>
        <v/>
      </c>
      <c r="DR80" s="912">
        <f>DR79/DR$20</f>
        <v/>
      </c>
      <c r="DS80" s="912">
        <f>DS79/DS$20</f>
        <v/>
      </c>
    </row>
    <row r="81">
      <c r="A81" s="191" t="n"/>
      <c r="B81" s="914" t="n"/>
      <c r="C81" s="914" t="n"/>
      <c r="D81" s="914" t="n"/>
      <c r="E81" s="914" t="n"/>
      <c r="F81" s="914" t="n"/>
      <c r="G81" s="914" t="n"/>
      <c r="H81" s="914" t="n"/>
      <c r="I81" s="914" t="n"/>
      <c r="J81" s="914" t="n"/>
      <c r="K81" s="914" t="n"/>
      <c r="L81" s="914" t="n"/>
      <c r="M81" s="914" t="n"/>
      <c r="N81" s="908" t="n"/>
      <c r="O81" s="908" t="n"/>
      <c r="P81" s="908" t="n"/>
      <c r="Q81" s="908" t="n"/>
      <c r="R81" s="908" t="n"/>
      <c r="S81" s="908" t="n"/>
      <c r="T81" s="908" t="n"/>
      <c r="U81" s="908" t="n"/>
      <c r="V81" s="908" t="n"/>
      <c r="W81" s="908" t="n"/>
      <c r="X81" s="908" t="n"/>
      <c r="Y81" s="908" t="n"/>
      <c r="Z81" s="908" t="n"/>
      <c r="AA81" s="908" t="n"/>
      <c r="AB81" s="908" t="n"/>
      <c r="AC81" s="908" t="n"/>
      <c r="AD81" s="908" t="n"/>
      <c r="AE81" s="908" t="n"/>
      <c r="AF81" s="908" t="n"/>
      <c r="AG81" s="908" t="n"/>
      <c r="AH81" s="908" t="n"/>
      <c r="AI81" s="908" t="n"/>
      <c r="AJ81" s="908" t="n"/>
      <c r="AK81" s="908" t="n"/>
      <c r="AL81" s="908" t="n"/>
      <c r="AM81" s="908" t="n"/>
      <c r="AN81" s="908" t="n"/>
      <c r="AO81" s="908" t="n"/>
      <c r="AP81" s="908" t="n"/>
      <c r="AQ81" s="908" t="n"/>
      <c r="AR81" s="908" t="n"/>
      <c r="AS81" s="908" t="n"/>
      <c r="AT81" s="908" t="n"/>
      <c r="AU81" s="908" t="n"/>
      <c r="AV81" s="908" t="n"/>
      <c r="AW81" s="908" t="n"/>
      <c r="AX81" s="908" t="n"/>
      <c r="AY81" s="908" t="n"/>
      <c r="AZ81" s="908" t="n"/>
      <c r="BA81" s="908" t="n"/>
      <c r="BB81" s="908" t="n"/>
      <c r="BC81" s="908" t="n"/>
      <c r="BD81" s="908" t="n"/>
      <c r="BE81" s="908" t="n"/>
      <c r="BF81" s="908" t="n"/>
      <c r="BG81" s="908" t="n"/>
      <c r="BH81" s="908" t="n"/>
      <c r="BI81" s="908" t="n"/>
      <c r="BJ81" s="908" t="n"/>
      <c r="BK81" s="908" t="n"/>
      <c r="BL81" s="908" t="n"/>
      <c r="BM81" s="908" t="n"/>
      <c r="BN81" s="908" t="n"/>
      <c r="BO81" s="908" t="n"/>
      <c r="BP81" s="908" t="n"/>
      <c r="BQ81" s="908" t="n"/>
      <c r="BR81" s="908" t="n"/>
      <c r="BS81" s="909" t="n"/>
      <c r="BT81" s="909" t="n"/>
      <c r="BU81" s="909" t="n"/>
      <c r="BV81" s="909" t="n"/>
      <c r="BW81" s="909" t="n"/>
      <c r="BX81" s="909" t="n"/>
      <c r="BY81" s="909" t="n"/>
      <c r="BZ81" s="909" t="n"/>
      <c r="CA81" s="909" t="n"/>
      <c r="CB81" s="909" t="n"/>
      <c r="CC81" s="909" t="n"/>
      <c r="CD81" s="909" t="n"/>
      <c r="CE81" s="909" t="n"/>
      <c r="CF81" s="909" t="n"/>
      <c r="CG81" s="909" t="n"/>
      <c r="CH81" s="909" t="n"/>
      <c r="CI81" s="909" t="n"/>
      <c r="CJ81" s="909" t="n"/>
      <c r="CK81" s="909" t="n"/>
      <c r="DA81" s="912" t="n"/>
      <c r="DB81" s="912" t="n"/>
      <c r="DC81" s="912" t="n"/>
      <c r="DD81" s="912" t="n"/>
      <c r="DE81" s="912" t="n"/>
      <c r="DF81" s="912" t="n"/>
      <c r="DG81" s="912" t="n"/>
      <c r="DH81" s="912" t="n"/>
      <c r="DI81" s="912" t="n"/>
      <c r="DJ81" s="912" t="n"/>
      <c r="DK81" s="912" t="n"/>
      <c r="DL81" s="912" t="n"/>
      <c r="DM81" s="912" t="n"/>
      <c r="DN81" s="912" t="n"/>
      <c r="DO81" s="912" t="n"/>
      <c r="DP81" s="912" t="n"/>
      <c r="DQ81" s="912" t="n"/>
      <c r="DR81" s="912" t="n"/>
      <c r="DS81" s="912" t="n"/>
    </row>
    <row r="82">
      <c r="A82" s="518" t="inlineStr">
        <is>
          <t>Total SG&amp;A</t>
        </is>
      </c>
      <c r="B82" s="914" t="n"/>
      <c r="C82" s="914" t="n"/>
      <c r="D82" s="914" t="n"/>
      <c r="E82" s="914" t="n"/>
      <c r="F82" s="914" t="n"/>
      <c r="G82" s="914" t="n"/>
      <c r="H82" s="914" t="n"/>
      <c r="I82" s="914" t="n"/>
      <c r="J82" s="914" t="n"/>
      <c r="K82" s="914" t="n"/>
      <c r="L82" s="914" t="n"/>
      <c r="M82" s="914" t="n"/>
      <c r="N82" s="50">
        <f>N73+N76+N79</f>
        <v/>
      </c>
      <c r="O82" s="50">
        <f>O73+O76+O79</f>
        <v/>
      </c>
      <c r="P82" s="50">
        <f>P73+P76+P79</f>
        <v/>
      </c>
      <c r="Q82" s="50">
        <f>Q73+Q76+Q79</f>
        <v/>
      </c>
      <c r="R82" s="50">
        <f>R73+R76+R79</f>
        <v/>
      </c>
      <c r="S82" s="50">
        <f>S73+S76+S79</f>
        <v/>
      </c>
      <c r="T82" s="50">
        <f>T73+T76+T79</f>
        <v/>
      </c>
      <c r="U82" s="50">
        <f>U73+U76+U79</f>
        <v/>
      </c>
      <c r="V82" s="50">
        <f>V73+V76+V79</f>
        <v/>
      </c>
      <c r="W82" s="50">
        <f>W73+W76+W79</f>
        <v/>
      </c>
      <c r="X82" s="50">
        <f>X73+X76+X79</f>
        <v/>
      </c>
      <c r="Y82" s="50">
        <f>Y73+Y76+Y79</f>
        <v/>
      </c>
      <c r="Z82" s="50">
        <f>Z73+Z76+Z79</f>
        <v/>
      </c>
      <c r="AA82" s="50">
        <f>AA73+AA76+AA79</f>
        <v/>
      </c>
      <c r="AB82" s="50">
        <f>AB73+AB76+AB79</f>
        <v/>
      </c>
      <c r="AC82" s="50">
        <f>AC73+AC76+AC79</f>
        <v/>
      </c>
      <c r="AD82" s="50">
        <f>AD73+AD76+AD79</f>
        <v/>
      </c>
      <c r="AE82" s="50">
        <f>AE73+AE76+AE79</f>
        <v/>
      </c>
      <c r="AF82" s="50">
        <f>AF73+AF76+AF79</f>
        <v/>
      </c>
      <c r="AG82" s="50">
        <f>AG73+AG76+AG79</f>
        <v/>
      </c>
      <c r="AH82" s="50">
        <f>AH73+AH76+AH79</f>
        <v/>
      </c>
      <c r="AI82" s="50">
        <f>AI73+AI76+AI79</f>
        <v/>
      </c>
      <c r="AJ82" s="50">
        <f>AJ73+AJ76+AJ79</f>
        <v/>
      </c>
      <c r="AK82" s="50">
        <f>AK73+AK76+AK79</f>
        <v/>
      </c>
      <c r="AL82" s="50">
        <f>AL73+AL76+AL79</f>
        <v/>
      </c>
      <c r="AM82" s="50">
        <f>AM73+AM76+AM79</f>
        <v/>
      </c>
      <c r="AN82" s="50">
        <f>AN73+AN76+AN79</f>
        <v/>
      </c>
      <c r="AO82" s="50">
        <f>AO73+AO76+AO79</f>
        <v/>
      </c>
      <c r="AP82" s="50">
        <f>AP73+AP76+AP79</f>
        <v/>
      </c>
      <c r="AQ82" s="50">
        <f>AQ73+AQ76+AQ79</f>
        <v/>
      </c>
      <c r="AR82" s="50">
        <f>AR73+AR76+AR79</f>
        <v/>
      </c>
      <c r="AS82" s="50">
        <f>AS73+AS76+AS79</f>
        <v/>
      </c>
      <c r="AT82" s="50">
        <f>AT73+AT76+AT79</f>
        <v/>
      </c>
      <c r="AU82" s="50">
        <f>AU73+AU76+AU79</f>
        <v/>
      </c>
      <c r="AV82" s="50">
        <f>AV73+AV76+AV79</f>
        <v/>
      </c>
      <c r="AW82" s="50">
        <f>AW73+AW76+AW79</f>
        <v/>
      </c>
      <c r="AX82" s="50">
        <f>AX73+AX76+AX79</f>
        <v/>
      </c>
      <c r="AY82" s="50">
        <f>AY73+AY76+AY79</f>
        <v/>
      </c>
      <c r="AZ82" s="50">
        <f>AZ73+AZ76+AZ79</f>
        <v/>
      </c>
      <c r="BA82" s="50">
        <f>BA73+BA76+BA79</f>
        <v/>
      </c>
      <c r="BB82" s="50">
        <f>BB73+BB76+BB79</f>
        <v/>
      </c>
      <c r="BC82" s="50">
        <f>BC73+BC76+BC79</f>
        <v/>
      </c>
      <c r="BD82" s="50">
        <f>BD73+BD76+BD79</f>
        <v/>
      </c>
      <c r="BE82" s="50">
        <f>BE73+BE76+BE79</f>
        <v/>
      </c>
      <c r="BF82" s="50">
        <f>BF73+BF76+BF79</f>
        <v/>
      </c>
      <c r="BG82" s="50">
        <f>BG73+BG76+BG79</f>
        <v/>
      </c>
      <c r="BH82" s="50">
        <f>BH73+BH76+BH79</f>
        <v/>
      </c>
      <c r="BI82" s="50">
        <f>BI73+BI76+BI79</f>
        <v/>
      </c>
      <c r="BJ82" s="50">
        <f>BJ73+BJ76+BJ79</f>
        <v/>
      </c>
      <c r="BK82" s="50">
        <f>BK73+BK76+BK79</f>
        <v/>
      </c>
      <c r="BL82" s="50">
        <f>BL73+BL76+BL79</f>
        <v/>
      </c>
      <c r="BM82" s="50">
        <f>BM73+BM76+BM79</f>
        <v/>
      </c>
      <c r="BN82" s="50">
        <f>BN73+BN76+BN79</f>
        <v/>
      </c>
      <c r="BO82" s="50">
        <f>BO73+BO76+BO79</f>
        <v/>
      </c>
      <c r="BP82" s="50">
        <f>BP73+BP76+BP79</f>
        <v/>
      </c>
      <c r="BQ82" s="50">
        <f>BQ73+BQ76+BQ79</f>
        <v/>
      </c>
      <c r="BR82" s="50">
        <f>BR73+BR76+BR79</f>
        <v/>
      </c>
      <c r="BS82" s="50">
        <f>BS73+BS76+BS79</f>
        <v/>
      </c>
      <c r="BT82" s="50">
        <f>BT73+BT76+BT79</f>
        <v/>
      </c>
      <c r="BU82" s="50">
        <f>BU73+BU76+BU79</f>
        <v/>
      </c>
      <c r="BV82" s="50">
        <f>BV73+BV76+BV79</f>
        <v/>
      </c>
      <c r="BW82" s="50">
        <f>BW73+BW76+BW79</f>
        <v/>
      </c>
      <c r="BX82" s="50">
        <f>BX73+BX76+BX79</f>
        <v/>
      </c>
      <c r="BY82" s="50">
        <f>BY73+BY76+BY79</f>
        <v/>
      </c>
      <c r="BZ82" s="50">
        <f>BZ73+BZ76+BZ79</f>
        <v/>
      </c>
      <c r="CA82" s="50">
        <f>CA73+CA76+CA79</f>
        <v/>
      </c>
      <c r="CB82" s="50">
        <f>CB73+CB76+CB79</f>
        <v/>
      </c>
      <c r="CC82" s="50">
        <f>CC73+CC76+CC79</f>
        <v/>
      </c>
      <c r="CD82" s="50">
        <f>CD73+CD76+CD79</f>
        <v/>
      </c>
      <c r="CE82" s="50">
        <f>CE73+CE76+CE79</f>
        <v/>
      </c>
      <c r="CF82" s="50">
        <f>CF73+CF76+CF79</f>
        <v/>
      </c>
      <c r="CG82" s="50">
        <f>CG73+CG76+CG79</f>
        <v/>
      </c>
      <c r="CH82" s="50">
        <f>CH73+CH76+CH79</f>
        <v/>
      </c>
      <c r="CI82" s="50">
        <f>CI73+CI76+CI79</f>
        <v/>
      </c>
      <c r="CJ82" s="50">
        <f>CJ73+CJ76+CJ79</f>
        <v/>
      </c>
      <c r="CK82" s="50">
        <f>CK73+CK76+CK79</f>
        <v/>
      </c>
      <c r="DA82" s="912" t="n"/>
      <c r="DB82" s="912" t="n"/>
      <c r="DC82" s="912" t="n"/>
      <c r="DD82" s="912" t="n"/>
      <c r="DE82" s="912" t="n"/>
      <c r="DF82" s="912" t="n"/>
      <c r="DG82" s="912" t="n"/>
      <c r="DH82" s="912" t="n"/>
      <c r="DI82" s="912" t="n"/>
      <c r="DJ82" s="912" t="n"/>
      <c r="DK82" s="912" t="n"/>
      <c r="DL82" s="912" t="n"/>
      <c r="DM82" s="912" t="n"/>
      <c r="DN82" s="912" t="n"/>
      <c r="DO82" s="912" t="n"/>
      <c r="DP82" s="912" t="n"/>
      <c r="DQ82" s="912" t="n"/>
      <c r="DR82" s="912" t="n"/>
      <c r="DS82" s="912" t="n"/>
    </row>
    <row r="83">
      <c r="A83" s="191" t="inlineStr">
        <is>
          <t>yoy growth</t>
        </is>
      </c>
      <c r="B83" s="914" t="n"/>
      <c r="C83" s="914" t="n"/>
      <c r="D83" s="914" t="n"/>
      <c r="E83" s="914" t="n"/>
      <c r="F83" s="914" t="n"/>
      <c r="G83" s="914" t="n"/>
      <c r="H83" s="914" t="n"/>
      <c r="I83" s="914" t="n"/>
      <c r="J83" s="914" t="n"/>
      <c r="K83" s="914" t="n"/>
      <c r="L83" s="914" t="n"/>
      <c r="M83" s="914" t="n"/>
      <c r="N83" s="908" t="n"/>
      <c r="O83" s="908" t="n"/>
      <c r="P83" s="908" t="n"/>
      <c r="Q83" s="908" t="n"/>
      <c r="R83" s="908">
        <f>R82/N82-1</f>
        <v/>
      </c>
      <c r="S83" s="908">
        <f>S82/O82-1</f>
        <v/>
      </c>
      <c r="T83" s="908">
        <f>T82/P82-1</f>
        <v/>
      </c>
      <c r="U83" s="908">
        <f>U82/Q82-1</f>
        <v/>
      </c>
      <c r="V83" s="908">
        <f>V82/R82-1</f>
        <v/>
      </c>
      <c r="W83" s="908">
        <f>W82/S82-1</f>
        <v/>
      </c>
      <c r="X83" s="908">
        <f>X82/T82-1</f>
        <v/>
      </c>
      <c r="Y83" s="908">
        <f>Y82/U82-1</f>
        <v/>
      </c>
      <c r="Z83" s="908">
        <f>Z82/V82-1</f>
        <v/>
      </c>
      <c r="AA83" s="908">
        <f>AA82/W82-1</f>
        <v/>
      </c>
      <c r="AB83" s="908">
        <f>AB82/X82-1</f>
        <v/>
      </c>
      <c r="AC83" s="908">
        <f>AC82/Y82-1</f>
        <v/>
      </c>
      <c r="AD83" s="908">
        <f>AD82/Z82-1</f>
        <v/>
      </c>
      <c r="AE83" s="908">
        <f>AE82/AA82-1</f>
        <v/>
      </c>
      <c r="AF83" s="908">
        <f>AF82/AB82-1</f>
        <v/>
      </c>
      <c r="AG83" s="908">
        <f>AG82/AC82-1</f>
        <v/>
      </c>
      <c r="AH83" s="908">
        <f>AH82/AD82-1</f>
        <v/>
      </c>
      <c r="AI83" s="908">
        <f>AI82/AE82-1</f>
        <v/>
      </c>
      <c r="AJ83" s="908">
        <f>AJ82/AF82-1</f>
        <v/>
      </c>
      <c r="AK83" s="908">
        <f>AK82/AG82-1</f>
        <v/>
      </c>
      <c r="AL83" s="908">
        <f>AL82/AH82-1</f>
        <v/>
      </c>
      <c r="AM83" s="908">
        <f>AM82/AI82-1</f>
        <v/>
      </c>
      <c r="AN83" s="908">
        <f>AN82/AJ82-1</f>
        <v/>
      </c>
      <c r="AO83" s="908">
        <f>AO82/AK82-1</f>
        <v/>
      </c>
      <c r="AP83" s="908">
        <f>AP82/AL82-1</f>
        <v/>
      </c>
      <c r="AQ83" s="908">
        <f>AQ82/AM82-1</f>
        <v/>
      </c>
      <c r="AR83" s="908">
        <f>AR82/AN82-1</f>
        <v/>
      </c>
      <c r="AS83" s="908">
        <f>AS82/AO82-1</f>
        <v/>
      </c>
      <c r="AT83" s="908">
        <f>AT82/AP82-1</f>
        <v/>
      </c>
      <c r="AU83" s="908">
        <f>AU82/AQ82-1</f>
        <v/>
      </c>
      <c r="AV83" s="908">
        <f>AV82/AR82-1</f>
        <v/>
      </c>
      <c r="AW83" s="908">
        <f>AW82/AS82-1</f>
        <v/>
      </c>
      <c r="AX83" s="908">
        <f>AX82/AT82-1</f>
        <v/>
      </c>
      <c r="AY83" s="908">
        <f>AY82/AU82-1</f>
        <v/>
      </c>
      <c r="AZ83" s="908">
        <f>AZ82/AV82-1</f>
        <v/>
      </c>
      <c r="BA83" s="908">
        <f>BA82/AW82-1</f>
        <v/>
      </c>
      <c r="BB83" s="908">
        <f>BB82/AX82-1</f>
        <v/>
      </c>
      <c r="BC83" s="908">
        <f>BC82/AY82-1</f>
        <v/>
      </c>
      <c r="BD83" s="908">
        <f>BD82/AZ82-1</f>
        <v/>
      </c>
      <c r="BE83" s="908">
        <f>BE82/BA82-1</f>
        <v/>
      </c>
      <c r="BF83" s="908">
        <f>BF82/BB82-1</f>
        <v/>
      </c>
      <c r="BG83" s="908">
        <f>BG82/BC82-1</f>
        <v/>
      </c>
      <c r="BH83" s="908">
        <f>BH82/BD82-1</f>
        <v/>
      </c>
      <c r="BI83" s="908">
        <f>BI82/BE82-1</f>
        <v/>
      </c>
      <c r="BJ83" s="908">
        <f>BJ82/BF82-1</f>
        <v/>
      </c>
      <c r="BK83" s="908">
        <f>BK82/BG82-1</f>
        <v/>
      </c>
      <c r="BL83" s="908">
        <f>BL82/BH82-1</f>
        <v/>
      </c>
      <c r="BM83" s="908">
        <f>BM82/BI82-1</f>
        <v/>
      </c>
      <c r="BN83" s="908">
        <f>BN82/BJ82-1</f>
        <v/>
      </c>
      <c r="BO83" s="908">
        <f>BO82/BK82-1</f>
        <v/>
      </c>
      <c r="BP83" s="908">
        <f>BP82/BL82-1</f>
        <v/>
      </c>
      <c r="BQ83" s="908">
        <f>BQ82/BM82-1</f>
        <v/>
      </c>
      <c r="BR83" s="908">
        <f>BR82/BN82-1</f>
        <v/>
      </c>
      <c r="BS83" s="908">
        <f>BS82/BO82-1</f>
        <v/>
      </c>
      <c r="BT83" s="908">
        <f>BT82/BP82-1</f>
        <v/>
      </c>
      <c r="BU83" s="908">
        <f>BU82/BQ82-1</f>
        <v/>
      </c>
      <c r="BV83" s="908">
        <f>BV82/BR82-1</f>
        <v/>
      </c>
      <c r="BW83" s="908">
        <f>BW82/BS82-1</f>
        <v/>
      </c>
      <c r="BX83" s="908">
        <f>BX82/BT82-1</f>
        <v/>
      </c>
      <c r="BY83" s="908">
        <f>BY82/BU82-1</f>
        <v/>
      </c>
      <c r="BZ83" s="908">
        <f>BZ82/BV82-1</f>
        <v/>
      </c>
      <c r="CA83" s="908">
        <f>CA82/BW82-1</f>
        <v/>
      </c>
      <c r="CB83" s="908">
        <f>CB82/BX82-1</f>
        <v/>
      </c>
      <c r="CC83" s="908">
        <f>CC82/BY82-1</f>
        <v/>
      </c>
      <c r="CD83" s="908">
        <f>CD82/BZ82-1</f>
        <v/>
      </c>
      <c r="CE83" s="908">
        <f>CE82/CA82-1</f>
        <v/>
      </c>
      <c r="CF83" s="908">
        <f>CF82/CB82-1</f>
        <v/>
      </c>
      <c r="CG83" s="908">
        <f>CG82/CC82-1</f>
        <v/>
      </c>
      <c r="CH83" s="908">
        <f>CH82/CD82-1</f>
        <v/>
      </c>
      <c r="CI83" s="908">
        <f>CI82/CE82-1</f>
        <v/>
      </c>
      <c r="CJ83" s="908">
        <f>CJ82/CF82-1</f>
        <v/>
      </c>
      <c r="CK83" s="908">
        <f>CK82/CG82-1</f>
        <v/>
      </c>
      <c r="DA83" s="912" t="n"/>
      <c r="DB83" s="912" t="n"/>
      <c r="DC83" s="912" t="n"/>
      <c r="DD83" s="912" t="n"/>
      <c r="DE83" s="912" t="n"/>
      <c r="DF83" s="912" t="n"/>
      <c r="DG83" s="912" t="n"/>
      <c r="DH83" s="912" t="n"/>
      <c r="DI83" s="912" t="n"/>
      <c r="DJ83" s="912" t="n"/>
      <c r="DK83" s="912" t="n"/>
      <c r="DL83" s="912" t="n"/>
      <c r="DM83" s="912" t="n"/>
      <c r="DN83" s="912" t="n"/>
      <c r="DO83" s="912" t="n"/>
      <c r="DP83" s="912" t="n"/>
      <c r="DQ83" s="912" t="n"/>
      <c r="DR83" s="912" t="n"/>
      <c r="DS83" s="912" t="n"/>
    </row>
    <row r="84">
      <c r="A84" s="191" t="n"/>
      <c r="B84" s="914" t="n"/>
      <c r="C84" s="914" t="n"/>
      <c r="D84" s="914" t="n"/>
      <c r="E84" s="914" t="n"/>
      <c r="F84" s="914" t="n"/>
      <c r="G84" s="914" t="n"/>
      <c r="H84" s="914" t="n"/>
      <c r="I84" s="914" t="n"/>
      <c r="J84" s="914" t="n"/>
      <c r="K84" s="914" t="n"/>
      <c r="L84" s="914" t="n"/>
      <c r="M84" s="914" t="n"/>
    </row>
    <row r="85">
      <c r="A85" s="74">
        <f>FS_Q!A17</f>
        <v/>
      </c>
      <c r="B85" s="914" t="n"/>
      <c r="C85" s="914" t="n"/>
      <c r="D85" s="914" t="n"/>
      <c r="E85" s="914" t="n"/>
      <c r="F85" s="914" t="n"/>
      <c r="G85" s="914" t="n"/>
      <c r="H85" s="914" t="n"/>
      <c r="I85" s="914" t="n"/>
      <c r="J85" s="914" t="n"/>
      <c r="K85" s="914" t="n"/>
      <c r="L85" s="914" t="n"/>
      <c r="M85" s="914" t="n"/>
      <c r="N85" s="516">
        <f>FS_Q!N17</f>
        <v/>
      </c>
      <c r="O85" s="516">
        <f>FS_Q!O17</f>
        <v/>
      </c>
      <c r="P85" s="516">
        <f>FS_Q!P17</f>
        <v/>
      </c>
      <c r="Q85" s="516">
        <f>FS_Q!Q17</f>
        <v/>
      </c>
      <c r="R85" s="516">
        <f>FS_Q!R17</f>
        <v/>
      </c>
      <c r="S85" s="516">
        <f>FS_Q!S17</f>
        <v/>
      </c>
      <c r="T85" s="516">
        <f>FS_Q!T17</f>
        <v/>
      </c>
      <c r="U85" s="516">
        <f>FS_Q!U17</f>
        <v/>
      </c>
      <c r="V85" s="516">
        <f>FS_Q!V17</f>
        <v/>
      </c>
      <c r="W85" s="516">
        <f>FS_Q!W17</f>
        <v/>
      </c>
      <c r="X85" s="516">
        <f>FS_Q!X17</f>
        <v/>
      </c>
      <c r="Y85" s="516">
        <f>FS_Q!Y17</f>
        <v/>
      </c>
      <c r="Z85" s="516">
        <f>FS_Q!Z17</f>
        <v/>
      </c>
      <c r="AA85" s="516">
        <f>FS_Q!AA17</f>
        <v/>
      </c>
      <c r="AB85" s="516">
        <f>FS_Q!AB17</f>
        <v/>
      </c>
      <c r="AC85" s="516">
        <f>FS_Q!AC17</f>
        <v/>
      </c>
      <c r="AD85" s="516">
        <f>FS_Q!AD17</f>
        <v/>
      </c>
      <c r="AE85" s="516">
        <f>FS_Q!AE17</f>
        <v/>
      </c>
      <c r="AF85" s="516">
        <f>FS_Q!AF17</f>
        <v/>
      </c>
      <c r="AG85" s="516">
        <f>FS_Q!AG17</f>
        <v/>
      </c>
      <c r="AH85" s="516">
        <f>FS_Q!AH17</f>
        <v/>
      </c>
      <c r="AI85" s="516">
        <f>FS_Q!AI17</f>
        <v/>
      </c>
      <c r="AJ85" s="516">
        <f>FS_Q!AJ17</f>
        <v/>
      </c>
      <c r="AK85" s="516">
        <f>FS_Q!AK17</f>
        <v/>
      </c>
      <c r="AL85" s="516">
        <f>FS_Q!AL17</f>
        <v/>
      </c>
      <c r="AM85" s="516">
        <f>FS_Q!AM17</f>
        <v/>
      </c>
      <c r="AN85" s="516">
        <f>FS_Q!AN17</f>
        <v/>
      </c>
      <c r="AO85" s="516">
        <f>FS_Q!AO17</f>
        <v/>
      </c>
      <c r="AP85" s="516">
        <f>FS_Q!AP17</f>
        <v/>
      </c>
      <c r="AQ85" s="516">
        <f>FS_Q!AQ17</f>
        <v/>
      </c>
      <c r="AR85" s="516">
        <f>FS_Q!AR17</f>
        <v/>
      </c>
      <c r="AS85" s="516">
        <f>FS_Q!AS17</f>
        <v/>
      </c>
      <c r="AT85" s="516">
        <f>FS_Q!AT17</f>
        <v/>
      </c>
      <c r="AU85" s="516">
        <f>FS_Q!AU17</f>
        <v/>
      </c>
      <c r="AV85" s="516">
        <f>FS_Q!AV17</f>
        <v/>
      </c>
      <c r="AW85" s="516">
        <f>FS_Q!AW17</f>
        <v/>
      </c>
      <c r="AX85" s="516">
        <f>FS_Q!AX17</f>
        <v/>
      </c>
      <c r="AY85" s="516">
        <f>FS_Q!AY17</f>
        <v/>
      </c>
      <c r="AZ85" s="516">
        <f>FS_Q!AZ17</f>
        <v/>
      </c>
      <c r="BA85" s="516">
        <f>FS_Q!BA17</f>
        <v/>
      </c>
      <c r="BB85" s="516">
        <f>FS_Q!BB17</f>
        <v/>
      </c>
      <c r="BC85" s="516">
        <f>FS_Q!BC17</f>
        <v/>
      </c>
      <c r="BD85" s="516">
        <f>FS_Q!BD17</f>
        <v/>
      </c>
      <c r="BE85" s="516">
        <f>FS_Q!BE17</f>
        <v/>
      </c>
      <c r="BF85" s="516">
        <f>FS_Q!BF17</f>
        <v/>
      </c>
      <c r="BG85" s="516">
        <f>FS_Q!BG17</f>
        <v/>
      </c>
      <c r="BH85" s="516">
        <f>FS_Q!BH17</f>
        <v/>
      </c>
      <c r="BI85" s="516">
        <f>FS_Q!BI17</f>
        <v/>
      </c>
      <c r="BJ85" s="516">
        <f>FS_Q!BJ17</f>
        <v/>
      </c>
      <c r="BK85" s="516">
        <f>FS_Q!BK17</f>
        <v/>
      </c>
      <c r="BL85" s="516">
        <f>FS_Q!BL17</f>
        <v/>
      </c>
      <c r="BM85" s="516">
        <f>FS_Q!BM17</f>
        <v/>
      </c>
      <c r="BN85" s="516">
        <f>FS_Q!BN17</f>
        <v/>
      </c>
      <c r="BO85" s="516">
        <f>FS_Q!BO17</f>
        <v/>
      </c>
      <c r="BP85" s="516">
        <f>FS_Q!BP17</f>
        <v/>
      </c>
      <c r="BQ85" s="516">
        <f>FS_Q!BQ17</f>
        <v/>
      </c>
      <c r="BR85" s="516">
        <f>FS_Q!BR17</f>
        <v/>
      </c>
      <c r="BS85" s="517">
        <f>BS$20*BS86</f>
        <v/>
      </c>
      <c r="BT85" s="517">
        <f>BT$20*BT86</f>
        <v/>
      </c>
      <c r="BU85" s="517">
        <f>BU$20*BU86</f>
        <v/>
      </c>
      <c r="BV85" s="517">
        <f>BV$20*BV86</f>
        <v/>
      </c>
      <c r="BW85" s="517">
        <f>BW$20*BW86</f>
        <v/>
      </c>
      <c r="BX85" s="517">
        <f>BX$20*BX86</f>
        <v/>
      </c>
      <c r="BY85" s="517">
        <f>BY$20*BY86</f>
        <v/>
      </c>
      <c r="BZ85" s="517">
        <f>BZ$20*BZ86</f>
        <v/>
      </c>
      <c r="CA85" s="517">
        <f>CA$20*CA86</f>
        <v/>
      </c>
      <c r="CB85" s="517">
        <f>CB$20*CB86</f>
        <v/>
      </c>
      <c r="CC85" s="517">
        <f>CC$20*CC86</f>
        <v/>
      </c>
      <c r="CD85" s="517">
        <f>CD$20*CD86</f>
        <v/>
      </c>
      <c r="CE85" s="517">
        <f>CE$20*CE86</f>
        <v/>
      </c>
      <c r="CF85" s="517">
        <f>CF$20*CF86</f>
        <v/>
      </c>
      <c r="CG85" s="517">
        <f>CG$20*CG86</f>
        <v/>
      </c>
      <c r="CH85" s="517">
        <f>CH$20*CH86</f>
        <v/>
      </c>
      <c r="CI85" s="517">
        <f>CI$20*CI86</f>
        <v/>
      </c>
      <c r="CJ85" s="517">
        <f>CJ$20*CJ86</f>
        <v/>
      </c>
      <c r="CK85" s="517">
        <f>CK$20*CK86</f>
        <v/>
      </c>
      <c r="DA85" s="517">
        <f>SUMIF($N$1:$CG$1,DA$1,$N85:$CG85)</f>
        <v/>
      </c>
      <c r="DB85" s="517">
        <f>SUMIF($N$1:$CG$1,DB$1,$N85:$CG85)</f>
        <v/>
      </c>
      <c r="DC85" s="517">
        <f>SUMIF($N$1:$CG$1,DC$1,$N85:$CG85)</f>
        <v/>
      </c>
      <c r="DD85" s="517">
        <f>SUMIF($N$1:$CG$1,DD$1,$N85:$CG85)</f>
        <v/>
      </c>
      <c r="DE85" s="517">
        <f>SUMIF($N$1:$CG$1,DE$1,$N85:$CG85)</f>
        <v/>
      </c>
      <c r="DF85" s="517">
        <f>SUMIF($N$1:$CG$1,DF$1,$N85:$CG85)</f>
        <v/>
      </c>
      <c r="DG85" s="517">
        <f>SUMIF($N$1:$CG$1,DG$1,$N85:$CG85)</f>
        <v/>
      </c>
      <c r="DH85" s="517">
        <f>SUMIF($N$1:$CG$1,DH$1,$N85:$CG85)</f>
        <v/>
      </c>
      <c r="DI85" s="517">
        <f>SUMIF($N$1:$CG$1,DI$1,$N85:$CG85)</f>
        <v/>
      </c>
      <c r="DJ85" s="517">
        <f>SUMIF($N$1:$CG$1,DJ$1,$N85:$CG85)</f>
        <v/>
      </c>
      <c r="DK85" s="517">
        <f>SUMIF($N$1:$CG$1,DK$1,$N85:$CG85)</f>
        <v/>
      </c>
      <c r="DL85" s="517">
        <f>SUMIF($N$1:$CG$1,DL$1,$N85:$CG85)</f>
        <v/>
      </c>
      <c r="DM85" s="517">
        <f>SUMIF($N$1:$CG$1,DM$1,$N85:$CG85)</f>
        <v/>
      </c>
      <c r="DN85" s="517">
        <f>SUMIF($N$1:$CG$1,DN$1,$N85:$CG85)</f>
        <v/>
      </c>
      <c r="DO85" s="517">
        <f>SUMIF($N$1:$CG$1,DO$1,$N85:$CG85)</f>
        <v/>
      </c>
      <c r="DP85" s="517">
        <f>SUMIF($N$1:$CG$1,DP$1,$N85:$CG85)</f>
        <v/>
      </c>
      <c r="DQ85" s="517">
        <f>SUMIF($N$1:$CG$1,DQ$1,$N85:$CG85)</f>
        <v/>
      </c>
      <c r="DR85" s="517">
        <f>SUMIF($N$1:$CG$1,DR$1,$N85:$CG85)</f>
        <v/>
      </c>
      <c r="DS85" s="517">
        <f>SUMIF($N$1:$CK$1,DS$1,$N85:$CK85)</f>
        <v/>
      </c>
    </row>
    <row r="86">
      <c r="A86" s="191">
        <f>A80</f>
        <v/>
      </c>
      <c r="B86" s="914" t="n"/>
      <c r="C86" s="914" t="n"/>
      <c r="D86" s="914" t="n"/>
      <c r="E86" s="914" t="n"/>
      <c r="F86" s="914" t="n"/>
      <c r="G86" s="914" t="n"/>
      <c r="H86" s="914" t="n"/>
      <c r="I86" s="914" t="n"/>
      <c r="J86" s="914" t="n"/>
      <c r="K86" s="914" t="n"/>
      <c r="L86" s="914" t="n"/>
      <c r="M86" s="914" t="n"/>
      <c r="N86" s="908">
        <f>N85/N20</f>
        <v/>
      </c>
      <c r="O86" s="908">
        <f>O85/O20</f>
        <v/>
      </c>
      <c r="P86" s="908">
        <f>P85/P20</f>
        <v/>
      </c>
      <c r="Q86" s="908">
        <f>Q85/Q20</f>
        <v/>
      </c>
      <c r="R86" s="908">
        <f>R85/R20</f>
        <v/>
      </c>
      <c r="S86" s="908">
        <f>S85/S20</f>
        <v/>
      </c>
      <c r="T86" s="908">
        <f>T85/T20</f>
        <v/>
      </c>
      <c r="U86" s="908">
        <f>U85/U20</f>
        <v/>
      </c>
      <c r="V86" s="908">
        <f>V85/V20</f>
        <v/>
      </c>
      <c r="W86" s="908">
        <f>W85/W20</f>
        <v/>
      </c>
      <c r="X86" s="908">
        <f>X85/X20</f>
        <v/>
      </c>
      <c r="Y86" s="908">
        <f>Y85/Y20</f>
        <v/>
      </c>
      <c r="Z86" s="908">
        <f>Z85/Z20</f>
        <v/>
      </c>
      <c r="AA86" s="908">
        <f>AA85/AA20</f>
        <v/>
      </c>
      <c r="AB86" s="908">
        <f>AB85/AB20</f>
        <v/>
      </c>
      <c r="AC86" s="908">
        <f>AC85/AC20</f>
        <v/>
      </c>
      <c r="AD86" s="908">
        <f>AD85/AD20</f>
        <v/>
      </c>
      <c r="AE86" s="908">
        <f>AE85/AE20</f>
        <v/>
      </c>
      <c r="AF86" s="908">
        <f>AF85/AF20</f>
        <v/>
      </c>
      <c r="AG86" s="908">
        <f>AG85/AG20</f>
        <v/>
      </c>
      <c r="AH86" s="908">
        <f>AH85/AH20</f>
        <v/>
      </c>
      <c r="AI86" s="908">
        <f>AI85/AI20</f>
        <v/>
      </c>
      <c r="AJ86" s="908">
        <f>AJ85/AJ20</f>
        <v/>
      </c>
      <c r="AK86" s="908">
        <f>AK85/AK20</f>
        <v/>
      </c>
      <c r="AL86" s="908">
        <f>AL85/AL20</f>
        <v/>
      </c>
      <c r="AM86" s="908">
        <f>AM85/AM20</f>
        <v/>
      </c>
      <c r="AN86" s="908">
        <f>AN85/AN20</f>
        <v/>
      </c>
      <c r="AO86" s="908">
        <f>AO85/AO20</f>
        <v/>
      </c>
      <c r="AP86" s="908">
        <f>AP85/AP20</f>
        <v/>
      </c>
      <c r="AQ86" s="908">
        <f>AQ85/AQ20</f>
        <v/>
      </c>
      <c r="AR86" s="908">
        <f>AR85/AR20</f>
        <v/>
      </c>
      <c r="AS86" s="908">
        <f>AS85/AS20</f>
        <v/>
      </c>
      <c r="AT86" s="908">
        <f>AT85/AT20</f>
        <v/>
      </c>
      <c r="AU86" s="908">
        <f>AU85/AU20</f>
        <v/>
      </c>
      <c r="AV86" s="908">
        <f>AV85/AV20</f>
        <v/>
      </c>
      <c r="AW86" s="908">
        <f>AW85/AW20</f>
        <v/>
      </c>
      <c r="AX86" s="908">
        <f>AX85/AX20</f>
        <v/>
      </c>
      <c r="AY86" s="908">
        <f>AY85/AY20</f>
        <v/>
      </c>
      <c r="AZ86" s="908">
        <f>AZ85/AZ20</f>
        <v/>
      </c>
      <c r="BA86" s="908">
        <f>BA85/BA20</f>
        <v/>
      </c>
      <c r="BB86" s="908">
        <f>BB85/BB20</f>
        <v/>
      </c>
      <c r="BC86" s="908">
        <f>BC85/BC20</f>
        <v/>
      </c>
      <c r="BD86" s="908">
        <f>BD85/BD20</f>
        <v/>
      </c>
      <c r="BE86" s="908">
        <f>BE85/BE20</f>
        <v/>
      </c>
      <c r="BF86" s="908">
        <f>BF85/BF20</f>
        <v/>
      </c>
      <c r="BG86" s="908">
        <f>BG85/BG20</f>
        <v/>
      </c>
      <c r="BH86" s="908">
        <f>BH85/BH20</f>
        <v/>
      </c>
      <c r="BI86" s="908">
        <f>BI85/BI20</f>
        <v/>
      </c>
      <c r="BJ86" s="908">
        <f>BJ85/BJ20</f>
        <v/>
      </c>
      <c r="BK86" s="908">
        <f>BK85/BK20</f>
        <v/>
      </c>
      <c r="BL86" s="908">
        <f>BL85/BL20</f>
        <v/>
      </c>
      <c r="BM86" s="908">
        <f>BM85/BM20</f>
        <v/>
      </c>
      <c r="BN86" s="908">
        <f>BN85/BN20</f>
        <v/>
      </c>
      <c r="BO86" s="908">
        <f>BO85/BO20</f>
        <v/>
      </c>
      <c r="BP86" s="908">
        <f>BP85/BP20</f>
        <v/>
      </c>
      <c r="BQ86" s="908">
        <f>BQ85/BQ20</f>
        <v/>
      </c>
      <c r="BR86" s="908">
        <f>BR85/BR20</f>
        <v/>
      </c>
      <c r="BS86" s="909" t="n">
        <v>0</v>
      </c>
      <c r="BT86" s="909" t="n">
        <v>0</v>
      </c>
      <c r="BU86" s="909" t="n">
        <v>0</v>
      </c>
      <c r="BV86" s="909" t="n">
        <v>0</v>
      </c>
      <c r="BW86" s="909" t="n">
        <v>0</v>
      </c>
      <c r="BX86" s="909" t="n">
        <v>0</v>
      </c>
      <c r="BY86" s="909" t="n">
        <v>0</v>
      </c>
      <c r="BZ86" s="909" t="n">
        <v>0</v>
      </c>
      <c r="CA86" s="909" t="n">
        <v>0</v>
      </c>
      <c r="CB86" s="909" t="n">
        <v>0</v>
      </c>
      <c r="CC86" s="909" t="n">
        <v>0</v>
      </c>
      <c r="CD86" s="909" t="n">
        <v>0</v>
      </c>
      <c r="CE86" s="909" t="n">
        <v>0</v>
      </c>
      <c r="CF86" s="909" t="n">
        <v>0</v>
      </c>
      <c r="CG86" s="909" t="n">
        <v>0</v>
      </c>
      <c r="CH86" s="909" t="n">
        <v>0</v>
      </c>
      <c r="CI86" s="909" t="n">
        <v>0</v>
      </c>
      <c r="CJ86" s="909" t="n">
        <v>0</v>
      </c>
      <c r="CK86" s="909" t="n">
        <v>0</v>
      </c>
      <c r="DA86" s="912">
        <f>DA85/DA$20</f>
        <v/>
      </c>
      <c r="DB86" s="912">
        <f>DB85/DB$20</f>
        <v/>
      </c>
      <c r="DC86" s="912">
        <f>DC85/DC$20</f>
        <v/>
      </c>
      <c r="DD86" s="912">
        <f>DD85/DD$20</f>
        <v/>
      </c>
      <c r="DE86" s="912">
        <f>DE85/DE$20</f>
        <v/>
      </c>
      <c r="DF86" s="912">
        <f>DF85/DF$20</f>
        <v/>
      </c>
      <c r="DG86" s="912">
        <f>DG85/DG$20</f>
        <v/>
      </c>
      <c r="DH86" s="912">
        <f>DH85/DH$20</f>
        <v/>
      </c>
      <c r="DI86" s="912">
        <f>DI85/DI$20</f>
        <v/>
      </c>
      <c r="DJ86" s="912">
        <f>DJ85/DJ$20</f>
        <v/>
      </c>
      <c r="DK86" s="912">
        <f>DK85/DK$20</f>
        <v/>
      </c>
      <c r="DL86" s="912">
        <f>DL85/DL$20</f>
        <v/>
      </c>
      <c r="DM86" s="912">
        <f>DM85/DM$20</f>
        <v/>
      </c>
      <c r="DN86" s="912">
        <f>DN85/DN$20</f>
        <v/>
      </c>
      <c r="DO86" s="912">
        <f>DO85/DO$20</f>
        <v/>
      </c>
      <c r="DP86" s="912">
        <f>DP85/DP$20</f>
        <v/>
      </c>
      <c r="DQ86" s="912">
        <f>DQ85/DQ$20</f>
        <v/>
      </c>
      <c r="DR86" s="912">
        <f>DR85/DR$20</f>
        <v/>
      </c>
      <c r="DS86" s="912">
        <f>DS85/DS$20</f>
        <v/>
      </c>
    </row>
    <row r="87">
      <c r="A87" s="43" t="n"/>
      <c r="B87" s="914" t="n"/>
      <c r="C87" s="914" t="n"/>
      <c r="D87" s="914" t="n"/>
      <c r="E87" s="914" t="n"/>
      <c r="F87" s="914" t="n"/>
      <c r="G87" s="914" t="n"/>
      <c r="H87" s="914" t="n"/>
      <c r="I87" s="914" t="n"/>
      <c r="J87" s="914" t="n"/>
      <c r="K87" s="914" t="n"/>
      <c r="L87" s="914" t="n"/>
      <c r="M87" s="914" t="n"/>
    </row>
    <row r="88">
      <c r="A88" s="518" t="inlineStr">
        <is>
          <t>Operating Profit</t>
        </is>
      </c>
      <c r="B88" s="142" t="n"/>
      <c r="C88" s="142" t="n"/>
      <c r="D88" s="142" t="n"/>
      <c r="E88" s="142" t="n"/>
      <c r="F88" s="142" t="n"/>
      <c r="G88" s="142" t="n"/>
      <c r="H88" s="142" t="n"/>
      <c r="I88" s="142" t="n"/>
      <c r="J88" s="142" t="n"/>
      <c r="K88" s="142" t="n"/>
      <c r="L88" s="142" t="n"/>
      <c r="M88" s="142" t="n"/>
      <c r="N88" s="519">
        <f>N20-N64-N73-N76-N79-N85</f>
        <v/>
      </c>
      <c r="O88" s="519">
        <f>O20-O64-O73-O76-O79-O85</f>
        <v/>
      </c>
      <c r="P88" s="519">
        <f>P20-P64-P73-P76-P79-P85</f>
        <v/>
      </c>
      <c r="Q88" s="519">
        <f>Q20-Q64-Q73-Q76-Q79-Q85</f>
        <v/>
      </c>
      <c r="R88" s="519">
        <f>R20-R64-R73-R76-R79-R85</f>
        <v/>
      </c>
      <c r="S88" s="519">
        <f>S20-S64-S73-S76-S79-S85</f>
        <v/>
      </c>
      <c r="T88" s="519">
        <f>T20-T64-T73-T76-T79-T85</f>
        <v/>
      </c>
      <c r="U88" s="519">
        <f>U20-U64-U73-U76-U79-U85</f>
        <v/>
      </c>
      <c r="V88" s="519">
        <f>V20-V64-V73-V76-V79-V85</f>
        <v/>
      </c>
      <c r="W88" s="519">
        <f>W20-W64-W73-W76-W79-W85</f>
        <v/>
      </c>
      <c r="X88" s="519">
        <f>X20-X64-X73-X76-X79-X85</f>
        <v/>
      </c>
      <c r="Y88" s="519">
        <f>Y20-Y64-Y73-Y76-Y79-Y85</f>
        <v/>
      </c>
      <c r="Z88" s="519">
        <f>Z20-Z64-Z73-Z76-Z79-Z85</f>
        <v/>
      </c>
      <c r="AA88" s="519">
        <f>AA20-AA64-AA73-AA76-AA79-AA85</f>
        <v/>
      </c>
      <c r="AB88" s="519">
        <f>AB20-AB64-AB73-AB76-AB79-AB85</f>
        <v/>
      </c>
      <c r="AC88" s="519">
        <f>AC20-AC64-AC73-AC76-AC79-AC85</f>
        <v/>
      </c>
      <c r="AD88" s="519">
        <f>AD20-AD64-AD73-AD76-AD79-AD85</f>
        <v/>
      </c>
      <c r="AE88" s="519">
        <f>AE20-AE64-AE73-AE76-AE79-AE85</f>
        <v/>
      </c>
      <c r="AF88" s="519">
        <f>AF20-AF64-AF73-AF76-AF79-AF85</f>
        <v/>
      </c>
      <c r="AG88" s="519">
        <f>AG20-AG64-AG73-AG76-AG79-AG85</f>
        <v/>
      </c>
      <c r="AH88" s="519">
        <f>AH20-AH64-AH73-AH76-AH79-AH85</f>
        <v/>
      </c>
      <c r="AI88" s="519">
        <f>AI20-AI64-AI73-AI76-AI79-AI85</f>
        <v/>
      </c>
      <c r="AJ88" s="519">
        <f>AJ20-AJ64-AJ73-AJ76-AJ79-AJ85</f>
        <v/>
      </c>
      <c r="AK88" s="519">
        <f>AK20-AK64-AK73-AK76-AK79-AK85</f>
        <v/>
      </c>
      <c r="AL88" s="519">
        <f>AL20-AL64-AL73-AL76-AL79-AL85</f>
        <v/>
      </c>
      <c r="AM88" s="519">
        <f>AM20-AM64-AM73-AM76-AM79-AM85</f>
        <v/>
      </c>
      <c r="AN88" s="519">
        <f>AN20-AN64-AN73-AN76-AN79-AN85</f>
        <v/>
      </c>
      <c r="AO88" s="519">
        <f>AO20-AO64-AO73-AO76-AO79-AO85</f>
        <v/>
      </c>
      <c r="AP88" s="519">
        <f>AP20-AP64-AP73-AP76-AP79-AP85</f>
        <v/>
      </c>
      <c r="AQ88" s="519">
        <f>AQ20-AQ64-AQ73-AQ76-AQ79-AQ85</f>
        <v/>
      </c>
      <c r="AR88" s="519">
        <f>AR20-AR64-AR73-AR76-AR79-AR85</f>
        <v/>
      </c>
      <c r="AS88" s="519">
        <f>AS20-AS64-AS73-AS76-AS79-AS85</f>
        <v/>
      </c>
      <c r="AT88" s="519">
        <f>AT20-AT64-AT73-AT76-AT79-AT85</f>
        <v/>
      </c>
      <c r="AU88" s="519">
        <f>AU20-AU64-AU73-AU76-AU79-AU85</f>
        <v/>
      </c>
      <c r="AV88" s="519">
        <f>AV20-AV64-AV73-AV76-AV79-AV85</f>
        <v/>
      </c>
      <c r="AW88" s="519">
        <f>AW20-AW64-AW73-AW76-AW79-AW85</f>
        <v/>
      </c>
      <c r="AX88" s="519">
        <f>AX20-AX64-AX73-AX76-AX79-AX85</f>
        <v/>
      </c>
      <c r="AY88" s="519">
        <f>AY20-AY64-AY73-AY76-AY79-AY85</f>
        <v/>
      </c>
      <c r="AZ88" s="519">
        <f>AZ20-AZ64-AZ73-AZ76-AZ79-AZ85</f>
        <v/>
      </c>
      <c r="BA88" s="519">
        <f>BA20-BA64-BA73-BA76-BA79-BA85</f>
        <v/>
      </c>
      <c r="BB88" s="519">
        <f>BB20-BB64-BB73-BB76-BB79-BB85</f>
        <v/>
      </c>
      <c r="BC88" s="519">
        <f>BC20-BC64-BC73-BC76-BC79-BC85</f>
        <v/>
      </c>
      <c r="BD88" s="519">
        <f>BD20-BD64-BD73-BD76-BD79-BD85</f>
        <v/>
      </c>
      <c r="BE88" s="519">
        <f>BE20-BE64-BE73-BE76-BE79-BE85</f>
        <v/>
      </c>
      <c r="BF88" s="519">
        <f>BF20-BF64-BF73-BF76-BF79-BF85</f>
        <v/>
      </c>
      <c r="BG88" s="519">
        <f>BG20-BG64-BG73-BG76-BG79-BG85</f>
        <v/>
      </c>
      <c r="BH88" s="519">
        <f>BH20-BH64-BH73-BH76-BH79-BH85</f>
        <v/>
      </c>
      <c r="BI88" s="519">
        <f>BI20-BI64-BI73-BI76-BI79-BI85</f>
        <v/>
      </c>
      <c r="BJ88" s="519">
        <f>BJ20-BJ64-BJ73-BJ76-BJ79-BJ85</f>
        <v/>
      </c>
      <c r="BK88" s="519">
        <f>BK20-BK64-BK73-BK76-BK79-BK85</f>
        <v/>
      </c>
      <c r="BL88" s="519">
        <f>BL20-BL64-BL73-BL76-BL79-BL85</f>
        <v/>
      </c>
      <c r="BM88" s="519">
        <f>BM20-BM64-BM73-BM76-BM79-BM85</f>
        <v/>
      </c>
      <c r="BN88" s="519">
        <f>BN20-BN64-BN73-BN76-BN79-BN85</f>
        <v/>
      </c>
      <c r="BO88" s="519">
        <f>BO20-BO64-BO73-BO76-BO79-BO85</f>
        <v/>
      </c>
      <c r="BP88" s="519">
        <f>BP20-BP64-BP73-BP76-BP79-BP85</f>
        <v/>
      </c>
      <c r="BQ88" s="519">
        <f>BQ20-BQ64-BQ73-BQ76-BQ79-BQ85</f>
        <v/>
      </c>
      <c r="BR88" s="519">
        <f>BR20-BR64-BR73-BR76-BR79-BR85</f>
        <v/>
      </c>
      <c r="BS88" s="519">
        <f>BS20-BS64-BS73-BS76-BS79-BS85</f>
        <v/>
      </c>
      <c r="BT88" s="519">
        <f>BT20-BT64-BT73-BT76-BT79-BT85</f>
        <v/>
      </c>
      <c r="BU88" s="519">
        <f>BU20-BU64-BU73-BU76-BU79-BU85</f>
        <v/>
      </c>
      <c r="BV88" s="519">
        <f>BV20-BV64-BV73-BV76-BV79-BV85</f>
        <v/>
      </c>
      <c r="BW88" s="519">
        <f>BW20-BW64-BW73-BW76-BW79-BW85</f>
        <v/>
      </c>
      <c r="BX88" s="519">
        <f>BX20-BX64-BX73-BX76-BX79-BX85</f>
        <v/>
      </c>
      <c r="BY88" s="519">
        <f>BY20-BY64-BY73-BY76-BY79-BY85</f>
        <v/>
      </c>
      <c r="BZ88" s="519">
        <f>BZ20-BZ64-BZ73-BZ76-BZ79-BZ85</f>
        <v/>
      </c>
      <c r="CA88" s="519">
        <f>CA20-CA64-CA73-CA76-CA79-CA85</f>
        <v/>
      </c>
      <c r="CB88" s="519">
        <f>CB20-CB64-CB73-CB76-CB79-CB85</f>
        <v/>
      </c>
      <c r="CC88" s="519">
        <f>CC20-CC64-CC73-CC76-CC79-CC85</f>
        <v/>
      </c>
      <c r="CD88" s="519">
        <f>CD20-CD64-CD73-CD76-CD79-CD85</f>
        <v/>
      </c>
      <c r="CE88" s="519">
        <f>CE20-CE64-CE73-CE76-CE79-CE85</f>
        <v/>
      </c>
      <c r="CF88" s="519">
        <f>CF20-CF64-CF73-CF76-CF79-CF85</f>
        <v/>
      </c>
      <c r="CG88" s="519">
        <f>CG20-CG64-CG73-CG76-CG79-CG85</f>
        <v/>
      </c>
      <c r="CH88" s="519">
        <f>CH20-CH64-CH73-CH76-CH79-CH85</f>
        <v/>
      </c>
      <c r="CI88" s="519">
        <f>CI20-CI64-CI73-CI76-CI79-CI85</f>
        <v/>
      </c>
      <c r="CJ88" s="519">
        <f>CJ20-CJ64-CJ73-CJ76-CJ79-CJ85</f>
        <v/>
      </c>
      <c r="CK88" s="519">
        <f>CK20-CK64-CK73-CK76-CK79-CK85</f>
        <v/>
      </c>
      <c r="DA88" s="519">
        <f>SUMIF($N$1:$CG$1,DA$1,$N88:$CG88)</f>
        <v/>
      </c>
      <c r="DB88" s="519">
        <f>SUMIF($N$1:$CG$1,DB$1,$N88:$CG88)</f>
        <v/>
      </c>
      <c r="DC88" s="519">
        <f>SUMIF($N$1:$CG$1,DC$1,$N88:$CG88)</f>
        <v/>
      </c>
      <c r="DD88" s="519">
        <f>SUMIF($N$1:$CG$1,DD$1,$N88:$CG88)</f>
        <v/>
      </c>
      <c r="DE88" s="519">
        <f>SUMIF($N$1:$CG$1,DE$1,$N88:$CG88)</f>
        <v/>
      </c>
      <c r="DF88" s="519">
        <f>SUMIF($N$1:$CG$1,DF$1,$N88:$CG88)</f>
        <v/>
      </c>
      <c r="DG88" s="519">
        <f>SUMIF($N$1:$CG$1,DG$1,$N88:$CG88)</f>
        <v/>
      </c>
      <c r="DH88" s="519">
        <f>SUMIF($N$1:$CG$1,DH$1,$N88:$CG88)</f>
        <v/>
      </c>
      <c r="DI88" s="519">
        <f>SUMIF($N$1:$CG$1,DI$1,$N88:$CG88)</f>
        <v/>
      </c>
      <c r="DJ88" s="519">
        <f>SUMIF($N$1:$CG$1,DJ$1,$N88:$CG88)</f>
        <v/>
      </c>
      <c r="DK88" s="519">
        <f>SUMIF($N$1:$CG$1,DK$1,$N88:$CG88)</f>
        <v/>
      </c>
      <c r="DL88" s="519">
        <f>SUMIF($N$1:$CG$1,DL$1,$N88:$CG88)</f>
        <v/>
      </c>
      <c r="DM88" s="519">
        <f>SUMIF($N$1:$CG$1,DM$1,$N88:$CG88)</f>
        <v/>
      </c>
      <c r="DN88" s="519">
        <f>SUMIF($N$1:$CG$1,DN$1,$N88:$CG88)</f>
        <v/>
      </c>
      <c r="DO88" s="519">
        <f>SUMIF($N$1:$CG$1,DO$1,$N88:$CG88)</f>
        <v/>
      </c>
      <c r="DP88" s="519">
        <f>SUMIF($N$1:$CG$1,DP$1,$N88:$CG88)</f>
        <v/>
      </c>
      <c r="DQ88" s="519">
        <f>SUMIF($N$1:$CG$1,DQ$1,$N88:$CG88)</f>
        <v/>
      </c>
      <c r="DR88" s="519">
        <f>SUMIF($N$1:$CG$1,DR$1,$N88:$CG88)</f>
        <v/>
      </c>
      <c r="DS88" s="519">
        <f>SUMIF($N$1:$CK$1,DS$1,$N88:$CK88)</f>
        <v/>
      </c>
    </row>
    <row r="89">
      <c r="A89" s="43" t="inlineStr">
        <is>
          <t>Operating margin</t>
        </is>
      </c>
      <c r="B89" s="142" t="n"/>
      <c r="C89" s="142" t="n"/>
      <c r="D89" s="142" t="n"/>
      <c r="E89" s="142" t="n"/>
      <c r="F89" s="142" t="n"/>
      <c r="G89" s="142" t="n"/>
      <c r="H89" s="142" t="n"/>
      <c r="I89" s="142" t="n"/>
      <c r="J89" s="142" t="n"/>
      <c r="K89" s="142" t="n"/>
      <c r="L89" s="142" t="n"/>
      <c r="M89" s="142" t="n"/>
      <c r="N89" s="908">
        <f>N88/N20</f>
        <v/>
      </c>
      <c r="O89" s="908">
        <f>O88/O20</f>
        <v/>
      </c>
      <c r="P89" s="908">
        <f>P88/P20</f>
        <v/>
      </c>
      <c r="Q89" s="908">
        <f>Q88/Q20</f>
        <v/>
      </c>
      <c r="R89" s="908">
        <f>R88/R20</f>
        <v/>
      </c>
      <c r="S89" s="908">
        <f>S88/S20</f>
        <v/>
      </c>
      <c r="T89" s="908">
        <f>T88/T20</f>
        <v/>
      </c>
      <c r="U89" s="908">
        <f>U88/U20</f>
        <v/>
      </c>
      <c r="V89" s="908">
        <f>V88/V20</f>
        <v/>
      </c>
      <c r="W89" s="908">
        <f>W88/W20</f>
        <v/>
      </c>
      <c r="X89" s="908">
        <f>X88/X20</f>
        <v/>
      </c>
      <c r="Y89" s="908">
        <f>Y88/Y20</f>
        <v/>
      </c>
      <c r="Z89" s="908">
        <f>Z88/Z20</f>
        <v/>
      </c>
      <c r="AA89" s="908">
        <f>AA88/AA20</f>
        <v/>
      </c>
      <c r="AB89" s="908">
        <f>AB88/AB20</f>
        <v/>
      </c>
      <c r="AC89" s="908">
        <f>AC88/AC20</f>
        <v/>
      </c>
      <c r="AD89" s="908">
        <f>AD88/AD20</f>
        <v/>
      </c>
      <c r="AE89" s="908">
        <f>AE88/AE20</f>
        <v/>
      </c>
      <c r="AF89" s="908">
        <f>AF88/AF20</f>
        <v/>
      </c>
      <c r="AG89" s="908">
        <f>AG88/AG20</f>
        <v/>
      </c>
      <c r="AH89" s="908">
        <f>AH88/AH20</f>
        <v/>
      </c>
      <c r="AI89" s="908">
        <f>AI88/AI20</f>
        <v/>
      </c>
      <c r="AJ89" s="908">
        <f>AJ88/AJ20</f>
        <v/>
      </c>
      <c r="AK89" s="908">
        <f>AK88/AK20</f>
        <v/>
      </c>
      <c r="AL89" s="908">
        <f>AL88/AL20</f>
        <v/>
      </c>
      <c r="AM89" s="908">
        <f>AM88/AM20</f>
        <v/>
      </c>
      <c r="AN89" s="908">
        <f>AN88/AN20</f>
        <v/>
      </c>
      <c r="AO89" s="908">
        <f>AO88/AO20</f>
        <v/>
      </c>
      <c r="AP89" s="908">
        <f>AP88/AP20</f>
        <v/>
      </c>
      <c r="AQ89" s="908">
        <f>AQ88/AQ20</f>
        <v/>
      </c>
      <c r="AR89" s="908">
        <f>AR88/AR20</f>
        <v/>
      </c>
      <c r="AS89" s="908">
        <f>AS88/AS20</f>
        <v/>
      </c>
      <c r="AT89" s="908">
        <f>AT88/AT20</f>
        <v/>
      </c>
      <c r="AU89" s="908">
        <f>AU88/AU20</f>
        <v/>
      </c>
      <c r="AV89" s="908">
        <f>AV88/AV20</f>
        <v/>
      </c>
      <c r="AW89" s="908">
        <f>AW88/AW20</f>
        <v/>
      </c>
      <c r="AX89" s="908">
        <f>AX88/AX20</f>
        <v/>
      </c>
      <c r="AY89" s="908">
        <f>AY88/AY20</f>
        <v/>
      </c>
      <c r="AZ89" s="908">
        <f>AZ88/AZ20</f>
        <v/>
      </c>
      <c r="BA89" s="908">
        <f>BA88/BA20</f>
        <v/>
      </c>
      <c r="BB89" s="908">
        <f>BB88/BB20</f>
        <v/>
      </c>
      <c r="BC89" s="908">
        <f>BC88/BC20</f>
        <v/>
      </c>
      <c r="BD89" s="908">
        <f>BD88/BD20</f>
        <v/>
      </c>
      <c r="BE89" s="908">
        <f>BE88/BE20</f>
        <v/>
      </c>
      <c r="BF89" s="908">
        <f>BF88/BF20</f>
        <v/>
      </c>
      <c r="BG89" s="908">
        <f>BG88/BG20</f>
        <v/>
      </c>
      <c r="BH89" s="908">
        <f>BH88/BH20</f>
        <v/>
      </c>
      <c r="BI89" s="908">
        <f>BI88/BI20</f>
        <v/>
      </c>
      <c r="BJ89" s="908">
        <f>BJ88/BJ20</f>
        <v/>
      </c>
      <c r="BK89" s="908">
        <f>BK88/BK20</f>
        <v/>
      </c>
      <c r="BL89" s="908">
        <f>BL88/BL20</f>
        <v/>
      </c>
      <c r="BM89" s="908">
        <f>BM88/BM20</f>
        <v/>
      </c>
      <c r="BN89" s="908">
        <f>BN88/BN20</f>
        <v/>
      </c>
      <c r="BO89" s="908">
        <f>BO88/BO20</f>
        <v/>
      </c>
      <c r="BP89" s="908">
        <f>BP88/BP20</f>
        <v/>
      </c>
      <c r="BQ89" s="908">
        <f>BQ88/BQ20</f>
        <v/>
      </c>
      <c r="BR89" s="908">
        <f>BR88/BR20</f>
        <v/>
      </c>
      <c r="BS89" s="908">
        <f>BS88/BS20</f>
        <v/>
      </c>
      <c r="BT89" s="908">
        <f>BT88/BT20</f>
        <v/>
      </c>
      <c r="BU89" s="908">
        <f>BU88/BU20</f>
        <v/>
      </c>
      <c r="BV89" s="908">
        <f>BV88/BV20</f>
        <v/>
      </c>
      <c r="BW89" s="908">
        <f>BW88/BW20</f>
        <v/>
      </c>
      <c r="BX89" s="908">
        <f>BX88/BX20</f>
        <v/>
      </c>
      <c r="BY89" s="908">
        <f>BY88/BY20</f>
        <v/>
      </c>
      <c r="BZ89" s="908">
        <f>BZ88/BZ20</f>
        <v/>
      </c>
      <c r="CA89" s="908">
        <f>CA88/CA20</f>
        <v/>
      </c>
      <c r="CB89" s="908">
        <f>CB88/CB20</f>
        <v/>
      </c>
      <c r="CC89" s="908">
        <f>CC88/CC20</f>
        <v/>
      </c>
      <c r="CD89" s="908">
        <f>CD88/CD20</f>
        <v/>
      </c>
      <c r="CE89" s="908">
        <f>CE88/CE20</f>
        <v/>
      </c>
      <c r="CF89" s="908">
        <f>CF88/CF20</f>
        <v/>
      </c>
      <c r="CG89" s="908">
        <f>CG88/CG20</f>
        <v/>
      </c>
      <c r="CH89" s="908">
        <f>CH88/CH20</f>
        <v/>
      </c>
      <c r="CI89" s="908">
        <f>CI88/CI20</f>
        <v/>
      </c>
      <c r="CJ89" s="908">
        <f>CJ88/CJ20</f>
        <v/>
      </c>
      <c r="CK89" s="908">
        <f>CK88/CK20</f>
        <v/>
      </c>
      <c r="DA89" s="912">
        <f>DA88/DA$20</f>
        <v/>
      </c>
      <c r="DB89" s="912">
        <f>DB88/DB$20</f>
        <v/>
      </c>
      <c r="DC89" s="912">
        <f>DC88/DC$20</f>
        <v/>
      </c>
      <c r="DD89" s="912">
        <f>DD88/DD$20</f>
        <v/>
      </c>
      <c r="DE89" s="912">
        <f>DE88/DE$20</f>
        <v/>
      </c>
      <c r="DF89" s="912">
        <f>DF88/DF$20</f>
        <v/>
      </c>
      <c r="DG89" s="912">
        <f>DG88/DG$20</f>
        <v/>
      </c>
      <c r="DH89" s="912">
        <f>DH88/DH$20</f>
        <v/>
      </c>
      <c r="DI89" s="912">
        <f>DI88/DI$20</f>
        <v/>
      </c>
      <c r="DJ89" s="912">
        <f>DJ88/DJ$20</f>
        <v/>
      </c>
      <c r="DK89" s="912">
        <f>DK88/DK$20</f>
        <v/>
      </c>
      <c r="DL89" s="912">
        <f>DL88/DL$20</f>
        <v/>
      </c>
      <c r="DM89" s="912">
        <f>DM88/DM$20</f>
        <v/>
      </c>
      <c r="DN89" s="912">
        <f>DN88/DN$20</f>
        <v/>
      </c>
      <c r="DO89" s="912">
        <f>DO88/DO$20</f>
        <v/>
      </c>
      <c r="DP89" s="912">
        <f>DP88/DP$20</f>
        <v/>
      </c>
      <c r="DQ89" s="912">
        <f>DQ88/DQ$20</f>
        <v/>
      </c>
      <c r="DR89" s="912">
        <f>DR88/DR$20</f>
        <v/>
      </c>
      <c r="DS89" s="912">
        <f>DS88/DS$20</f>
        <v/>
      </c>
    </row>
    <row r="90">
      <c r="A90" s="43" t="n"/>
      <c r="B90" s="914" t="n"/>
      <c r="C90" s="914" t="n"/>
      <c r="D90" s="914" t="n"/>
      <c r="E90" s="914" t="n"/>
      <c r="F90" s="914" t="n"/>
      <c r="G90" s="914" t="n"/>
      <c r="H90" s="914" t="n"/>
      <c r="I90" s="914" t="n"/>
      <c r="J90" s="914" t="n"/>
      <c r="K90" s="914" t="n"/>
      <c r="L90" s="914" t="n"/>
      <c r="M90" s="914" t="n"/>
      <c r="BQ90" s="517" t="n"/>
      <c r="BR90" s="517" t="n"/>
      <c r="DI90" s="912" t="n"/>
    </row>
    <row r="91">
      <c r="A91" s="77" t="inlineStr">
        <is>
          <t>Non-operating Income and Expense</t>
        </is>
      </c>
      <c r="B91" s="31" t="n"/>
      <c r="C91" s="31" t="n"/>
      <c r="D91" s="31" t="n"/>
      <c r="E91" s="31" t="n"/>
      <c r="F91" s="31" t="n"/>
      <c r="G91" s="31" t="n"/>
      <c r="AT91" s="905" t="n"/>
      <c r="BK91" s="517" t="n"/>
      <c r="BL91" s="517" t="n"/>
      <c r="BM91" s="517" t="n"/>
      <c r="BN91" s="517" t="n"/>
    </row>
    <row r="92">
      <c r="A92" s="77" t="n"/>
      <c r="B92" s="31" t="n"/>
      <c r="C92" s="31" t="n"/>
      <c r="D92" s="31" t="n"/>
      <c r="E92" s="31" t="n"/>
      <c r="F92" s="31" t="n"/>
      <c r="G92" s="31" t="n"/>
    </row>
    <row r="93" customFormat="1" s="442">
      <c r="A93" s="520">
        <f>FS_Q!A20</f>
        <v/>
      </c>
      <c r="B93" s="495" t="n"/>
      <c r="C93" s="495" t="n"/>
      <c r="D93" s="495" t="n"/>
      <c r="E93" s="495" t="n"/>
      <c r="F93" s="495" t="n"/>
      <c r="G93" s="495" t="n"/>
      <c r="H93" s="495" t="n"/>
      <c r="I93" s="495" t="n"/>
      <c r="J93" s="495" t="n"/>
      <c r="K93" s="495" t="n"/>
      <c r="L93" s="495" t="n"/>
      <c r="M93" s="495" t="n"/>
      <c r="N93" s="516">
        <f>FS_Q!N20</f>
        <v/>
      </c>
      <c r="O93" s="516">
        <f>FS_Q!O20</f>
        <v/>
      </c>
      <c r="P93" s="516">
        <f>FS_Q!P20</f>
        <v/>
      </c>
      <c r="Q93" s="516">
        <f>FS_Q!Q20</f>
        <v/>
      </c>
      <c r="R93" s="516">
        <f>FS_Q!R20</f>
        <v/>
      </c>
      <c r="S93" s="516">
        <f>FS_Q!S20</f>
        <v/>
      </c>
      <c r="T93" s="516">
        <f>FS_Q!T20</f>
        <v/>
      </c>
      <c r="U93" s="516">
        <f>FS_Q!U20</f>
        <v/>
      </c>
      <c r="V93" s="516">
        <f>FS_Q!V20</f>
        <v/>
      </c>
      <c r="W93" s="516">
        <f>FS_Q!W20</f>
        <v/>
      </c>
      <c r="X93" s="516">
        <f>FS_Q!X20</f>
        <v/>
      </c>
      <c r="Y93" s="516">
        <f>FS_Q!Y20</f>
        <v/>
      </c>
      <c r="Z93" s="516">
        <f>FS_Q!Z20</f>
        <v/>
      </c>
      <c r="AA93" s="516">
        <f>FS_Q!AA20</f>
        <v/>
      </c>
      <c r="AB93" s="516">
        <f>FS_Q!AB20</f>
        <v/>
      </c>
      <c r="AC93" s="516">
        <f>FS_Q!AC20</f>
        <v/>
      </c>
      <c r="AD93" s="516">
        <f>FS_Q!AD20</f>
        <v/>
      </c>
      <c r="AE93" s="516">
        <f>FS_Q!AE20</f>
        <v/>
      </c>
      <c r="AF93" s="516">
        <f>FS_Q!AF20</f>
        <v/>
      </c>
      <c r="AG93" s="516">
        <f>FS_Q!AG20</f>
        <v/>
      </c>
      <c r="AH93" s="516">
        <f>FS_Q!AH20</f>
        <v/>
      </c>
      <c r="AI93" s="516">
        <f>FS_Q!AI20</f>
        <v/>
      </c>
      <c r="AJ93" s="516">
        <f>FS_Q!AJ20</f>
        <v/>
      </c>
      <c r="AK93" s="516">
        <f>FS_Q!AK20</f>
        <v/>
      </c>
      <c r="AL93" s="516">
        <f>FS_Q!AL20</f>
        <v/>
      </c>
      <c r="AM93" s="516">
        <f>FS_Q!AM20</f>
        <v/>
      </c>
      <c r="AN93" s="516">
        <f>FS_Q!AN20</f>
        <v/>
      </c>
      <c r="AO93" s="516">
        <f>FS_Q!AO20</f>
        <v/>
      </c>
      <c r="AP93" s="516">
        <f>FS_Q!AP20</f>
        <v/>
      </c>
      <c r="AQ93" s="516">
        <f>FS_Q!AQ20</f>
        <v/>
      </c>
      <c r="AR93" s="516">
        <f>FS_Q!AR20</f>
        <v/>
      </c>
      <c r="AS93" s="516">
        <f>FS_Q!AS20</f>
        <v/>
      </c>
      <c r="AT93" s="516">
        <f>FS_Q!AT20</f>
        <v/>
      </c>
      <c r="AU93" s="516">
        <f>FS_Q!AU20</f>
        <v/>
      </c>
      <c r="AV93" s="516">
        <f>FS_Q!AV20</f>
        <v/>
      </c>
      <c r="AW93" s="516">
        <f>FS_Q!AW20</f>
        <v/>
      </c>
      <c r="AX93" s="516">
        <f>FS_Q!AX20</f>
        <v/>
      </c>
      <c r="AY93" s="516">
        <f>FS_Q!AY20</f>
        <v/>
      </c>
      <c r="AZ93" s="516">
        <f>FS_Q!AZ20</f>
        <v/>
      </c>
      <c r="BA93" s="516">
        <f>FS_Q!BA20</f>
        <v/>
      </c>
      <c r="BB93" s="516">
        <f>FS_Q!BB20</f>
        <v/>
      </c>
      <c r="BC93" s="516">
        <f>FS_Q!BC20</f>
        <v/>
      </c>
      <c r="BD93" s="516">
        <f>FS_Q!BD20</f>
        <v/>
      </c>
      <c r="BE93" s="516">
        <f>FS_Q!BE20</f>
        <v/>
      </c>
      <c r="BF93" s="516">
        <f>FS_Q!BF20</f>
        <v/>
      </c>
      <c r="BG93" s="516">
        <f>FS_Q!BG20</f>
        <v/>
      </c>
      <c r="BH93" s="516">
        <f>FS_Q!BH20</f>
        <v/>
      </c>
      <c r="BI93" s="516">
        <f>FS_Q!BI20</f>
        <v/>
      </c>
      <c r="BJ93" s="516">
        <f>FS_Q!BJ20</f>
        <v/>
      </c>
      <c r="BK93" s="516">
        <f>FS_Q!BK20</f>
        <v/>
      </c>
      <c r="BL93" s="516">
        <f>FS_Q!BL20</f>
        <v/>
      </c>
      <c r="BM93" s="516">
        <f>FS_Q!BM20</f>
        <v/>
      </c>
      <c r="BN93" s="516">
        <f>FS_Q!BN20</f>
        <v/>
      </c>
      <c r="BO93" s="516">
        <f>FS_Q!BO20</f>
        <v/>
      </c>
      <c r="BP93" s="516">
        <f>FS_Q!BP20</f>
        <v/>
      </c>
      <c r="BQ93" s="516">
        <f>FS_Q!BQ20</f>
        <v/>
      </c>
      <c r="BR93" s="516">
        <f>FS_Q!BR20</f>
        <v/>
      </c>
      <c r="BS93" s="517">
        <f>(FS_Q!BR44-Assumption!BR205)*Assumption!BS94</f>
        <v/>
      </c>
      <c r="BT93" s="517">
        <f>(FS_Q!BS44-Assumption!BS205)*Assumption!BT94</f>
        <v/>
      </c>
      <c r="BU93" s="517">
        <f>(FS_Q!BT44-Assumption!BT205)*Assumption!BU94</f>
        <v/>
      </c>
      <c r="BV93" s="517">
        <f>(FS_Q!BU44-Assumption!BU205)*Assumption!BV94</f>
        <v/>
      </c>
      <c r="BW93" s="517">
        <f>(FS_Q!BV44-Assumption!BV205)*Assumption!BW94</f>
        <v/>
      </c>
      <c r="BX93" s="517">
        <f>(FS_Q!BW44-Assumption!BW205)*Assumption!BX94</f>
        <v/>
      </c>
      <c r="BY93" s="517">
        <f>(FS_Q!BX44-Assumption!BX205)*Assumption!BY94</f>
        <v/>
      </c>
      <c r="BZ93" s="517">
        <f>(FS_Q!BY44-Assumption!BY205)*Assumption!BZ94</f>
        <v/>
      </c>
      <c r="CA93" s="517">
        <f>(FS_Q!BZ44-Assumption!BZ205)*Assumption!CA94</f>
        <v/>
      </c>
      <c r="CB93" s="517">
        <f>(FS_Q!CA44-Assumption!CA205)*Assumption!CB94</f>
        <v/>
      </c>
      <c r="CC93" s="517">
        <f>(FS_Q!CB44-Assumption!CB205)*Assumption!CC94</f>
        <v/>
      </c>
      <c r="CD93" s="517">
        <f>(FS_Q!CC44-Assumption!CC205)*Assumption!CD94</f>
        <v/>
      </c>
      <c r="CE93" s="517">
        <f>(FS_Q!CD44-Assumption!CD205)*Assumption!CE94</f>
        <v/>
      </c>
      <c r="CF93" s="517">
        <f>(FS_Q!CE44-Assumption!CE205)*Assumption!CF94</f>
        <v/>
      </c>
      <c r="CG93" s="517">
        <f>(FS_Q!CF44-Assumption!CF205)*Assumption!CG94</f>
        <v/>
      </c>
      <c r="CH93" s="517">
        <f>(FS_Q!CG44-Assumption!CG205)*Assumption!CH94</f>
        <v/>
      </c>
      <c r="CI93" s="517">
        <f>(FS_Q!CH44-Assumption!CH205)*Assumption!CI94</f>
        <v/>
      </c>
      <c r="CJ93" s="517">
        <f>(FS_Q!CI44-Assumption!CI205)*Assumption!CJ94</f>
        <v/>
      </c>
      <c r="CK93" s="517">
        <f>(FS_Q!CJ44-Assumption!CJ205)*Assumption!CK94</f>
        <v/>
      </c>
      <c r="DA93" s="517">
        <f>SUMIF($N$1:$CG$1,DA$1,$N93:$CG93)</f>
        <v/>
      </c>
      <c r="DB93" s="517">
        <f>SUMIF($N$1:$CG$1,DB$1,$N93:$CG93)</f>
        <v/>
      </c>
      <c r="DC93" s="517">
        <f>SUMIF($N$1:$CG$1,DC$1,$N93:$CG93)</f>
        <v/>
      </c>
      <c r="DD93" s="517">
        <f>SUMIF($N$1:$CG$1,DD$1,$N93:$CG93)</f>
        <v/>
      </c>
      <c r="DE93" s="517">
        <f>SUMIF($N$1:$CG$1,DE$1,$N93:$CG93)</f>
        <v/>
      </c>
      <c r="DF93" s="517">
        <f>SUMIF($N$1:$CG$1,DF$1,$N93:$CG93)</f>
        <v/>
      </c>
      <c r="DG93" s="517">
        <f>SUMIF($N$1:$CG$1,DG$1,$N93:$CG93)</f>
        <v/>
      </c>
      <c r="DH93" s="517">
        <f>SUMIF($N$1:$CG$1,DH$1,$N93:$CG93)</f>
        <v/>
      </c>
      <c r="DI93" s="517">
        <f>SUMIF($N$1:$CG$1,DI$1,$N93:$CG93)</f>
        <v/>
      </c>
      <c r="DJ93" s="517">
        <f>SUMIF($N$1:$CG$1,DJ$1,$N93:$CG93)</f>
        <v/>
      </c>
      <c r="DK93" s="517">
        <f>SUMIF($N$1:$CG$1,DK$1,$N93:$CG93)</f>
        <v/>
      </c>
      <c r="DL93" s="517">
        <f>SUMIF($N$1:$CG$1,DL$1,$N93:$CG93)</f>
        <v/>
      </c>
      <c r="DM93" s="517">
        <f>SUMIF($N$1:$CG$1,DM$1,$N93:$CG93)</f>
        <v/>
      </c>
      <c r="DN93" s="517">
        <f>SUMIF($N$1:$CG$1,DN$1,$N93:$CG93)</f>
        <v/>
      </c>
      <c r="DO93" s="517">
        <f>SUMIF($N$1:$CG$1,DO$1,$N93:$CG93)</f>
        <v/>
      </c>
      <c r="DP93" s="517">
        <f>SUMIF($N$1:$CG$1,DP$1,$N93:$CG93)</f>
        <v/>
      </c>
      <c r="DQ93" s="517">
        <f>SUMIF($N$1:$CG$1,DQ$1,$N93:$CG93)</f>
        <v/>
      </c>
      <c r="DR93" s="517">
        <f>SUMIF($N$1:$CG$1,DR$1,$N93:$CG93)</f>
        <v/>
      </c>
      <c r="DS93" s="517">
        <f>SUMIF($N$1:$CK$1,DS$1,$N93:$CK93)</f>
        <v/>
      </c>
    </row>
    <row r="94">
      <c r="A94" s="191" t="inlineStr">
        <is>
          <t>as % of debt</t>
        </is>
      </c>
      <c r="B94" s="916" t="n"/>
      <c r="C94" s="916" t="n"/>
      <c r="D94" s="916" t="n"/>
      <c r="E94" s="916" t="n"/>
      <c r="F94" s="916" t="n"/>
      <c r="G94" s="916" t="n"/>
      <c r="H94" s="916" t="n"/>
      <c r="I94" s="916" t="n"/>
      <c r="J94" s="916" t="n"/>
      <c r="K94" s="916" t="n"/>
      <c r="L94" s="916" t="n"/>
      <c r="M94" s="916" t="n"/>
      <c r="N94" s="908" t="n"/>
      <c r="O94" s="908">
        <f>O93/(FS_Q!N44-N205)</f>
        <v/>
      </c>
      <c r="P94" s="908">
        <f>P93/(FS_Q!O44-O205)</f>
        <v/>
      </c>
      <c r="Q94" s="908">
        <f>Q93/(FS_Q!P44-P205)</f>
        <v/>
      </c>
      <c r="R94" s="908">
        <f>R93/(FS_Q!Q44-Q205)</f>
        <v/>
      </c>
      <c r="S94" s="908">
        <f>S93/(FS_Q!R44-R205)</f>
        <v/>
      </c>
      <c r="T94" s="908">
        <f>T93/(FS_Q!S44-S205)</f>
        <v/>
      </c>
      <c r="U94" s="908">
        <f>U93/(FS_Q!T44-T205)</f>
        <v/>
      </c>
      <c r="V94" s="908">
        <f>V93/(FS_Q!U44-U205)</f>
        <v/>
      </c>
      <c r="W94" s="908">
        <f>W93/(FS_Q!V44-V205)</f>
        <v/>
      </c>
      <c r="X94" s="908">
        <f>X93/(FS_Q!W44-W205)</f>
        <v/>
      </c>
      <c r="Y94" s="908">
        <f>Y93/(FS_Q!X44-X205)</f>
        <v/>
      </c>
      <c r="Z94" s="908">
        <f>Z93/(FS_Q!Y44-Y205)</f>
        <v/>
      </c>
      <c r="AA94" s="908">
        <f>AA93/(FS_Q!Z44-Z205)</f>
        <v/>
      </c>
      <c r="AB94" s="908">
        <f>AB93/(FS_Q!AA44-AA205)</f>
        <v/>
      </c>
      <c r="AC94" s="908">
        <f>AC93/(FS_Q!AB44-AB205)</f>
        <v/>
      </c>
      <c r="AD94" s="908">
        <f>AD93/(FS_Q!AC44-AC205)</f>
        <v/>
      </c>
      <c r="AE94" s="908">
        <f>AE93/(FS_Q!AD44-AD205)</f>
        <v/>
      </c>
      <c r="AF94" s="908">
        <f>AF93/(FS_Q!AE44-AE205)</f>
        <v/>
      </c>
      <c r="AG94" s="908">
        <f>AG93/(FS_Q!AF44-AF205)</f>
        <v/>
      </c>
      <c r="AH94" s="908">
        <f>AH93/(FS_Q!AG44-AG205)</f>
        <v/>
      </c>
      <c r="AI94" s="908">
        <f>AI93/(FS_Q!AH44-AH205)</f>
        <v/>
      </c>
      <c r="AJ94" s="908">
        <f>AJ93/(FS_Q!AI44-AI205)</f>
        <v/>
      </c>
      <c r="AK94" s="908">
        <f>AK93/(FS_Q!AJ44-AJ205)</f>
        <v/>
      </c>
      <c r="AL94" s="908">
        <f>AL93/(FS_Q!AK44-AK205)</f>
        <v/>
      </c>
      <c r="AM94" s="908">
        <f>AM93/(FS_Q!AL44-AL205)</f>
        <v/>
      </c>
      <c r="AN94" s="908">
        <f>AN93/(FS_Q!AM44-AM205)</f>
        <v/>
      </c>
      <c r="AO94" s="908">
        <f>AO93/(FS_Q!AN44-AN205)</f>
        <v/>
      </c>
      <c r="AP94" s="908">
        <f>AP93/(FS_Q!AO44-AO205)</f>
        <v/>
      </c>
      <c r="AQ94" s="908">
        <f>AQ93/(FS_Q!AP44-AP205)</f>
        <v/>
      </c>
      <c r="AR94" s="908">
        <f>AR93/(FS_Q!AQ44-AQ205)</f>
        <v/>
      </c>
      <c r="AS94" s="908">
        <f>AS93/(FS_Q!AR44-AR205)</f>
        <v/>
      </c>
      <c r="AT94" s="908">
        <f>AT93/(FS_Q!AS44-AS205)</f>
        <v/>
      </c>
      <c r="AU94" s="908">
        <f>AU93/(FS_Q!AT44-AT205)</f>
        <v/>
      </c>
      <c r="AV94" s="908">
        <f>AV93/(FS_Q!AU44-AU205)</f>
        <v/>
      </c>
      <c r="AW94" s="908">
        <f>AW93/(FS_Q!AV44-AV205)</f>
        <v/>
      </c>
      <c r="AX94" s="908">
        <f>AX93/(FS_Q!AW44-AW205)</f>
        <v/>
      </c>
      <c r="AY94" s="908">
        <f>AY93/(FS_Q!AX44-AX205)</f>
        <v/>
      </c>
      <c r="AZ94" s="908">
        <f>AZ93/(FS_Q!AY44-AY205)</f>
        <v/>
      </c>
      <c r="BA94" s="908">
        <f>BA93/(FS_Q!AZ44-AZ205)</f>
        <v/>
      </c>
      <c r="BB94" s="908">
        <f>BB93/(FS_Q!BA44-BA205)</f>
        <v/>
      </c>
      <c r="BC94" s="908">
        <f>BC93/(FS_Q!BB44-BB205)</f>
        <v/>
      </c>
      <c r="BD94" s="908">
        <f>BD93/(FS_Q!BC44-BC205)</f>
        <v/>
      </c>
      <c r="BE94" s="908">
        <f>BE93/(FS_Q!BD44-BD205)</f>
        <v/>
      </c>
      <c r="BF94" s="908">
        <f>BF93/(FS_Q!BE44-BE205)</f>
        <v/>
      </c>
      <c r="BG94" s="908">
        <f>BG93/(FS_Q!BF44-BF205)</f>
        <v/>
      </c>
      <c r="BH94" s="908">
        <f>BH93/(FS_Q!BG44-BG205)</f>
        <v/>
      </c>
      <c r="BI94" s="908">
        <f>BI93/(FS_Q!BH44-BH205)</f>
        <v/>
      </c>
      <c r="BJ94" s="908">
        <f>BJ93/(FS_Q!BI44-BI205)</f>
        <v/>
      </c>
      <c r="BK94" s="908">
        <f>BK93/(FS_Q!BJ44-BJ205)</f>
        <v/>
      </c>
      <c r="BL94" s="908">
        <f>BL93/(FS_Q!BK44-BK205)</f>
        <v/>
      </c>
      <c r="BM94" s="908">
        <f>BM93/(FS_Q!BL44-BL205)</f>
        <v/>
      </c>
      <c r="BN94" s="908">
        <f>BN93/(FS_Q!BM44-BM205)</f>
        <v/>
      </c>
      <c r="BO94" s="908">
        <f>BO93/(FS_Q!BN44-BN205)</f>
        <v/>
      </c>
      <c r="BP94" s="908">
        <f>BP93/(FS_Q!BO44-BO205)</f>
        <v/>
      </c>
      <c r="BQ94" s="908">
        <f>BQ93/(FS_Q!BP44-BP205)</f>
        <v/>
      </c>
      <c r="BR94" s="908">
        <f>BR93/(FS_Q!BQ44-BQ205)</f>
        <v/>
      </c>
      <c r="BS94" s="909" t="n">
        <v>0.01</v>
      </c>
      <c r="BT94" s="909" t="n">
        <v>0.01</v>
      </c>
      <c r="BU94" s="909" t="n">
        <v>0.01</v>
      </c>
      <c r="BV94" s="909" t="n">
        <v>0.01</v>
      </c>
      <c r="BW94" s="909" t="n">
        <v>0.01</v>
      </c>
      <c r="BX94" s="909" t="n">
        <v>0.01</v>
      </c>
      <c r="BY94" s="909" t="n">
        <v>0.01</v>
      </c>
      <c r="BZ94" s="909" t="n">
        <v>0.01</v>
      </c>
      <c r="CA94" s="909" t="n">
        <v>0.01</v>
      </c>
      <c r="CB94" s="909" t="n">
        <v>0.01</v>
      </c>
      <c r="CC94" s="909" t="n">
        <v>0.01</v>
      </c>
      <c r="CD94" s="909" t="n">
        <v>0.01</v>
      </c>
      <c r="CE94" s="909" t="n">
        <v>0.01</v>
      </c>
      <c r="CF94" s="909" t="n">
        <v>0.01</v>
      </c>
      <c r="CG94" s="909" t="n">
        <v>0.01</v>
      </c>
      <c r="CH94" s="909" t="n">
        <v>0.01</v>
      </c>
      <c r="CI94" s="909" t="n">
        <v>0.01</v>
      </c>
      <c r="CJ94" s="909" t="n">
        <v>0.01</v>
      </c>
      <c r="CK94" s="909" t="n">
        <v>0.01</v>
      </c>
      <c r="DA94" s="912">
        <f>-DA93/DA$205</f>
        <v/>
      </c>
      <c r="DB94" s="912">
        <f>-DB93/DB$205</f>
        <v/>
      </c>
      <c r="DC94" s="912">
        <f>-DC93/DC$205</f>
        <v/>
      </c>
      <c r="DD94" s="912">
        <f>-DD93/DD$205</f>
        <v/>
      </c>
      <c r="DE94" s="912">
        <f>-DE93/DE$205</f>
        <v/>
      </c>
      <c r="DF94" s="912">
        <f>-DF93/DF$205</f>
        <v/>
      </c>
      <c r="DG94" s="912">
        <f>-DG93/DG$205</f>
        <v/>
      </c>
      <c r="DH94" s="912">
        <f>-DH93/DH$205</f>
        <v/>
      </c>
      <c r="DI94" s="912">
        <f>-DI93/DI$205</f>
        <v/>
      </c>
      <c r="DJ94" s="912">
        <f>-DJ93/DJ$205</f>
        <v/>
      </c>
      <c r="DK94" s="912">
        <f>-DK93/DK$205</f>
        <v/>
      </c>
      <c r="DL94" s="912">
        <f>-DL93/DL$205</f>
        <v/>
      </c>
      <c r="DM94" s="912">
        <f>-DM93/DM$205</f>
        <v/>
      </c>
      <c r="DN94" s="912">
        <f>-DN93/DN$205</f>
        <v/>
      </c>
      <c r="DO94" s="912">
        <f>-DO93/DO$205</f>
        <v/>
      </c>
      <c r="DP94" s="912">
        <f>-DP93/DP$205</f>
        <v/>
      </c>
      <c r="DQ94" s="912">
        <f>-DQ93/DQ$205</f>
        <v/>
      </c>
      <c r="DR94" s="912">
        <f>-DR93/DR$205</f>
        <v/>
      </c>
      <c r="DS94" s="912">
        <f>-DS93/DS$205</f>
        <v/>
      </c>
    </row>
    <row r="95">
      <c r="A95" s="191" t="n"/>
      <c r="B95" s="916" t="n"/>
      <c r="C95" s="916" t="n"/>
      <c r="D95" s="916" t="n"/>
      <c r="E95" s="916" t="n"/>
      <c r="F95" s="916" t="n"/>
      <c r="G95" s="916" t="n"/>
      <c r="H95" s="916" t="n"/>
      <c r="I95" s="916" t="n"/>
      <c r="J95" s="916" t="n"/>
      <c r="K95" s="916" t="n"/>
      <c r="L95" s="916" t="n"/>
      <c r="M95" s="916" t="n"/>
    </row>
    <row r="96" customFormat="1" s="442">
      <c r="A96" s="520">
        <f>FS_Q!A21</f>
        <v/>
      </c>
      <c r="B96" s="496" t="n"/>
      <c r="C96" s="496" t="n"/>
      <c r="D96" s="496" t="n"/>
      <c r="E96" s="496" t="n"/>
      <c r="F96" s="496" t="n"/>
      <c r="G96" s="496" t="n"/>
      <c r="H96" s="496" t="n"/>
      <c r="I96" s="496" t="n"/>
      <c r="J96" s="496" t="n"/>
      <c r="K96" s="496" t="n"/>
      <c r="L96" s="496" t="n"/>
      <c r="M96" s="496" t="n"/>
      <c r="N96" s="516">
        <f>FS_Q!N21</f>
        <v/>
      </c>
      <c r="O96" s="516">
        <f>FS_Q!O21</f>
        <v/>
      </c>
      <c r="P96" s="516">
        <f>FS_Q!P21</f>
        <v/>
      </c>
      <c r="Q96" s="516">
        <f>FS_Q!Q21</f>
        <v/>
      </c>
      <c r="R96" s="516">
        <f>FS_Q!R21</f>
        <v/>
      </c>
      <c r="S96" s="516">
        <f>FS_Q!S21</f>
        <v/>
      </c>
      <c r="T96" s="516">
        <f>FS_Q!T21</f>
        <v/>
      </c>
      <c r="U96" s="516">
        <f>FS_Q!U21</f>
        <v/>
      </c>
      <c r="V96" s="516">
        <f>FS_Q!V21</f>
        <v/>
      </c>
      <c r="W96" s="516">
        <f>FS_Q!W21</f>
        <v/>
      </c>
      <c r="X96" s="516">
        <f>FS_Q!X21</f>
        <v/>
      </c>
      <c r="Y96" s="516">
        <f>FS_Q!Y21</f>
        <v/>
      </c>
      <c r="Z96" s="516">
        <f>FS_Q!Z21</f>
        <v/>
      </c>
      <c r="AA96" s="516">
        <f>FS_Q!AA21</f>
        <v/>
      </c>
      <c r="AB96" s="516">
        <f>FS_Q!AB21</f>
        <v/>
      </c>
      <c r="AC96" s="516">
        <f>FS_Q!AC21</f>
        <v/>
      </c>
      <c r="AD96" s="516">
        <f>FS_Q!AD21</f>
        <v/>
      </c>
      <c r="AE96" s="516">
        <f>FS_Q!AE21</f>
        <v/>
      </c>
      <c r="AF96" s="516">
        <f>FS_Q!AF21</f>
        <v/>
      </c>
      <c r="AG96" s="516">
        <f>FS_Q!AG21</f>
        <v/>
      </c>
      <c r="AH96" s="516">
        <f>FS_Q!AH21</f>
        <v/>
      </c>
      <c r="AI96" s="516">
        <f>FS_Q!AI21</f>
        <v/>
      </c>
      <c r="AJ96" s="516">
        <f>FS_Q!AJ21</f>
        <v/>
      </c>
      <c r="AK96" s="516">
        <f>FS_Q!AK21</f>
        <v/>
      </c>
      <c r="AL96" s="516">
        <f>FS_Q!AL21</f>
        <v/>
      </c>
      <c r="AM96" s="516">
        <f>FS_Q!AM21</f>
        <v/>
      </c>
      <c r="AN96" s="516">
        <f>FS_Q!AN21</f>
        <v/>
      </c>
      <c r="AO96" s="516">
        <f>FS_Q!AO21</f>
        <v/>
      </c>
      <c r="AP96" s="516">
        <f>FS_Q!AP21</f>
        <v/>
      </c>
      <c r="AQ96" s="516">
        <f>FS_Q!AQ21</f>
        <v/>
      </c>
      <c r="AR96" s="516">
        <f>FS_Q!AR21</f>
        <v/>
      </c>
      <c r="AS96" s="516">
        <f>FS_Q!AS21</f>
        <v/>
      </c>
      <c r="AT96" s="516">
        <f>FS_Q!AT21</f>
        <v/>
      </c>
      <c r="AU96" s="516">
        <f>FS_Q!AU21</f>
        <v/>
      </c>
      <c r="AV96" s="516">
        <f>FS_Q!AV21</f>
        <v/>
      </c>
      <c r="AW96" s="516">
        <f>FS_Q!AW21</f>
        <v/>
      </c>
      <c r="AX96" s="516">
        <f>FS_Q!AX21</f>
        <v/>
      </c>
      <c r="AY96" s="516">
        <f>FS_Q!AY21</f>
        <v/>
      </c>
      <c r="AZ96" s="516">
        <f>FS_Q!AZ21</f>
        <v/>
      </c>
      <c r="BA96" s="516">
        <f>FS_Q!BA21</f>
        <v/>
      </c>
      <c r="BB96" s="516">
        <f>FS_Q!BB21</f>
        <v/>
      </c>
      <c r="BC96" s="516">
        <f>FS_Q!BC21</f>
        <v/>
      </c>
      <c r="BD96" s="516">
        <f>FS_Q!BD21</f>
        <v/>
      </c>
      <c r="BE96" s="516">
        <f>FS_Q!BE21</f>
        <v/>
      </c>
      <c r="BF96" s="516">
        <f>FS_Q!BF21</f>
        <v/>
      </c>
      <c r="BG96" s="516">
        <f>FS_Q!BG21</f>
        <v/>
      </c>
      <c r="BH96" s="516">
        <f>FS_Q!BH21</f>
        <v/>
      </c>
      <c r="BI96" s="516">
        <f>FS_Q!BI21</f>
        <v/>
      </c>
      <c r="BJ96" s="516">
        <f>FS_Q!BJ21</f>
        <v/>
      </c>
      <c r="BK96" s="516">
        <f>FS_Q!BK21</f>
        <v/>
      </c>
      <c r="BL96" s="516">
        <f>FS_Q!BL21</f>
        <v/>
      </c>
      <c r="BM96" s="516">
        <f>FS_Q!BM21</f>
        <v/>
      </c>
      <c r="BN96" s="516">
        <f>FS_Q!BN21</f>
        <v/>
      </c>
      <c r="BO96" s="516">
        <f>FS_Q!BO21</f>
        <v/>
      </c>
      <c r="BP96" s="516">
        <f>FS_Q!BP21</f>
        <v/>
      </c>
      <c r="BQ96" s="516">
        <f>FS_Q!BQ21</f>
        <v/>
      </c>
      <c r="BR96" s="516">
        <f>FS_Q!BR21</f>
        <v/>
      </c>
      <c r="BS96" s="541" t="n">
        <v>250</v>
      </c>
      <c r="BT96" s="541" t="n">
        <v>250</v>
      </c>
      <c r="BU96" s="541" t="n">
        <v>250</v>
      </c>
      <c r="BV96" s="541" t="n">
        <v>250</v>
      </c>
      <c r="BW96" s="541" t="n">
        <v>250</v>
      </c>
      <c r="BX96" s="541" t="n">
        <v>250</v>
      </c>
      <c r="BY96" s="541" t="n">
        <v>250</v>
      </c>
      <c r="BZ96" s="541" t="n">
        <v>250</v>
      </c>
      <c r="CA96" s="541" t="n">
        <v>250</v>
      </c>
      <c r="CB96" s="541" t="n">
        <v>250</v>
      </c>
      <c r="CC96" s="541" t="n">
        <v>250</v>
      </c>
      <c r="CD96" s="541" t="n">
        <v>250</v>
      </c>
      <c r="CE96" s="541" t="n">
        <v>250</v>
      </c>
      <c r="CF96" s="541" t="n">
        <v>250</v>
      </c>
      <c r="CG96" s="541" t="n">
        <v>250</v>
      </c>
      <c r="CH96" s="541" t="n">
        <v>250</v>
      </c>
      <c r="CI96" s="541" t="n">
        <v>250</v>
      </c>
      <c r="CJ96" s="541" t="n">
        <v>250</v>
      </c>
      <c r="CK96" s="541" t="n">
        <v>250</v>
      </c>
      <c r="DA96" s="517">
        <f>SUMIF($N$1:$CG$1,DA$1,$N96:$CG96)</f>
        <v/>
      </c>
      <c r="DB96" s="517">
        <f>SUMIF($N$1:$CG$1,DB$1,$N96:$CG96)</f>
        <v/>
      </c>
      <c r="DC96" s="517">
        <f>SUMIF($N$1:$CG$1,DC$1,$N96:$CG96)</f>
        <v/>
      </c>
      <c r="DD96" s="517">
        <f>SUMIF($N$1:$CG$1,DD$1,$N96:$CG96)</f>
        <v/>
      </c>
      <c r="DE96" s="517">
        <f>SUMIF($N$1:$CG$1,DE$1,$N96:$CG96)</f>
        <v/>
      </c>
      <c r="DF96" s="517">
        <f>SUMIF($N$1:$CG$1,DF$1,$N96:$CG96)</f>
        <v/>
      </c>
      <c r="DG96" s="517">
        <f>SUMIF($N$1:$CG$1,DG$1,$N96:$CG96)</f>
        <v/>
      </c>
      <c r="DH96" s="517">
        <f>SUMIF($N$1:$CG$1,DH$1,$N96:$CG96)</f>
        <v/>
      </c>
      <c r="DI96" s="517">
        <f>SUMIF($N$1:$CG$1,DI$1,$N96:$CG96)</f>
        <v/>
      </c>
      <c r="DJ96" s="517">
        <f>SUMIF($N$1:$CG$1,DJ$1,$N96:$CG96)</f>
        <v/>
      </c>
      <c r="DK96" s="517">
        <f>SUMIF($N$1:$CG$1,DK$1,$N96:$CG96)</f>
        <v/>
      </c>
      <c r="DL96" s="517">
        <f>SUMIF($N$1:$CG$1,DL$1,$N96:$CG96)</f>
        <v/>
      </c>
      <c r="DM96" s="517">
        <f>SUMIF($N$1:$CG$1,DM$1,$N96:$CG96)</f>
        <v/>
      </c>
      <c r="DN96" s="517">
        <f>SUMIF($N$1:$CG$1,DN$1,$N96:$CG96)</f>
        <v/>
      </c>
      <c r="DO96" s="517">
        <f>SUMIF($N$1:$CG$1,DO$1,$N96:$CG96)</f>
        <v/>
      </c>
      <c r="DP96" s="517">
        <f>SUMIF($N$1:$CG$1,DP$1,$N96:$CG96)</f>
        <v/>
      </c>
      <c r="DQ96" s="517">
        <f>SUMIF($N$1:$CG$1,DQ$1,$N96:$CG96)</f>
        <v/>
      </c>
      <c r="DR96" s="517">
        <f>SUMIF($N$1:$CG$1,DR$1,$N96:$CG96)</f>
        <v/>
      </c>
      <c r="DS96" s="517">
        <f>SUMIF($N$1:$CK$1,DS$1,$N96:$CK96)</f>
        <v/>
      </c>
    </row>
    <row r="97">
      <c r="A97" s="43" t="n"/>
      <c r="B97" s="916" t="n"/>
      <c r="C97" s="916" t="n"/>
      <c r="D97" s="916" t="n"/>
      <c r="E97" s="916" t="n"/>
      <c r="F97" s="916" t="n"/>
      <c r="G97" s="916" t="n"/>
      <c r="H97" s="916" t="n"/>
      <c r="I97" s="916" t="n"/>
      <c r="J97" s="916" t="n"/>
      <c r="K97" s="916" t="n"/>
      <c r="L97" s="916" t="n"/>
      <c r="M97" s="916" t="n"/>
    </row>
    <row r="98">
      <c r="B98" s="31" t="n"/>
      <c r="C98" s="31" t="n"/>
      <c r="D98" s="31" t="n"/>
      <c r="E98" s="31" t="n"/>
      <c r="F98" s="31" t="n"/>
      <c r="G98" s="31" t="n"/>
    </row>
    <row r="99">
      <c r="A99" s="77">
        <f>FS_Q!A23</f>
        <v/>
      </c>
      <c r="B99" s="140" t="n"/>
      <c r="C99" s="140" t="n"/>
      <c r="D99" s="140" t="n"/>
      <c r="E99" s="140" t="n"/>
      <c r="F99" s="140" t="n"/>
      <c r="G99" s="140" t="n"/>
      <c r="H99" s="140" t="n"/>
      <c r="I99" s="140" t="n"/>
      <c r="J99" s="140" t="n"/>
      <c r="K99" s="140" t="n"/>
      <c r="L99" s="140" t="n"/>
      <c r="M99" s="140" t="n"/>
      <c r="N99" s="537">
        <f>FS_Q!N23</f>
        <v/>
      </c>
      <c r="O99" s="537">
        <f>FS_Q!O23</f>
        <v/>
      </c>
      <c r="P99" s="537">
        <f>FS_Q!P23</f>
        <v/>
      </c>
      <c r="Q99" s="537">
        <f>FS_Q!Q23</f>
        <v/>
      </c>
      <c r="R99" s="537">
        <f>FS_Q!R23</f>
        <v/>
      </c>
      <c r="S99" s="537">
        <f>FS_Q!S23</f>
        <v/>
      </c>
      <c r="T99" s="537">
        <f>FS_Q!T23</f>
        <v/>
      </c>
      <c r="U99" s="537">
        <f>FS_Q!U23</f>
        <v/>
      </c>
      <c r="V99" s="537">
        <f>FS_Q!V23</f>
        <v/>
      </c>
      <c r="W99" s="537">
        <f>FS_Q!W23</f>
        <v/>
      </c>
      <c r="X99" s="537">
        <f>FS_Q!X23</f>
        <v/>
      </c>
      <c r="Y99" s="537">
        <f>FS_Q!Y23</f>
        <v/>
      </c>
      <c r="Z99" s="537">
        <f>FS_Q!Z23</f>
        <v/>
      </c>
      <c r="AA99" s="537">
        <f>FS_Q!AA23</f>
        <v/>
      </c>
      <c r="AB99" s="537">
        <f>FS_Q!AB23</f>
        <v/>
      </c>
      <c r="AC99" s="537">
        <f>FS_Q!AC23</f>
        <v/>
      </c>
      <c r="AD99" s="537">
        <f>FS_Q!AD23</f>
        <v/>
      </c>
      <c r="AE99" s="537">
        <f>FS_Q!AE23</f>
        <v/>
      </c>
      <c r="AF99" s="537">
        <f>FS_Q!AF23</f>
        <v/>
      </c>
      <c r="AG99" s="537">
        <f>FS_Q!AG23</f>
        <v/>
      </c>
      <c r="AH99" s="537">
        <f>FS_Q!AH23</f>
        <v/>
      </c>
      <c r="AI99" s="537">
        <f>FS_Q!AI23</f>
        <v/>
      </c>
      <c r="AJ99" s="537">
        <f>FS_Q!AJ23</f>
        <v/>
      </c>
      <c r="AK99" s="537">
        <f>FS_Q!AK23</f>
        <v/>
      </c>
      <c r="AL99" s="537">
        <f>FS_Q!AL23</f>
        <v/>
      </c>
      <c r="AM99" s="537">
        <f>FS_Q!AM23</f>
        <v/>
      </c>
      <c r="AN99" s="537">
        <f>FS_Q!AN23</f>
        <v/>
      </c>
      <c r="AO99" s="537">
        <f>FS_Q!AO23</f>
        <v/>
      </c>
      <c r="AP99" s="537">
        <f>FS_Q!AP23</f>
        <v/>
      </c>
      <c r="AQ99" s="537">
        <f>FS_Q!AQ23</f>
        <v/>
      </c>
      <c r="AR99" s="537">
        <f>FS_Q!AR23</f>
        <v/>
      </c>
      <c r="AS99" s="537">
        <f>FS_Q!AS23</f>
        <v/>
      </c>
      <c r="AT99" s="537">
        <f>FS_Q!AT23</f>
        <v/>
      </c>
      <c r="AU99" s="537">
        <f>FS_Q!AU23</f>
        <v/>
      </c>
      <c r="AV99" s="537">
        <f>FS_Q!AV23</f>
        <v/>
      </c>
      <c r="AW99" s="537">
        <f>FS_Q!AW23</f>
        <v/>
      </c>
      <c r="AX99" s="537">
        <f>FS_Q!AX23</f>
        <v/>
      </c>
      <c r="AY99" s="537">
        <f>FS_Q!AY23</f>
        <v/>
      </c>
      <c r="AZ99" s="537">
        <f>FS_Q!AZ23</f>
        <v/>
      </c>
      <c r="BA99" s="537">
        <f>FS_Q!BA23</f>
        <v/>
      </c>
      <c r="BB99" s="537">
        <f>FS_Q!BB23</f>
        <v/>
      </c>
      <c r="BC99" s="537">
        <f>FS_Q!BC23</f>
        <v/>
      </c>
      <c r="BD99" s="537">
        <f>FS_Q!BD23</f>
        <v/>
      </c>
      <c r="BE99" s="537">
        <f>FS_Q!BE23</f>
        <v/>
      </c>
      <c r="BF99" s="537">
        <f>FS_Q!BF23</f>
        <v/>
      </c>
      <c r="BG99" s="537">
        <f>FS_Q!BG23</f>
        <v/>
      </c>
      <c r="BH99" s="537">
        <f>FS_Q!BH23</f>
        <v/>
      </c>
      <c r="BI99" s="537">
        <f>FS_Q!BI23</f>
        <v/>
      </c>
      <c r="BJ99" s="537">
        <f>FS_Q!BJ23</f>
        <v/>
      </c>
      <c r="BK99" s="537">
        <f>FS_Q!BK23</f>
        <v/>
      </c>
      <c r="BL99" s="537">
        <f>FS_Q!BL23</f>
        <v/>
      </c>
      <c r="BM99" s="537">
        <f>FS_Q!BM23</f>
        <v/>
      </c>
      <c r="BN99" s="537">
        <f>FS_Q!BN23</f>
        <v/>
      </c>
      <c r="BO99" s="537">
        <f>FS_Q!BO23</f>
        <v/>
      </c>
      <c r="BP99" s="537">
        <f>FS_Q!BP23</f>
        <v/>
      </c>
      <c r="BQ99" s="537">
        <f>FS_Q!BQ23</f>
        <v/>
      </c>
      <c r="BR99" s="537">
        <f>FS_Q!BR23</f>
        <v/>
      </c>
      <c r="BS99" s="519">
        <f>BS88+BS93+BS96</f>
        <v/>
      </c>
      <c r="BT99" s="519">
        <f>BT88+BT93+BT96</f>
        <v/>
      </c>
      <c r="BU99" s="519">
        <f>BU88+BU93+BU96</f>
        <v/>
      </c>
      <c r="BV99" s="519">
        <f>BV88+BV93+BV96</f>
        <v/>
      </c>
      <c r="BW99" s="519">
        <f>BW88+BW93+BW96</f>
        <v/>
      </c>
      <c r="BX99" s="519">
        <f>BX88+BX93+BX96</f>
        <v/>
      </c>
      <c r="BY99" s="519">
        <f>BY88+BY93+BY96</f>
        <v/>
      </c>
      <c r="BZ99" s="519">
        <f>BZ88+BZ93+BZ96</f>
        <v/>
      </c>
      <c r="CA99" s="519">
        <f>CA88+CA93+CA96</f>
        <v/>
      </c>
      <c r="CB99" s="519">
        <f>CB88+CB93+CB96</f>
        <v/>
      </c>
      <c r="CC99" s="519">
        <f>CC88+CC93+CC96</f>
        <v/>
      </c>
      <c r="CD99" s="519">
        <f>CD88+CD93+CD96</f>
        <v/>
      </c>
      <c r="CE99" s="519">
        <f>CE88+CE93+CE96</f>
        <v/>
      </c>
      <c r="CF99" s="519">
        <f>CF88+CF93+CF96</f>
        <v/>
      </c>
      <c r="CG99" s="519">
        <f>CG88+CG93+CG96</f>
        <v/>
      </c>
      <c r="CH99" s="519">
        <f>CH88+CH93+CH96</f>
        <v/>
      </c>
      <c r="CI99" s="519">
        <f>CI88+CI93+CI96</f>
        <v/>
      </c>
      <c r="CJ99" s="519">
        <f>CJ88+CJ93+CJ96</f>
        <v/>
      </c>
      <c r="CK99" s="519">
        <f>CK88+CK93+CK96</f>
        <v/>
      </c>
      <c r="DA99" s="519">
        <f>SUMIF($N$1:$CG$1,DA$1,$N99:$CG99)</f>
        <v/>
      </c>
      <c r="DB99" s="519">
        <f>SUMIF($N$1:$CG$1,DB$1,$N99:$CG99)</f>
        <v/>
      </c>
      <c r="DC99" s="519">
        <f>SUMIF($N$1:$CG$1,DC$1,$N99:$CG99)</f>
        <v/>
      </c>
      <c r="DD99" s="519">
        <f>SUMIF($N$1:$CG$1,DD$1,$N99:$CG99)</f>
        <v/>
      </c>
      <c r="DE99" s="519">
        <f>SUMIF($N$1:$CG$1,DE$1,$N99:$CG99)</f>
        <v/>
      </c>
      <c r="DF99" s="519">
        <f>SUMIF($N$1:$CG$1,DF$1,$N99:$CG99)</f>
        <v/>
      </c>
      <c r="DG99" s="519">
        <f>SUMIF($N$1:$CG$1,DG$1,$N99:$CG99)</f>
        <v/>
      </c>
      <c r="DH99" s="519">
        <f>SUMIF($N$1:$CG$1,DH$1,$N99:$CG99)</f>
        <v/>
      </c>
      <c r="DI99" s="519">
        <f>SUMIF($N$1:$CG$1,DI$1,$N99:$CG99)</f>
        <v/>
      </c>
      <c r="DJ99" s="519">
        <f>SUMIF($N$1:$CG$1,DJ$1,$N99:$CG99)</f>
        <v/>
      </c>
      <c r="DK99" s="519">
        <f>SUMIF($N$1:$CG$1,DK$1,$N99:$CG99)</f>
        <v/>
      </c>
      <c r="DL99" s="519">
        <f>SUMIF($N$1:$CG$1,DL$1,$N99:$CG99)</f>
        <v/>
      </c>
      <c r="DM99" s="519">
        <f>SUMIF($N$1:$CG$1,DM$1,$N99:$CG99)</f>
        <v/>
      </c>
      <c r="DN99" s="519">
        <f>SUMIF($N$1:$CG$1,DN$1,$N99:$CG99)</f>
        <v/>
      </c>
      <c r="DO99" s="519">
        <f>SUMIF($N$1:$CG$1,DO$1,$N99:$CG99)</f>
        <v/>
      </c>
      <c r="DP99" s="519">
        <f>SUMIF($N$1:$CG$1,DP$1,$N99:$CG99)</f>
        <v/>
      </c>
      <c r="DQ99" s="519">
        <f>SUMIF($N$1:$CG$1,DQ$1,$N99:$CG99)</f>
        <v/>
      </c>
      <c r="DR99" s="519">
        <f>SUMIF($N$1:$CG$1,DR$1,$N99:$CG99)</f>
        <v/>
      </c>
      <c r="DS99" s="519">
        <f>SUMIF($N$1:$CK$1,DS$1,$N99:$CK99)</f>
        <v/>
      </c>
    </row>
    <row r="100">
      <c r="A100" s="43" t="n"/>
      <c r="B100" s="916" t="n"/>
      <c r="C100" s="916" t="n"/>
      <c r="D100" s="916" t="n"/>
      <c r="E100" s="916" t="n"/>
      <c r="F100" s="916" t="n"/>
      <c r="G100" s="916" t="n"/>
      <c r="H100" s="916" t="n"/>
      <c r="I100" s="916" t="n"/>
      <c r="J100" s="916" t="n"/>
      <c r="K100" s="916" t="n"/>
      <c r="L100" s="916" t="n"/>
      <c r="M100" s="916" t="n"/>
    </row>
    <row r="101" customFormat="1" s="379">
      <c r="A101" s="520">
        <f>FS_Q!A24</f>
        <v/>
      </c>
      <c r="B101" s="143" t="n"/>
      <c r="C101" s="143" t="n"/>
      <c r="D101" s="143" t="n"/>
      <c r="E101" s="143" t="n"/>
      <c r="F101" s="143" t="n"/>
      <c r="G101" s="143" t="n"/>
      <c r="H101" s="143" t="n"/>
      <c r="I101" s="143" t="n"/>
      <c r="J101" s="143" t="n"/>
      <c r="K101" s="143" t="n"/>
      <c r="L101" s="143" t="n"/>
      <c r="M101" s="143" t="n"/>
      <c r="N101" s="516">
        <f>FS_Q!N24</f>
        <v/>
      </c>
      <c r="O101" s="516">
        <f>FS_Q!O24</f>
        <v/>
      </c>
      <c r="P101" s="516">
        <f>FS_Q!P24</f>
        <v/>
      </c>
      <c r="Q101" s="516">
        <f>FS_Q!Q24</f>
        <v/>
      </c>
      <c r="R101" s="516">
        <f>FS_Q!R24</f>
        <v/>
      </c>
      <c r="S101" s="516">
        <f>FS_Q!S24</f>
        <v/>
      </c>
      <c r="T101" s="516">
        <f>FS_Q!T24</f>
        <v/>
      </c>
      <c r="U101" s="516">
        <f>FS_Q!U24</f>
        <v/>
      </c>
      <c r="V101" s="516">
        <f>FS_Q!V24</f>
        <v/>
      </c>
      <c r="W101" s="516">
        <f>FS_Q!W24</f>
        <v/>
      </c>
      <c r="X101" s="516">
        <f>FS_Q!X24</f>
        <v/>
      </c>
      <c r="Y101" s="516">
        <f>FS_Q!Y24</f>
        <v/>
      </c>
      <c r="Z101" s="516">
        <f>FS_Q!Z24</f>
        <v/>
      </c>
      <c r="AA101" s="516">
        <f>FS_Q!AA24</f>
        <v/>
      </c>
      <c r="AB101" s="516">
        <f>FS_Q!AB24</f>
        <v/>
      </c>
      <c r="AC101" s="516">
        <f>FS_Q!AC24</f>
        <v/>
      </c>
      <c r="AD101" s="516">
        <f>FS_Q!AD24</f>
        <v/>
      </c>
      <c r="AE101" s="516">
        <f>FS_Q!AE24</f>
        <v/>
      </c>
      <c r="AF101" s="516">
        <f>FS_Q!AF24</f>
        <v/>
      </c>
      <c r="AG101" s="516">
        <f>FS_Q!AG24</f>
        <v/>
      </c>
      <c r="AH101" s="516">
        <f>FS_Q!AH24</f>
        <v/>
      </c>
      <c r="AI101" s="516">
        <f>FS_Q!AI24</f>
        <v/>
      </c>
      <c r="AJ101" s="516">
        <f>FS_Q!AJ24</f>
        <v/>
      </c>
      <c r="AK101" s="516">
        <f>FS_Q!AK24</f>
        <v/>
      </c>
      <c r="AL101" s="516">
        <f>FS_Q!AL24</f>
        <v/>
      </c>
      <c r="AM101" s="516">
        <f>FS_Q!AM24</f>
        <v/>
      </c>
      <c r="AN101" s="516">
        <f>FS_Q!AN24</f>
        <v/>
      </c>
      <c r="AO101" s="516">
        <f>FS_Q!AO24</f>
        <v/>
      </c>
      <c r="AP101" s="516">
        <f>FS_Q!AP24</f>
        <v/>
      </c>
      <c r="AQ101" s="516">
        <f>FS_Q!AQ24</f>
        <v/>
      </c>
      <c r="AR101" s="516">
        <f>FS_Q!AR24</f>
        <v/>
      </c>
      <c r="AS101" s="516">
        <f>FS_Q!AS24</f>
        <v/>
      </c>
      <c r="AT101" s="516">
        <f>FS_Q!AT24</f>
        <v/>
      </c>
      <c r="AU101" s="516">
        <f>FS_Q!AU24</f>
        <v/>
      </c>
      <c r="AV101" s="516">
        <f>FS_Q!AV24</f>
        <v/>
      </c>
      <c r="AW101" s="516">
        <f>FS_Q!AW24</f>
        <v/>
      </c>
      <c r="AX101" s="516">
        <f>FS_Q!AX24</f>
        <v/>
      </c>
      <c r="AY101" s="516">
        <f>FS_Q!AY24</f>
        <v/>
      </c>
      <c r="AZ101" s="516">
        <f>FS_Q!AZ24</f>
        <v/>
      </c>
      <c r="BA101" s="516">
        <f>FS_Q!BA24</f>
        <v/>
      </c>
      <c r="BB101" s="516">
        <f>FS_Q!BB24</f>
        <v/>
      </c>
      <c r="BC101" s="516">
        <f>FS_Q!BC24</f>
        <v/>
      </c>
      <c r="BD101" s="516">
        <f>FS_Q!BD24</f>
        <v/>
      </c>
      <c r="BE101" s="516">
        <f>FS_Q!BE24</f>
        <v/>
      </c>
      <c r="BF101" s="516">
        <f>FS_Q!BF24</f>
        <v/>
      </c>
      <c r="BG101" s="516">
        <f>FS_Q!BG24</f>
        <v/>
      </c>
      <c r="BH101" s="516">
        <f>FS_Q!BH24</f>
        <v/>
      </c>
      <c r="BI101" s="516">
        <f>FS_Q!BI24</f>
        <v/>
      </c>
      <c r="BJ101" s="516">
        <f>FS_Q!BJ24</f>
        <v/>
      </c>
      <c r="BK101" s="516">
        <f>FS_Q!BK24</f>
        <v/>
      </c>
      <c r="BL101" s="516">
        <f>FS_Q!BL24</f>
        <v/>
      </c>
      <c r="BM101" s="516">
        <f>FS_Q!BM24</f>
        <v/>
      </c>
      <c r="BN101" s="516">
        <f>FS_Q!BN24</f>
        <v/>
      </c>
      <c r="BO101" s="516">
        <f>FS_Q!BO24</f>
        <v/>
      </c>
      <c r="BP101" s="516">
        <f>FS_Q!BP24</f>
        <v/>
      </c>
      <c r="BQ101" s="516">
        <f>FS_Q!BQ24</f>
        <v/>
      </c>
      <c r="BR101" s="516">
        <f>FS_Q!BR24</f>
        <v/>
      </c>
      <c r="BS101" s="517">
        <f>-BS99*BS102</f>
        <v/>
      </c>
      <c r="BT101" s="517">
        <f>-BT99*BT102</f>
        <v/>
      </c>
      <c r="BU101" s="517">
        <f>-BU99*BU102</f>
        <v/>
      </c>
      <c r="BV101" s="517">
        <f>-BV99*BV102</f>
        <v/>
      </c>
      <c r="BW101" s="517">
        <f>-BW99*BW102</f>
        <v/>
      </c>
      <c r="BX101" s="517">
        <f>-BX99*BX102</f>
        <v/>
      </c>
      <c r="BY101" s="517">
        <f>-BY99*BY102</f>
        <v/>
      </c>
      <c r="BZ101" s="517">
        <f>-BZ99*BZ102</f>
        <v/>
      </c>
      <c r="CA101" s="517">
        <f>-CA99*CA102</f>
        <v/>
      </c>
      <c r="CB101" s="517">
        <f>-CB99*CB102</f>
        <v/>
      </c>
      <c r="CC101" s="517">
        <f>-CC99*CC102</f>
        <v/>
      </c>
      <c r="CD101" s="517">
        <f>-CD99*CD102</f>
        <v/>
      </c>
      <c r="CE101" s="517">
        <f>-CE99*CE102</f>
        <v/>
      </c>
      <c r="CF101" s="517">
        <f>-CF99*CF102</f>
        <v/>
      </c>
      <c r="CG101" s="517">
        <f>-CG99*CG102</f>
        <v/>
      </c>
      <c r="CH101" s="517">
        <f>-CH99*CH102</f>
        <v/>
      </c>
      <c r="CI101" s="517">
        <f>-CI99*CI102</f>
        <v/>
      </c>
      <c r="CJ101" s="517">
        <f>-CJ99*CJ102</f>
        <v/>
      </c>
      <c r="CK101" s="517">
        <f>-CK99*CK102</f>
        <v/>
      </c>
      <c r="DA101" s="517">
        <f>SUMIF($N$1:$CG$1,DA$1,$N101:$CG101)</f>
        <v/>
      </c>
      <c r="DB101" s="517">
        <f>SUMIF($N$1:$CG$1,DB$1,$N101:$CG101)</f>
        <v/>
      </c>
      <c r="DC101" s="517">
        <f>SUMIF($N$1:$CG$1,DC$1,$N101:$CG101)</f>
        <v/>
      </c>
      <c r="DD101" s="517">
        <f>SUMIF($N$1:$CG$1,DD$1,$N101:$CG101)</f>
        <v/>
      </c>
      <c r="DE101" s="517">
        <f>SUMIF($N$1:$CG$1,DE$1,$N101:$CG101)</f>
        <v/>
      </c>
      <c r="DF101" s="517">
        <f>SUMIF($N$1:$CG$1,DF$1,$N101:$CG101)</f>
        <v/>
      </c>
      <c r="DG101" s="517">
        <f>SUMIF($N$1:$CG$1,DG$1,$N101:$CG101)</f>
        <v/>
      </c>
      <c r="DH101" s="517">
        <f>SUMIF($N$1:$CG$1,DH$1,$N101:$CG101)</f>
        <v/>
      </c>
      <c r="DI101" s="517">
        <f>SUMIF($N$1:$CG$1,DI$1,$N101:$CG101)</f>
        <v/>
      </c>
      <c r="DJ101" s="517">
        <f>SUMIF($N$1:$CG$1,DJ$1,$N101:$CG101)</f>
        <v/>
      </c>
      <c r="DK101" s="517">
        <f>SUMIF($N$1:$CG$1,DK$1,$N101:$CG101)</f>
        <v/>
      </c>
      <c r="DL101" s="517">
        <f>SUMIF($N$1:$CG$1,DL$1,$N101:$CG101)</f>
        <v/>
      </c>
      <c r="DM101" s="517">
        <f>SUMIF($N$1:$CG$1,DM$1,$N101:$CG101)</f>
        <v/>
      </c>
      <c r="DN101" s="517">
        <f>SUMIF($N$1:$CG$1,DN$1,$N101:$CG101)</f>
        <v/>
      </c>
      <c r="DO101" s="517">
        <f>SUMIF($N$1:$CG$1,DO$1,$N101:$CG101)</f>
        <v/>
      </c>
      <c r="DP101" s="517">
        <f>SUMIF($N$1:$CG$1,DP$1,$N101:$CG101)</f>
        <v/>
      </c>
      <c r="DQ101" s="517">
        <f>SUMIF($N$1:$CG$1,DQ$1,$N101:$CG101)</f>
        <v/>
      </c>
      <c r="DR101" s="517">
        <f>SUMIF($N$1:$CG$1,DR$1,$N101:$CG101)</f>
        <v/>
      </c>
      <c r="DS101" s="517">
        <f>SUMIF($N$1:$CK$1,DS$1,$N101:$CK101)</f>
        <v/>
      </c>
    </row>
    <row r="102">
      <c r="A102" s="191" t="inlineStr">
        <is>
          <t>Effective tax rate</t>
        </is>
      </c>
      <c r="B102" s="883" t="n"/>
      <c r="C102" s="883" t="n"/>
      <c r="D102" s="883" t="n"/>
      <c r="E102" s="883" t="n"/>
      <c r="F102" s="883" t="n"/>
      <c r="G102" s="883" t="n"/>
      <c r="H102" s="883" t="n"/>
      <c r="I102" s="883" t="n"/>
      <c r="J102" s="883" t="n"/>
      <c r="K102" s="883" t="n"/>
      <c r="L102" s="883" t="n"/>
      <c r="M102" s="883" t="n"/>
      <c r="N102" s="908">
        <f>-N101/N99</f>
        <v/>
      </c>
      <c r="O102" s="908">
        <f>-O101/O99</f>
        <v/>
      </c>
      <c r="P102" s="908">
        <f>-P101/P99</f>
        <v/>
      </c>
      <c r="Q102" s="908">
        <f>-Q101/Q99</f>
        <v/>
      </c>
      <c r="R102" s="908">
        <f>-R101/R99</f>
        <v/>
      </c>
      <c r="S102" s="908">
        <f>-S101/S99</f>
        <v/>
      </c>
      <c r="T102" s="908">
        <f>-T101/T99</f>
        <v/>
      </c>
      <c r="U102" s="908">
        <f>-U101/U99</f>
        <v/>
      </c>
      <c r="V102" s="908">
        <f>-V101/V99</f>
        <v/>
      </c>
      <c r="W102" s="908">
        <f>-W101/W99</f>
        <v/>
      </c>
      <c r="X102" s="908">
        <f>-X101/X99</f>
        <v/>
      </c>
      <c r="Y102" s="908">
        <f>-Y101/Y99</f>
        <v/>
      </c>
      <c r="Z102" s="908">
        <f>-Z101/Z99</f>
        <v/>
      </c>
      <c r="AA102" s="908">
        <f>-AA101/AA99</f>
        <v/>
      </c>
      <c r="AB102" s="908">
        <f>-AB101/AB99</f>
        <v/>
      </c>
      <c r="AC102" s="908">
        <f>-AC101/AC99</f>
        <v/>
      </c>
      <c r="AD102" s="908">
        <f>-AD101/AD99</f>
        <v/>
      </c>
      <c r="AE102" s="908">
        <f>-AE101/AE99</f>
        <v/>
      </c>
      <c r="AF102" s="908">
        <f>-AF101/AF99</f>
        <v/>
      </c>
      <c r="AG102" s="908">
        <f>-AG101/AG99</f>
        <v/>
      </c>
      <c r="AH102" s="908">
        <f>-AH101/AH99</f>
        <v/>
      </c>
      <c r="AI102" s="908">
        <f>-AI101/AI99</f>
        <v/>
      </c>
      <c r="AJ102" s="908">
        <f>-AJ101/AJ99</f>
        <v/>
      </c>
      <c r="AK102" s="908">
        <f>-AK101/AK99</f>
        <v/>
      </c>
      <c r="AL102" s="908">
        <f>-AL101/AL99</f>
        <v/>
      </c>
      <c r="AM102" s="908">
        <f>-AM101/AM99</f>
        <v/>
      </c>
      <c r="AN102" s="908">
        <f>-AN101/AN99</f>
        <v/>
      </c>
      <c r="AO102" s="908">
        <f>-AO101/AO99</f>
        <v/>
      </c>
      <c r="AP102" s="908">
        <f>-AP101/AP99</f>
        <v/>
      </c>
      <c r="AQ102" s="908">
        <f>-AQ101/AQ99</f>
        <v/>
      </c>
      <c r="AR102" s="908">
        <f>-AR101/AR99</f>
        <v/>
      </c>
      <c r="AS102" s="908">
        <f>-AS101/AS99</f>
        <v/>
      </c>
      <c r="AT102" s="908">
        <f>-AT101/AT99</f>
        <v/>
      </c>
      <c r="AU102" s="908">
        <f>-AU101/AU99</f>
        <v/>
      </c>
      <c r="AV102" s="908">
        <f>-AV101/AV99</f>
        <v/>
      </c>
      <c r="AW102" s="908">
        <f>-AW101/AW99</f>
        <v/>
      </c>
      <c r="AX102" s="908">
        <f>-AX101/AX99</f>
        <v/>
      </c>
      <c r="AY102" s="908">
        <f>-AY101/AY99</f>
        <v/>
      </c>
      <c r="AZ102" s="908">
        <f>-AZ101/AZ99</f>
        <v/>
      </c>
      <c r="BA102" s="908">
        <f>-BA101/BA99</f>
        <v/>
      </c>
      <c r="BB102" s="908">
        <f>-BB101/BB99</f>
        <v/>
      </c>
      <c r="BC102" s="908">
        <f>-BC101/BC99</f>
        <v/>
      </c>
      <c r="BD102" s="908">
        <f>-BD101/BD99</f>
        <v/>
      </c>
      <c r="BE102" s="908">
        <f>-BE101/BE99</f>
        <v/>
      </c>
      <c r="BF102" s="908">
        <f>-BF101/BF99</f>
        <v/>
      </c>
      <c r="BG102" s="908">
        <f>-BG101/BG99</f>
        <v/>
      </c>
      <c r="BH102" s="908">
        <f>-BH101/BH99</f>
        <v/>
      </c>
      <c r="BI102" s="908">
        <f>-BI101/BI99</f>
        <v/>
      </c>
      <c r="BJ102" s="908">
        <f>-BJ101/BJ99</f>
        <v/>
      </c>
      <c r="BK102" s="908">
        <f>-BK101/BK99</f>
        <v/>
      </c>
      <c r="BL102" s="908">
        <f>-BL101/BL99</f>
        <v/>
      </c>
      <c r="BM102" s="908">
        <f>-BM101/BM99</f>
        <v/>
      </c>
      <c r="BN102" s="908">
        <f>-BN101/BN99</f>
        <v/>
      </c>
      <c r="BO102" s="908">
        <f>-BO101/BO99</f>
        <v/>
      </c>
      <c r="BP102" s="908">
        <f>-BP101/BP99</f>
        <v/>
      </c>
      <c r="BQ102" s="908">
        <f>-BQ101/BQ99</f>
        <v/>
      </c>
      <c r="BR102" s="908">
        <f>-BR101/BR99</f>
        <v/>
      </c>
      <c r="BS102" s="909" t="n">
        <v>0.25</v>
      </c>
      <c r="BT102" s="909" t="n">
        <v>0.23</v>
      </c>
      <c r="BU102" s="909" t="n">
        <v>0.23</v>
      </c>
      <c r="BV102" s="909" t="n">
        <v>0.23</v>
      </c>
      <c r="BW102" s="909" t="n">
        <v>0.23</v>
      </c>
      <c r="BX102" s="909" t="n">
        <v>0.23</v>
      </c>
      <c r="BY102" s="909" t="n">
        <v>0.23</v>
      </c>
      <c r="BZ102" s="909" t="n">
        <v>0.23</v>
      </c>
      <c r="CA102" s="909" t="n">
        <v>0.23</v>
      </c>
      <c r="CB102" s="909" t="n">
        <v>0.23</v>
      </c>
      <c r="CC102" s="909" t="n">
        <v>0.23</v>
      </c>
      <c r="CD102" s="909" t="n">
        <v>0.23</v>
      </c>
      <c r="CE102" s="909" t="n">
        <v>0.23</v>
      </c>
      <c r="CF102" s="909" t="n">
        <v>0.23</v>
      </c>
      <c r="CG102" s="909" t="n">
        <v>0.23</v>
      </c>
      <c r="CH102" s="909" t="n">
        <v>0.23</v>
      </c>
      <c r="CI102" s="909" t="n">
        <v>0.23</v>
      </c>
      <c r="CJ102" s="909" t="n">
        <v>0.23</v>
      </c>
      <c r="CK102" s="909" t="n">
        <v>0.23</v>
      </c>
      <c r="DA102" s="912">
        <f>-DA101/DA99</f>
        <v/>
      </c>
      <c r="DB102" s="912">
        <f>-DB101/DB99</f>
        <v/>
      </c>
      <c r="DC102" s="912">
        <f>-DC101/DC99</f>
        <v/>
      </c>
      <c r="DD102" s="912">
        <f>-DD101/DD99</f>
        <v/>
      </c>
      <c r="DE102" s="912">
        <f>-DE101/DE99</f>
        <v/>
      </c>
      <c r="DF102" s="912">
        <f>-DF101/DF99</f>
        <v/>
      </c>
      <c r="DG102" s="912">
        <f>-DG101/DG99</f>
        <v/>
      </c>
      <c r="DH102" s="912">
        <f>-DH101/DH99</f>
        <v/>
      </c>
      <c r="DI102" s="912">
        <f>-DI101/DI99</f>
        <v/>
      </c>
      <c r="DJ102" s="912">
        <f>-DJ101/DJ99</f>
        <v/>
      </c>
      <c r="DK102" s="912">
        <f>-DK101/DK99</f>
        <v/>
      </c>
      <c r="DL102" s="912">
        <f>-DL101/DL99</f>
        <v/>
      </c>
      <c r="DM102" s="912">
        <f>-DM101/DM99</f>
        <v/>
      </c>
      <c r="DN102" s="912">
        <f>-DN101/DN99</f>
        <v/>
      </c>
      <c r="DO102" s="912">
        <f>-DO101/DO99</f>
        <v/>
      </c>
      <c r="DP102" s="912">
        <f>-DP101/DP99</f>
        <v/>
      </c>
      <c r="DQ102" s="912">
        <f>-DQ101/DQ99</f>
        <v/>
      </c>
      <c r="DR102" s="912">
        <f>-DR101/DR99</f>
        <v/>
      </c>
      <c r="DS102" s="912">
        <f>-DS101/DS99</f>
        <v/>
      </c>
    </row>
    <row r="103">
      <c r="A103" s="43" t="n"/>
      <c r="B103" s="916" t="n"/>
      <c r="C103" s="916" t="n"/>
      <c r="D103" s="916" t="n"/>
      <c r="E103" s="916" t="n"/>
      <c r="F103" s="916" t="n"/>
      <c r="G103" s="916" t="n"/>
      <c r="H103" s="916" t="n"/>
      <c r="I103" s="916" t="n"/>
      <c r="J103" s="916" t="n"/>
      <c r="K103" s="916" t="n"/>
      <c r="L103" s="916" t="n"/>
      <c r="M103" s="916" t="n"/>
    </row>
    <row r="104">
      <c r="A104" s="42" t="n"/>
      <c r="B104" s="79" t="n"/>
      <c r="C104" s="79" t="n"/>
      <c r="D104" s="79" t="n"/>
      <c r="E104" s="79" t="n"/>
      <c r="F104" s="79" t="n"/>
      <c r="G104" s="79" t="n"/>
      <c r="H104" s="50" t="n"/>
      <c r="I104" s="50" t="n"/>
      <c r="J104" s="50" t="n"/>
      <c r="K104" s="50" t="n"/>
      <c r="L104" s="50" t="n"/>
      <c r="M104" s="50" t="n"/>
      <c r="BP104" s="108" t="n"/>
    </row>
    <row r="105">
      <c r="A105" s="43" t="n"/>
      <c r="B105" s="917" t="n"/>
      <c r="C105" s="917" t="n"/>
      <c r="D105" s="917" t="n"/>
      <c r="E105" s="917" t="n"/>
      <c r="F105" s="917" t="n"/>
      <c r="G105" s="917" t="n"/>
      <c r="H105" s="917" t="n"/>
      <c r="I105" s="917" t="n"/>
      <c r="J105" s="917" t="n"/>
      <c r="K105" s="917" t="n"/>
      <c r="L105" s="917" t="n"/>
      <c r="M105" s="917" t="n"/>
      <c r="BP105" s="517" t="n"/>
    </row>
    <row r="106">
      <c r="A106" s="81" t="inlineStr">
        <is>
          <t>Non-Controlling Interests</t>
        </is>
      </c>
      <c r="B106" s="917" t="n"/>
      <c r="C106" s="917" t="n"/>
      <c r="D106" s="917" t="n"/>
      <c r="E106" s="917" t="n"/>
      <c r="F106" s="917" t="n"/>
      <c r="G106" s="917" t="n"/>
      <c r="H106" s="917" t="n"/>
      <c r="I106" s="917" t="n"/>
      <c r="J106" s="917" t="n"/>
      <c r="K106" s="917" t="n"/>
      <c r="L106" s="917" t="n"/>
      <c r="M106" s="917" t="n"/>
      <c r="BP106" s="905" t="n"/>
    </row>
    <row r="107">
      <c r="A107" s="169" t="n"/>
      <c r="B107" s="917" t="n"/>
      <c r="C107" s="917" t="n"/>
      <c r="D107" s="917" t="n"/>
      <c r="E107" s="917" t="n"/>
      <c r="F107" s="917" t="n"/>
      <c r="G107" s="917" t="n"/>
      <c r="H107" s="917" t="n"/>
      <c r="I107" s="917" t="n"/>
      <c r="J107" s="917" t="n"/>
      <c r="K107" s="917" t="n"/>
      <c r="L107" s="917" t="n"/>
      <c r="M107" s="917" t="n"/>
    </row>
    <row r="108">
      <c r="A108" s="77">
        <f>FS_Q!A25</f>
        <v/>
      </c>
      <c r="B108" s="140" t="n"/>
      <c r="C108" s="140" t="n"/>
      <c r="D108" s="140" t="n"/>
      <c r="E108" s="140" t="n"/>
      <c r="F108" s="140" t="n"/>
      <c r="G108" s="140" t="n"/>
      <c r="H108" s="140" t="n"/>
      <c r="I108" s="140" t="n"/>
      <c r="J108" s="140" t="n"/>
      <c r="K108" s="140" t="n"/>
      <c r="L108" s="140" t="n"/>
      <c r="M108" s="140" t="n"/>
      <c r="N108" s="537">
        <f>FS_Q!N25</f>
        <v/>
      </c>
      <c r="O108" s="537">
        <f>FS_Q!O25</f>
        <v/>
      </c>
      <c r="P108" s="537">
        <f>FS_Q!P25</f>
        <v/>
      </c>
      <c r="Q108" s="537">
        <f>FS_Q!Q25</f>
        <v/>
      </c>
      <c r="R108" s="537">
        <f>FS_Q!R25</f>
        <v/>
      </c>
      <c r="S108" s="537">
        <f>FS_Q!S25</f>
        <v/>
      </c>
      <c r="T108" s="537">
        <f>FS_Q!T25</f>
        <v/>
      </c>
      <c r="U108" s="537">
        <f>FS_Q!U25</f>
        <v/>
      </c>
      <c r="V108" s="537">
        <f>FS_Q!V25</f>
        <v/>
      </c>
      <c r="W108" s="537">
        <f>FS_Q!W25</f>
        <v/>
      </c>
      <c r="X108" s="537">
        <f>FS_Q!X25</f>
        <v/>
      </c>
      <c r="Y108" s="537">
        <f>FS_Q!Y25</f>
        <v/>
      </c>
      <c r="Z108" s="537">
        <f>FS_Q!Z25</f>
        <v/>
      </c>
      <c r="AA108" s="537">
        <f>FS_Q!AA25</f>
        <v/>
      </c>
      <c r="AB108" s="537">
        <f>FS_Q!AB25</f>
        <v/>
      </c>
      <c r="AC108" s="537">
        <f>FS_Q!AC25</f>
        <v/>
      </c>
      <c r="AD108" s="537">
        <f>FS_Q!AD25</f>
        <v/>
      </c>
      <c r="AE108" s="537">
        <f>FS_Q!AE25</f>
        <v/>
      </c>
      <c r="AF108" s="537">
        <f>FS_Q!AF25</f>
        <v/>
      </c>
      <c r="AG108" s="537">
        <f>FS_Q!AG25</f>
        <v/>
      </c>
      <c r="AH108" s="537">
        <f>FS_Q!AH25</f>
        <v/>
      </c>
      <c r="AI108" s="537">
        <f>FS_Q!AI25</f>
        <v/>
      </c>
      <c r="AJ108" s="537">
        <f>FS_Q!AJ25</f>
        <v/>
      </c>
      <c r="AK108" s="537">
        <f>FS_Q!AK25</f>
        <v/>
      </c>
      <c r="AL108" s="537">
        <f>FS_Q!AL25</f>
        <v/>
      </c>
      <c r="AM108" s="537">
        <f>FS_Q!AM25</f>
        <v/>
      </c>
      <c r="AN108" s="537">
        <f>FS_Q!AN25</f>
        <v/>
      </c>
      <c r="AO108" s="537">
        <f>FS_Q!AO25</f>
        <v/>
      </c>
      <c r="AP108" s="537">
        <f>FS_Q!AP25</f>
        <v/>
      </c>
      <c r="AQ108" s="537">
        <f>FS_Q!AQ25</f>
        <v/>
      </c>
      <c r="AR108" s="537">
        <f>FS_Q!AR25</f>
        <v/>
      </c>
      <c r="AS108" s="537">
        <f>FS_Q!AS25</f>
        <v/>
      </c>
      <c r="AT108" s="537">
        <f>FS_Q!AT25</f>
        <v/>
      </c>
      <c r="AU108" s="537">
        <f>FS_Q!AU25</f>
        <v/>
      </c>
      <c r="AV108" s="537">
        <f>FS_Q!AV25</f>
        <v/>
      </c>
      <c r="AW108" s="537">
        <f>FS_Q!AW25</f>
        <v/>
      </c>
      <c r="AX108" s="537">
        <f>FS_Q!AX25</f>
        <v/>
      </c>
      <c r="AY108" s="537">
        <f>FS_Q!AY25</f>
        <v/>
      </c>
      <c r="AZ108" s="537">
        <f>FS_Q!AZ25</f>
        <v/>
      </c>
      <c r="BA108" s="537">
        <f>FS_Q!BA25</f>
        <v/>
      </c>
      <c r="BB108" s="537">
        <f>FS_Q!BB25</f>
        <v/>
      </c>
      <c r="BC108" s="537">
        <f>FS_Q!BC25</f>
        <v/>
      </c>
      <c r="BD108" s="537">
        <f>FS_Q!BD25</f>
        <v/>
      </c>
      <c r="BE108" s="537">
        <f>FS_Q!BE25</f>
        <v/>
      </c>
      <c r="BF108" s="537">
        <f>FS_Q!BF25</f>
        <v/>
      </c>
      <c r="BG108" s="537">
        <f>FS_Q!BG25</f>
        <v/>
      </c>
      <c r="BH108" s="537">
        <f>FS_Q!BH25</f>
        <v/>
      </c>
      <c r="BI108" s="537">
        <f>FS_Q!BI25</f>
        <v/>
      </c>
      <c r="BJ108" s="537">
        <f>FS_Q!BJ25</f>
        <v/>
      </c>
      <c r="BK108" s="537">
        <f>FS_Q!BK25</f>
        <v/>
      </c>
      <c r="BL108" s="537">
        <f>FS_Q!BL25</f>
        <v/>
      </c>
      <c r="BM108" s="537">
        <f>FS_Q!BM25</f>
        <v/>
      </c>
      <c r="BN108" s="537">
        <f>FS_Q!BN25</f>
        <v/>
      </c>
      <c r="BO108" s="537">
        <f>FS_Q!BO25</f>
        <v/>
      </c>
      <c r="BP108" s="537">
        <f>FS_Q!BP25</f>
        <v/>
      </c>
      <c r="BQ108" s="537">
        <f>FS_Q!BQ25</f>
        <v/>
      </c>
      <c r="BR108" s="537">
        <f>FS_Q!BR25</f>
        <v/>
      </c>
      <c r="BS108" s="519">
        <f>BS99+BS101</f>
        <v/>
      </c>
      <c r="BT108" s="519">
        <f>BT99+BT101</f>
        <v/>
      </c>
      <c r="BU108" s="519">
        <f>BU99+BU101</f>
        <v/>
      </c>
      <c r="BV108" s="519">
        <f>BV99+BV101</f>
        <v/>
      </c>
      <c r="BW108" s="519">
        <f>BW99+BW101</f>
        <v/>
      </c>
      <c r="BX108" s="519">
        <f>BX99+BX101</f>
        <v/>
      </c>
      <c r="BY108" s="519">
        <f>BY99+BY101</f>
        <v/>
      </c>
      <c r="BZ108" s="519">
        <f>BZ99+BZ101</f>
        <v/>
      </c>
      <c r="CA108" s="519">
        <f>CA99+CA101</f>
        <v/>
      </c>
      <c r="CB108" s="519">
        <f>CB99+CB101</f>
        <v/>
      </c>
      <c r="CC108" s="519">
        <f>CC99+CC101</f>
        <v/>
      </c>
      <c r="CD108" s="519">
        <f>CD99+CD101</f>
        <v/>
      </c>
      <c r="CE108" s="519">
        <f>CE99+CE101</f>
        <v/>
      </c>
      <c r="CF108" s="519">
        <f>CF99+CF101</f>
        <v/>
      </c>
      <c r="CG108" s="519">
        <f>CG99+CG101</f>
        <v/>
      </c>
      <c r="CH108" s="519">
        <f>CH99+CH101</f>
        <v/>
      </c>
      <c r="CI108" s="519">
        <f>CI99+CI101</f>
        <v/>
      </c>
      <c r="CJ108" s="519">
        <f>CJ99+CJ101</f>
        <v/>
      </c>
      <c r="CK108" s="519">
        <f>CK99+CK101</f>
        <v/>
      </c>
      <c r="DA108" s="519">
        <f>SUMIF($N$1:$CG$1,DA$1,$N108:$CG108)</f>
        <v/>
      </c>
      <c r="DB108" s="519">
        <f>SUMIF($N$1:$CG$1,DB$1,$N108:$CG108)</f>
        <v/>
      </c>
      <c r="DC108" s="519">
        <f>SUMIF($N$1:$CG$1,DC$1,$N108:$CG108)</f>
        <v/>
      </c>
      <c r="DD108" s="519">
        <f>SUMIF($N$1:$CG$1,DD$1,$N108:$CG108)</f>
        <v/>
      </c>
      <c r="DE108" s="519">
        <f>SUMIF($N$1:$CG$1,DE$1,$N108:$CG108)</f>
        <v/>
      </c>
      <c r="DF108" s="519">
        <f>SUMIF($N$1:$CG$1,DF$1,$N108:$CG108)</f>
        <v/>
      </c>
      <c r="DG108" s="519">
        <f>SUMIF($N$1:$CG$1,DG$1,$N108:$CG108)</f>
        <v/>
      </c>
      <c r="DH108" s="519">
        <f>SUMIF($N$1:$CG$1,DH$1,$N108:$CG108)</f>
        <v/>
      </c>
      <c r="DI108" s="519">
        <f>SUMIF($N$1:$CG$1,DI$1,$N108:$CG108)</f>
        <v/>
      </c>
      <c r="DJ108" s="519">
        <f>SUMIF($N$1:$CG$1,DJ$1,$N108:$CG108)</f>
        <v/>
      </c>
      <c r="DK108" s="519">
        <f>SUMIF($N$1:$CG$1,DK$1,$N108:$CG108)</f>
        <v/>
      </c>
      <c r="DL108" s="519">
        <f>SUMIF($N$1:$CG$1,DL$1,$N108:$CG108)</f>
        <v/>
      </c>
      <c r="DM108" s="519">
        <f>SUMIF($N$1:$CG$1,DM$1,$N108:$CG108)</f>
        <v/>
      </c>
      <c r="DN108" s="519">
        <f>SUMIF($N$1:$CG$1,DN$1,$N108:$CG108)</f>
        <v/>
      </c>
      <c r="DO108" s="519">
        <f>SUMIF($N$1:$CG$1,DO$1,$N108:$CG108)</f>
        <v/>
      </c>
      <c r="DP108" s="519">
        <f>SUMIF($N$1:$CG$1,DP$1,$N108:$CG108)</f>
        <v/>
      </c>
      <c r="DQ108" s="519">
        <f>SUMIF($N$1:$CG$1,DQ$1,$N108:$CG108)</f>
        <v/>
      </c>
      <c r="DR108" s="519">
        <f>SUMIF($N$1:$CG$1,DR$1,$N108:$CG108)</f>
        <v/>
      </c>
      <c r="DS108" s="519">
        <f>SUMIF($N$1:$CK$1,DS$1,$N108:$CK108)</f>
        <v/>
      </c>
    </row>
    <row r="109">
      <c r="A109" s="43" t="inlineStr">
        <is>
          <t>Net margin</t>
        </is>
      </c>
      <c r="B109" s="883" t="n"/>
      <c r="C109" s="883" t="n"/>
      <c r="D109" s="883" t="n"/>
      <c r="E109" s="883" t="n"/>
      <c r="F109" s="883" t="n"/>
      <c r="G109" s="883" t="n"/>
      <c r="H109" s="883" t="n"/>
      <c r="I109" s="883" t="n"/>
      <c r="J109" s="883" t="n"/>
      <c r="K109" s="883" t="n"/>
      <c r="L109" s="883" t="n"/>
      <c r="M109" s="883" t="n"/>
      <c r="N109" s="908">
        <f>N108/N20</f>
        <v/>
      </c>
      <c r="O109" s="908">
        <f>O108/O20</f>
        <v/>
      </c>
      <c r="P109" s="908">
        <f>P108/P20</f>
        <v/>
      </c>
      <c r="Q109" s="908">
        <f>Q108/Q20</f>
        <v/>
      </c>
      <c r="R109" s="908">
        <f>R108/R20</f>
        <v/>
      </c>
      <c r="S109" s="908">
        <f>S108/S20</f>
        <v/>
      </c>
      <c r="T109" s="908">
        <f>T108/T20</f>
        <v/>
      </c>
      <c r="U109" s="908">
        <f>U108/U20</f>
        <v/>
      </c>
      <c r="V109" s="908">
        <f>V108/V20</f>
        <v/>
      </c>
      <c r="W109" s="908">
        <f>W108/W20</f>
        <v/>
      </c>
      <c r="X109" s="908">
        <f>X108/X20</f>
        <v/>
      </c>
      <c r="Y109" s="908">
        <f>Y108/Y20</f>
        <v/>
      </c>
      <c r="Z109" s="908">
        <f>Z108/Z20</f>
        <v/>
      </c>
      <c r="AA109" s="908">
        <f>AA108/AA20</f>
        <v/>
      </c>
      <c r="AB109" s="908">
        <f>AB108/AB20</f>
        <v/>
      </c>
      <c r="AC109" s="908">
        <f>AC108/AC20</f>
        <v/>
      </c>
      <c r="AD109" s="908">
        <f>AD108/AD20</f>
        <v/>
      </c>
      <c r="AE109" s="908">
        <f>AE108/AE20</f>
        <v/>
      </c>
      <c r="AF109" s="908">
        <f>AF108/AF20</f>
        <v/>
      </c>
      <c r="AG109" s="908">
        <f>AG108/AG20</f>
        <v/>
      </c>
      <c r="AH109" s="908">
        <f>AH108/AH20</f>
        <v/>
      </c>
      <c r="AI109" s="908">
        <f>AI108/AI20</f>
        <v/>
      </c>
      <c r="AJ109" s="908">
        <f>AJ108/AJ20</f>
        <v/>
      </c>
      <c r="AK109" s="908">
        <f>AK108/AK20</f>
        <v/>
      </c>
      <c r="AL109" s="908">
        <f>AL108/AL20</f>
        <v/>
      </c>
      <c r="AM109" s="908">
        <f>AM108/AM20</f>
        <v/>
      </c>
      <c r="AN109" s="908">
        <f>AN108/AN20</f>
        <v/>
      </c>
      <c r="AO109" s="908">
        <f>AO108/AO20</f>
        <v/>
      </c>
      <c r="AP109" s="908">
        <f>AP108/AP20</f>
        <v/>
      </c>
      <c r="AQ109" s="908">
        <f>AQ108/AQ20</f>
        <v/>
      </c>
      <c r="AR109" s="908">
        <f>AR108/AR20</f>
        <v/>
      </c>
      <c r="AS109" s="908">
        <f>AS108/AS20</f>
        <v/>
      </c>
      <c r="AT109" s="908">
        <f>AT108/AT20</f>
        <v/>
      </c>
      <c r="AU109" s="908">
        <f>AU108/AU20</f>
        <v/>
      </c>
      <c r="AV109" s="908">
        <f>AV108/AV20</f>
        <v/>
      </c>
      <c r="AW109" s="908">
        <f>AW108/AW20</f>
        <v/>
      </c>
      <c r="AX109" s="908">
        <f>AX108/AX20</f>
        <v/>
      </c>
      <c r="AY109" s="908">
        <f>AY108/AY20</f>
        <v/>
      </c>
      <c r="AZ109" s="908">
        <f>AZ108/AZ20</f>
        <v/>
      </c>
      <c r="BA109" s="908">
        <f>BA108/BA20</f>
        <v/>
      </c>
      <c r="BB109" s="908">
        <f>BB108/BB20</f>
        <v/>
      </c>
      <c r="BC109" s="908">
        <f>BC108/BC20</f>
        <v/>
      </c>
      <c r="BD109" s="908">
        <f>BD108/BD20</f>
        <v/>
      </c>
      <c r="BE109" s="908">
        <f>BE108/BE20</f>
        <v/>
      </c>
      <c r="BF109" s="908">
        <f>BF108/BF20</f>
        <v/>
      </c>
      <c r="BG109" s="908">
        <f>BG108/BG20</f>
        <v/>
      </c>
      <c r="BH109" s="908">
        <f>BH108/BH20</f>
        <v/>
      </c>
      <c r="BI109" s="908">
        <f>BI108/BI20</f>
        <v/>
      </c>
      <c r="BJ109" s="908">
        <f>BJ108/BJ20</f>
        <v/>
      </c>
      <c r="BK109" s="908">
        <f>BK108/BK20</f>
        <v/>
      </c>
      <c r="BL109" s="908">
        <f>BL108/BL20</f>
        <v/>
      </c>
      <c r="BM109" s="908">
        <f>BM108/BM20</f>
        <v/>
      </c>
      <c r="BN109" s="908">
        <f>BN108/BN20</f>
        <v/>
      </c>
      <c r="BO109" s="908">
        <f>BO108/BO20</f>
        <v/>
      </c>
      <c r="BP109" s="908">
        <f>BP108/BP20</f>
        <v/>
      </c>
      <c r="BQ109" s="908">
        <f>BQ108/BQ20</f>
        <v/>
      </c>
      <c r="BR109" s="908">
        <f>BR108/BR20</f>
        <v/>
      </c>
      <c r="BS109" s="908">
        <f>BS108/BS20</f>
        <v/>
      </c>
      <c r="BT109" s="908">
        <f>BT108/BT20</f>
        <v/>
      </c>
      <c r="BU109" s="908">
        <f>BU108/BU20</f>
        <v/>
      </c>
      <c r="BV109" s="908">
        <f>BV108/BV20</f>
        <v/>
      </c>
      <c r="BW109" s="908">
        <f>BW108/BW20</f>
        <v/>
      </c>
      <c r="BX109" s="908">
        <f>BX108/BX20</f>
        <v/>
      </c>
      <c r="BY109" s="908">
        <f>BY108/BY20</f>
        <v/>
      </c>
      <c r="BZ109" s="908">
        <f>BZ108/BZ20</f>
        <v/>
      </c>
      <c r="CA109" s="908">
        <f>CA108/CA20</f>
        <v/>
      </c>
      <c r="CB109" s="908">
        <f>CB108/CB20</f>
        <v/>
      </c>
      <c r="CC109" s="908">
        <f>CC108/CC20</f>
        <v/>
      </c>
      <c r="CD109" s="908">
        <f>CD108/CD20</f>
        <v/>
      </c>
      <c r="CE109" s="908">
        <f>CE108/CE20</f>
        <v/>
      </c>
      <c r="CF109" s="908">
        <f>CF108/CF20</f>
        <v/>
      </c>
      <c r="CG109" s="908">
        <f>CG108/CG20</f>
        <v/>
      </c>
      <c r="CH109" s="908">
        <f>CH108/CH20</f>
        <v/>
      </c>
      <c r="CI109" s="908">
        <f>CI108/CI20</f>
        <v/>
      </c>
      <c r="CJ109" s="908">
        <f>CJ108/CJ20</f>
        <v/>
      </c>
      <c r="CK109" s="908">
        <f>CK108/CK20</f>
        <v/>
      </c>
      <c r="DA109" s="912">
        <f>DA108/DA$20</f>
        <v/>
      </c>
      <c r="DB109" s="912">
        <f>DB108/DB$20</f>
        <v/>
      </c>
      <c r="DC109" s="912">
        <f>DC108/DC$20</f>
        <v/>
      </c>
      <c r="DD109" s="912">
        <f>DD108/DD$20</f>
        <v/>
      </c>
      <c r="DE109" s="912">
        <f>DE108/DE$20</f>
        <v/>
      </c>
      <c r="DF109" s="912">
        <f>DF108/DF$20</f>
        <v/>
      </c>
      <c r="DG109" s="912">
        <f>DG108/DG$20</f>
        <v/>
      </c>
      <c r="DH109" s="912">
        <f>DH108/DH$20</f>
        <v/>
      </c>
      <c r="DI109" s="912">
        <f>DI108/DI$20</f>
        <v/>
      </c>
      <c r="DJ109" s="912">
        <f>DJ108/DJ$20</f>
        <v/>
      </c>
      <c r="DK109" s="912">
        <f>DK108/DK$20</f>
        <v/>
      </c>
      <c r="DL109" s="912">
        <f>DL108/DL$20</f>
        <v/>
      </c>
      <c r="DM109" s="912">
        <f>DM108/DM$20</f>
        <v/>
      </c>
      <c r="DN109" s="912">
        <f>DN108/DN$20</f>
        <v/>
      </c>
      <c r="DO109" s="912">
        <f>DO108/DO$20</f>
        <v/>
      </c>
      <c r="DP109" s="912">
        <f>DP108/DP$20</f>
        <v/>
      </c>
      <c r="DQ109" s="912">
        <f>DQ108/DQ$20</f>
        <v/>
      </c>
      <c r="DR109" s="912">
        <f>DR108/DR$20</f>
        <v/>
      </c>
      <c r="DS109" s="912">
        <f>DS108/DS$20</f>
        <v/>
      </c>
    </row>
    <row r="110">
      <c r="A110" s="43" t="n"/>
      <c r="B110" s="917" t="n"/>
      <c r="C110" s="917" t="n"/>
      <c r="D110" s="917" t="n"/>
      <c r="E110" s="917" t="n"/>
      <c r="F110" s="917" t="n"/>
      <c r="G110" s="917" t="n"/>
      <c r="H110" s="917" t="n"/>
      <c r="I110" s="917" t="n"/>
      <c r="J110" s="917" t="n"/>
      <c r="K110" s="917" t="n"/>
      <c r="L110" s="917" t="n"/>
      <c r="M110" s="917" t="n"/>
    </row>
    <row r="111" customFormat="1" s="166">
      <c r="A111" s="520">
        <f>FS_Q!A27</f>
        <v/>
      </c>
      <c r="B111" s="917" t="n"/>
      <c r="C111" s="917" t="n"/>
      <c r="D111" s="917" t="n"/>
      <c r="E111" s="917" t="n"/>
      <c r="F111" s="917" t="n"/>
      <c r="G111" s="917" t="n"/>
      <c r="H111" s="917" t="n"/>
      <c r="I111" s="917" t="n"/>
      <c r="J111" s="917" t="n"/>
      <c r="K111" s="917" t="n"/>
      <c r="L111" s="917" t="n"/>
      <c r="M111" s="917" t="n"/>
      <c r="N111" s="516">
        <f>FS_Q!N27</f>
        <v/>
      </c>
      <c r="O111" s="516">
        <f>FS_Q!O27</f>
        <v/>
      </c>
      <c r="P111" s="516">
        <f>FS_Q!P27</f>
        <v/>
      </c>
      <c r="Q111" s="516">
        <f>FS_Q!Q27</f>
        <v/>
      </c>
      <c r="R111" s="516">
        <f>FS_Q!R27</f>
        <v/>
      </c>
      <c r="S111" s="516">
        <f>FS_Q!S27</f>
        <v/>
      </c>
      <c r="T111" s="516">
        <f>FS_Q!T27</f>
        <v/>
      </c>
      <c r="U111" s="516">
        <f>FS_Q!U27</f>
        <v/>
      </c>
      <c r="V111" s="516">
        <f>FS_Q!V27</f>
        <v/>
      </c>
      <c r="W111" s="516">
        <f>FS_Q!W27</f>
        <v/>
      </c>
      <c r="X111" s="516">
        <f>FS_Q!X27</f>
        <v/>
      </c>
      <c r="Y111" s="516">
        <f>FS_Q!Y27</f>
        <v/>
      </c>
      <c r="Z111" s="516">
        <f>FS_Q!Z27</f>
        <v/>
      </c>
      <c r="AA111" s="516">
        <f>FS_Q!AA27</f>
        <v/>
      </c>
      <c r="AB111" s="516">
        <f>FS_Q!AB27</f>
        <v/>
      </c>
      <c r="AC111" s="516">
        <f>FS_Q!AC27</f>
        <v/>
      </c>
      <c r="AD111" s="516">
        <f>FS_Q!AD27</f>
        <v/>
      </c>
      <c r="AE111" s="516">
        <f>FS_Q!AE27</f>
        <v/>
      </c>
      <c r="AF111" s="516">
        <f>FS_Q!AF27</f>
        <v/>
      </c>
      <c r="AG111" s="516">
        <f>FS_Q!AG27</f>
        <v/>
      </c>
      <c r="AH111" s="516">
        <f>FS_Q!AH27</f>
        <v/>
      </c>
      <c r="AI111" s="516">
        <f>FS_Q!AI27</f>
        <v/>
      </c>
      <c r="AJ111" s="516">
        <f>FS_Q!AJ27</f>
        <v/>
      </c>
      <c r="AK111" s="516">
        <f>FS_Q!AK27</f>
        <v/>
      </c>
      <c r="AL111" s="516">
        <f>FS_Q!AL27</f>
        <v/>
      </c>
      <c r="AM111" s="516">
        <f>FS_Q!AM27</f>
        <v/>
      </c>
      <c r="AN111" s="516">
        <f>FS_Q!AN27</f>
        <v/>
      </c>
      <c r="AO111" s="516">
        <f>FS_Q!AO27</f>
        <v/>
      </c>
      <c r="AP111" s="516">
        <f>FS_Q!AP27</f>
        <v/>
      </c>
      <c r="AQ111" s="516">
        <f>FS_Q!AQ27</f>
        <v/>
      </c>
      <c r="AR111" s="516">
        <f>FS_Q!AR27</f>
        <v/>
      </c>
      <c r="AS111" s="516">
        <f>FS_Q!AS27</f>
        <v/>
      </c>
      <c r="AT111" s="516">
        <f>FS_Q!AT27</f>
        <v/>
      </c>
      <c r="AU111" s="516">
        <f>FS_Q!AU27</f>
        <v/>
      </c>
      <c r="AV111" s="516">
        <f>FS_Q!AV27</f>
        <v/>
      </c>
      <c r="AW111" s="516">
        <f>FS_Q!AW27</f>
        <v/>
      </c>
      <c r="AX111" s="516">
        <f>FS_Q!AX27</f>
        <v/>
      </c>
      <c r="AY111" s="516">
        <f>FS_Q!AY27</f>
        <v/>
      </c>
      <c r="AZ111" s="516">
        <f>FS_Q!AZ27</f>
        <v/>
      </c>
      <c r="BA111" s="516">
        <f>FS_Q!BA27</f>
        <v/>
      </c>
      <c r="BB111" s="516">
        <f>FS_Q!BB27</f>
        <v/>
      </c>
      <c r="BC111" s="516">
        <f>FS_Q!BC27</f>
        <v/>
      </c>
      <c r="BD111" s="516">
        <f>FS_Q!BD27</f>
        <v/>
      </c>
      <c r="BE111" s="516">
        <f>FS_Q!BE27</f>
        <v/>
      </c>
      <c r="BF111" s="516">
        <f>FS_Q!BF27</f>
        <v/>
      </c>
      <c r="BG111" s="516">
        <f>FS_Q!BG27</f>
        <v/>
      </c>
      <c r="BH111" s="516">
        <f>FS_Q!BH27</f>
        <v/>
      </c>
      <c r="BI111" s="516">
        <f>FS_Q!BI27</f>
        <v/>
      </c>
      <c r="BJ111" s="516">
        <f>FS_Q!BJ27</f>
        <v/>
      </c>
      <c r="BK111" s="516">
        <f>FS_Q!BK27</f>
        <v/>
      </c>
      <c r="BL111" s="516">
        <f>FS_Q!BL27</f>
        <v/>
      </c>
      <c r="BM111" s="516">
        <f>FS_Q!BM27</f>
        <v/>
      </c>
      <c r="BN111" s="516">
        <f>FS_Q!BN27</f>
        <v/>
      </c>
      <c r="BO111" s="516">
        <f>FS_Q!BO27</f>
        <v/>
      </c>
      <c r="BP111" s="516">
        <f>FS_Q!BP27</f>
        <v/>
      </c>
      <c r="BQ111" s="516">
        <f>FS_Q!BQ27</f>
        <v/>
      </c>
      <c r="BR111" s="516">
        <f>FS_Q!BR27</f>
        <v/>
      </c>
      <c r="BS111" s="517">
        <f>BS$108*BS112</f>
        <v/>
      </c>
      <c r="BT111" s="517">
        <f>BT$108*BT112</f>
        <v/>
      </c>
      <c r="BU111" s="517">
        <f>BU$108*BU112</f>
        <v/>
      </c>
      <c r="BV111" s="517">
        <f>BV$108*BV112</f>
        <v/>
      </c>
      <c r="BW111" s="517">
        <f>BW$108*BW112</f>
        <v/>
      </c>
      <c r="BX111" s="517">
        <f>BX$108*BX112</f>
        <v/>
      </c>
      <c r="BY111" s="517">
        <f>BY$108*BY112</f>
        <v/>
      </c>
      <c r="BZ111" s="517">
        <f>BZ$108*BZ112</f>
        <v/>
      </c>
      <c r="CA111" s="517">
        <f>CA$108*CA112</f>
        <v/>
      </c>
      <c r="CB111" s="517">
        <f>CB$108*CB112</f>
        <v/>
      </c>
      <c r="CC111" s="517">
        <f>CC$108*CC112</f>
        <v/>
      </c>
      <c r="CD111" s="517">
        <f>CD$108*CD112</f>
        <v/>
      </c>
      <c r="CE111" s="517">
        <f>CE$108*CE112</f>
        <v/>
      </c>
      <c r="CF111" s="517">
        <f>CF$108*CF112</f>
        <v/>
      </c>
      <c r="CG111" s="517">
        <f>CG$108*CG112</f>
        <v/>
      </c>
      <c r="CH111" s="517">
        <f>CH$108*CH112</f>
        <v/>
      </c>
      <c r="CI111" s="517">
        <f>CI$108*CI112</f>
        <v/>
      </c>
      <c r="CJ111" s="517">
        <f>CJ$108*CJ112</f>
        <v/>
      </c>
      <c r="CK111" s="517">
        <f>CK$108*CK112</f>
        <v/>
      </c>
      <c r="DA111" s="517">
        <f>SUMIF($N$1:$CG$1,DA$1,$N111:$CG111)</f>
        <v/>
      </c>
      <c r="DB111" s="517">
        <f>SUMIF($N$1:$CG$1,DB$1,$N111:$CG111)</f>
        <v/>
      </c>
      <c r="DC111" s="517">
        <f>SUMIF($N$1:$CG$1,DC$1,$N111:$CG111)</f>
        <v/>
      </c>
      <c r="DD111" s="517">
        <f>SUMIF($N$1:$CG$1,DD$1,$N111:$CG111)</f>
        <v/>
      </c>
      <c r="DE111" s="517">
        <f>SUMIF($N$1:$CG$1,DE$1,$N111:$CG111)</f>
        <v/>
      </c>
      <c r="DF111" s="517">
        <f>SUMIF($N$1:$CG$1,DF$1,$N111:$CG111)</f>
        <v/>
      </c>
      <c r="DG111" s="517">
        <f>SUMIF($N$1:$CG$1,DG$1,$N111:$CG111)</f>
        <v/>
      </c>
      <c r="DH111" s="517">
        <f>SUMIF($N$1:$CG$1,DH$1,$N111:$CG111)</f>
        <v/>
      </c>
      <c r="DI111" s="517">
        <f>SUMIF($N$1:$CG$1,DI$1,$N111:$CG111)</f>
        <v/>
      </c>
      <c r="DJ111" s="517">
        <f>SUMIF($N$1:$CG$1,DJ$1,$N111:$CG111)</f>
        <v/>
      </c>
      <c r="DK111" s="517">
        <f>SUMIF($N$1:$CG$1,DK$1,$N111:$CG111)</f>
        <v/>
      </c>
      <c r="DL111" s="517">
        <f>SUMIF($N$1:$CG$1,DL$1,$N111:$CG111)</f>
        <v/>
      </c>
      <c r="DM111" s="517">
        <f>SUMIF($N$1:$CG$1,DM$1,$N111:$CG111)</f>
        <v/>
      </c>
      <c r="DN111" s="517">
        <f>SUMIF($N$1:$CG$1,DN$1,$N111:$CG111)</f>
        <v/>
      </c>
      <c r="DO111" s="517">
        <f>SUMIF($N$1:$CG$1,DO$1,$N111:$CG111)</f>
        <v/>
      </c>
      <c r="DP111" s="517">
        <f>SUMIF($N$1:$CG$1,DP$1,$N111:$CG111)</f>
        <v/>
      </c>
      <c r="DQ111" s="517">
        <f>SUMIF($N$1:$CG$1,DQ$1,$N111:$CG111)</f>
        <v/>
      </c>
      <c r="DR111" s="517">
        <f>SUMIF($N$1:$CG$1,DR$1,$N111:$CG111)</f>
        <v/>
      </c>
      <c r="DS111" s="517">
        <f>SUMIF($N$1:$CK$1,DS$1,$N111:$CK111)</f>
        <v/>
      </c>
    </row>
    <row r="112">
      <c r="A112" s="191" t="inlineStr">
        <is>
          <t>as % of net income</t>
        </is>
      </c>
      <c r="B112" s="917" t="n"/>
      <c r="C112" s="917" t="n"/>
      <c r="D112" s="917" t="n"/>
      <c r="E112" s="917" t="n"/>
      <c r="F112" s="917" t="n"/>
      <c r="G112" s="917" t="n"/>
      <c r="H112" s="917" t="n"/>
      <c r="I112" s="917" t="n"/>
      <c r="J112" s="917" t="n"/>
      <c r="K112" s="917" t="n"/>
      <c r="L112" s="917" t="n"/>
      <c r="M112" s="917" t="n"/>
      <c r="N112" s="908">
        <f>N111/N$108</f>
        <v/>
      </c>
      <c r="O112" s="908">
        <f>O111/O$108</f>
        <v/>
      </c>
      <c r="P112" s="908">
        <f>P111/P$108</f>
        <v/>
      </c>
      <c r="Q112" s="908">
        <f>Q111/Q$108</f>
        <v/>
      </c>
      <c r="R112" s="908">
        <f>R111/R$108</f>
        <v/>
      </c>
      <c r="S112" s="908">
        <f>S111/S$108</f>
        <v/>
      </c>
      <c r="T112" s="908">
        <f>T111/T$108</f>
        <v/>
      </c>
      <c r="U112" s="908">
        <f>U111/U$108</f>
        <v/>
      </c>
      <c r="V112" s="908">
        <f>V111/V$108</f>
        <v/>
      </c>
      <c r="W112" s="908">
        <f>W111/W$108</f>
        <v/>
      </c>
      <c r="X112" s="908">
        <f>X111/X$108</f>
        <v/>
      </c>
      <c r="Y112" s="908">
        <f>Y111/Y$108</f>
        <v/>
      </c>
      <c r="Z112" s="908">
        <f>Z111/Z$108</f>
        <v/>
      </c>
      <c r="AA112" s="908">
        <f>AA111/AA$108</f>
        <v/>
      </c>
      <c r="AB112" s="908">
        <f>AB111/AB$108</f>
        <v/>
      </c>
      <c r="AC112" s="908">
        <f>AC111/AC$108</f>
        <v/>
      </c>
      <c r="AD112" s="908">
        <f>AD111/AD$108</f>
        <v/>
      </c>
      <c r="AE112" s="908">
        <f>AE111/AE$108</f>
        <v/>
      </c>
      <c r="AF112" s="908">
        <f>AF111/AF$108</f>
        <v/>
      </c>
      <c r="AG112" s="908">
        <f>AG111/AG$108</f>
        <v/>
      </c>
      <c r="AH112" s="908">
        <f>AH111/AH$108</f>
        <v/>
      </c>
      <c r="AI112" s="908">
        <f>AI111/AI$108</f>
        <v/>
      </c>
      <c r="AJ112" s="908">
        <f>AJ111/AJ$108</f>
        <v/>
      </c>
      <c r="AK112" s="908">
        <f>AK111/AK$108</f>
        <v/>
      </c>
      <c r="AL112" s="908">
        <f>AL111/AL$108</f>
        <v/>
      </c>
      <c r="AM112" s="908">
        <f>AM111/AM$108</f>
        <v/>
      </c>
      <c r="AN112" s="908">
        <f>AN111/AN$108</f>
        <v/>
      </c>
      <c r="AO112" s="908">
        <f>AO111/AO$108</f>
        <v/>
      </c>
      <c r="AP112" s="908">
        <f>AP111/AP$108</f>
        <v/>
      </c>
      <c r="AQ112" s="908">
        <f>AQ111/AQ$108</f>
        <v/>
      </c>
      <c r="AR112" s="908">
        <f>AR111/AR$108</f>
        <v/>
      </c>
      <c r="AS112" s="908">
        <f>AS111/AS$108</f>
        <v/>
      </c>
      <c r="AT112" s="908">
        <f>AT111/AT$108</f>
        <v/>
      </c>
      <c r="AU112" s="908">
        <f>AU111/AU$108</f>
        <v/>
      </c>
      <c r="AV112" s="908">
        <f>AV111/AV$108</f>
        <v/>
      </c>
      <c r="AW112" s="908">
        <f>AW111/AW$108</f>
        <v/>
      </c>
      <c r="AX112" s="908">
        <f>AX111/AX$108</f>
        <v/>
      </c>
      <c r="AY112" s="908">
        <f>AY111/AY$108</f>
        <v/>
      </c>
      <c r="AZ112" s="908">
        <f>AZ111/AZ$108</f>
        <v/>
      </c>
      <c r="BA112" s="908">
        <f>BA111/BA$108</f>
        <v/>
      </c>
      <c r="BB112" s="908">
        <f>BB111/BB$108</f>
        <v/>
      </c>
      <c r="BC112" s="908">
        <f>BC111/BC$108</f>
        <v/>
      </c>
      <c r="BD112" s="908">
        <f>BD111/BD$108</f>
        <v/>
      </c>
      <c r="BE112" s="908">
        <f>BE111/BE$108</f>
        <v/>
      </c>
      <c r="BF112" s="908">
        <f>BF111/BF$108</f>
        <v/>
      </c>
      <c r="BG112" s="908">
        <f>BG111/BG$108</f>
        <v/>
      </c>
      <c r="BH112" s="908">
        <f>BH111/BH$108</f>
        <v/>
      </c>
      <c r="BI112" s="908">
        <f>BI111/BI$108</f>
        <v/>
      </c>
      <c r="BJ112" s="908">
        <f>BJ111/BJ$108</f>
        <v/>
      </c>
      <c r="BK112" s="908">
        <f>BK111/BK$108</f>
        <v/>
      </c>
      <c r="BL112" s="908">
        <f>BL111/BL$108</f>
        <v/>
      </c>
      <c r="BM112" s="908">
        <f>BM111/BM$108</f>
        <v/>
      </c>
      <c r="BN112" s="908">
        <f>BN111/BN$108</f>
        <v/>
      </c>
      <c r="BO112" s="908">
        <f>BO111/BO$108</f>
        <v/>
      </c>
      <c r="BP112" s="908">
        <f>BP111/BP$108</f>
        <v/>
      </c>
      <c r="BQ112" s="908">
        <f>BQ111/BQ$108</f>
        <v/>
      </c>
      <c r="BR112" s="908">
        <f>BR111/BR$108</f>
        <v/>
      </c>
      <c r="BS112" s="909">
        <f>BR112</f>
        <v/>
      </c>
      <c r="BT112" s="909">
        <f>BS112</f>
        <v/>
      </c>
      <c r="BU112" s="909">
        <f>BT112</f>
        <v/>
      </c>
      <c r="BV112" s="909">
        <f>BU112</f>
        <v/>
      </c>
      <c r="BW112" s="909">
        <f>BV112</f>
        <v/>
      </c>
      <c r="BX112" s="909">
        <f>BW112</f>
        <v/>
      </c>
      <c r="BY112" s="909">
        <f>BX112</f>
        <v/>
      </c>
      <c r="BZ112" s="909">
        <f>BY112</f>
        <v/>
      </c>
      <c r="CA112" s="909">
        <f>BZ112</f>
        <v/>
      </c>
      <c r="CB112" s="909">
        <f>CA112</f>
        <v/>
      </c>
      <c r="CC112" s="909">
        <f>CB112</f>
        <v/>
      </c>
      <c r="CD112" s="909">
        <f>CC112</f>
        <v/>
      </c>
      <c r="CE112" s="909">
        <f>CD112</f>
        <v/>
      </c>
      <c r="CF112" s="909">
        <f>CE112</f>
        <v/>
      </c>
      <c r="CG112" s="909">
        <f>CF112</f>
        <v/>
      </c>
      <c r="CH112" s="909">
        <f>CG112</f>
        <v/>
      </c>
      <c r="CI112" s="909">
        <f>CH112</f>
        <v/>
      </c>
      <c r="CJ112" s="909">
        <f>CI112</f>
        <v/>
      </c>
      <c r="CK112" s="909">
        <f>CJ112</f>
        <v/>
      </c>
      <c r="DA112" s="912">
        <f>DA111/DA$108</f>
        <v/>
      </c>
      <c r="DB112" s="912">
        <f>DB111/DB$108</f>
        <v/>
      </c>
      <c r="DC112" s="912">
        <f>DC111/DC$108</f>
        <v/>
      </c>
      <c r="DD112" s="912">
        <f>DD111/DD$108</f>
        <v/>
      </c>
      <c r="DE112" s="912">
        <f>DE111/DE$108</f>
        <v/>
      </c>
      <c r="DF112" s="912">
        <f>DF111/DF$108</f>
        <v/>
      </c>
      <c r="DG112" s="912">
        <f>DG111/DG$108</f>
        <v/>
      </c>
      <c r="DH112" s="912">
        <f>DH111/DH$108</f>
        <v/>
      </c>
      <c r="DI112" s="912">
        <f>DI111/DI$108</f>
        <v/>
      </c>
      <c r="DJ112" s="912">
        <f>DJ111/DJ$108</f>
        <v/>
      </c>
      <c r="DK112" s="912">
        <f>DK111/DK$108</f>
        <v/>
      </c>
      <c r="DL112" s="912">
        <f>DL111/DL$108</f>
        <v/>
      </c>
      <c r="DM112" s="912">
        <f>DM111/DM$108</f>
        <v/>
      </c>
      <c r="DN112" s="912">
        <f>DN111/DN$108</f>
        <v/>
      </c>
      <c r="DO112" s="912">
        <f>DO111/DO$108</f>
        <v/>
      </c>
      <c r="DP112" s="912">
        <f>DP111/DP$108</f>
        <v/>
      </c>
      <c r="DQ112" s="912">
        <f>DQ111/DQ$108</f>
        <v/>
      </c>
      <c r="DR112" s="912">
        <f>DR111/DR$108</f>
        <v/>
      </c>
      <c r="DS112" s="912">
        <f>DS111/DS$108</f>
        <v/>
      </c>
    </row>
    <row r="113">
      <c r="A113" s="191" t="n"/>
      <c r="B113" s="917" t="n"/>
      <c r="C113" s="917" t="n"/>
      <c r="D113" s="917" t="n"/>
      <c r="E113" s="917" t="n"/>
      <c r="F113" s="917" t="n"/>
      <c r="G113" s="917" t="n"/>
      <c r="H113" s="917" t="n"/>
      <c r="I113" s="917" t="n"/>
      <c r="J113" s="917" t="n"/>
      <c r="K113" s="917" t="n"/>
      <c r="L113" s="917" t="n"/>
      <c r="M113" s="917" t="n"/>
    </row>
    <row r="114">
      <c r="A114" s="520" t="inlineStr">
        <is>
          <t>Net income attributable to Minority Interest</t>
        </is>
      </c>
      <c r="B114" s="917" t="n"/>
      <c r="C114" s="917" t="n"/>
      <c r="D114" s="917" t="n"/>
      <c r="E114" s="917" t="n"/>
      <c r="F114" s="917" t="n"/>
      <c r="G114" s="917" t="n"/>
      <c r="H114" s="917" t="n"/>
      <c r="I114" s="917" t="n"/>
      <c r="J114" s="917" t="n"/>
      <c r="K114" s="917" t="n"/>
      <c r="L114" s="917" t="n"/>
      <c r="M114" s="917" t="n"/>
      <c r="N114" s="516">
        <f>FS_Q!N26</f>
        <v/>
      </c>
      <c r="O114" s="516">
        <f>FS_Q!O26</f>
        <v/>
      </c>
      <c r="P114" s="516">
        <f>FS_Q!P26</f>
        <v/>
      </c>
      <c r="Q114" s="516">
        <f>FS_Q!Q26</f>
        <v/>
      </c>
      <c r="R114" s="516">
        <f>FS_Q!R26</f>
        <v/>
      </c>
      <c r="S114" s="516">
        <f>FS_Q!S26</f>
        <v/>
      </c>
      <c r="T114" s="516">
        <f>FS_Q!T26</f>
        <v/>
      </c>
      <c r="U114" s="516">
        <f>FS_Q!U26</f>
        <v/>
      </c>
      <c r="V114" s="516">
        <f>FS_Q!V26</f>
        <v/>
      </c>
      <c r="W114" s="516">
        <f>FS_Q!W26</f>
        <v/>
      </c>
      <c r="X114" s="516">
        <f>FS_Q!X26</f>
        <v/>
      </c>
      <c r="Y114" s="516">
        <f>FS_Q!Y26</f>
        <v/>
      </c>
      <c r="Z114" s="516">
        <f>FS_Q!Z26</f>
        <v/>
      </c>
      <c r="AA114" s="516">
        <f>FS_Q!AA26</f>
        <v/>
      </c>
      <c r="AB114" s="516">
        <f>FS_Q!AB26</f>
        <v/>
      </c>
      <c r="AC114" s="516">
        <f>FS_Q!AC26</f>
        <v/>
      </c>
      <c r="AD114" s="516">
        <f>FS_Q!AD26</f>
        <v/>
      </c>
      <c r="AE114" s="516">
        <f>FS_Q!AE26</f>
        <v/>
      </c>
      <c r="AF114" s="516">
        <f>FS_Q!AF26</f>
        <v/>
      </c>
      <c r="AG114" s="516">
        <f>FS_Q!AG26</f>
        <v/>
      </c>
      <c r="AH114" s="516">
        <f>FS_Q!AH26</f>
        <v/>
      </c>
      <c r="AI114" s="516">
        <f>FS_Q!AI26</f>
        <v/>
      </c>
      <c r="AJ114" s="516">
        <f>FS_Q!AJ26</f>
        <v/>
      </c>
      <c r="AK114" s="516">
        <f>FS_Q!AK26</f>
        <v/>
      </c>
      <c r="AL114" s="516">
        <f>FS_Q!AL26</f>
        <v/>
      </c>
      <c r="AM114" s="516">
        <f>FS_Q!AM26</f>
        <v/>
      </c>
      <c r="AN114" s="516">
        <f>FS_Q!AN26</f>
        <v/>
      </c>
      <c r="AO114" s="516">
        <f>FS_Q!AO26</f>
        <v/>
      </c>
      <c r="AP114" s="516">
        <f>FS_Q!AP26</f>
        <v/>
      </c>
      <c r="AQ114" s="516">
        <f>FS_Q!AQ26</f>
        <v/>
      </c>
      <c r="AR114" s="516">
        <f>FS_Q!AR26</f>
        <v/>
      </c>
      <c r="AS114" s="516">
        <f>FS_Q!AS26</f>
        <v/>
      </c>
      <c r="AT114" s="516">
        <f>FS_Q!AT26</f>
        <v/>
      </c>
      <c r="AU114" s="516">
        <f>FS_Q!AU26</f>
        <v/>
      </c>
      <c r="AV114" s="516">
        <f>FS_Q!AV26</f>
        <v/>
      </c>
      <c r="AW114" s="516">
        <f>FS_Q!AW26</f>
        <v/>
      </c>
      <c r="AX114" s="516">
        <f>FS_Q!AX26</f>
        <v/>
      </c>
      <c r="AY114" s="516">
        <f>FS_Q!AY26</f>
        <v/>
      </c>
      <c r="AZ114" s="516">
        <f>FS_Q!AZ26</f>
        <v/>
      </c>
      <c r="BA114" s="516">
        <f>FS_Q!BA26</f>
        <v/>
      </c>
      <c r="BB114" s="516">
        <f>FS_Q!BB26</f>
        <v/>
      </c>
      <c r="BC114" s="516">
        <f>FS_Q!BC26</f>
        <v/>
      </c>
      <c r="BD114" s="516">
        <f>FS_Q!BD26</f>
        <v/>
      </c>
      <c r="BE114" s="516">
        <f>FS_Q!BE26</f>
        <v/>
      </c>
      <c r="BF114" s="516">
        <f>FS_Q!BF26</f>
        <v/>
      </c>
      <c r="BG114" s="516">
        <f>FS_Q!BG26</f>
        <v/>
      </c>
      <c r="BH114" s="516">
        <f>FS_Q!BH26</f>
        <v/>
      </c>
      <c r="BI114" s="516">
        <f>FS_Q!BI26</f>
        <v/>
      </c>
      <c r="BJ114" s="516">
        <f>FS_Q!BJ26</f>
        <v/>
      </c>
      <c r="BK114" s="516">
        <f>FS_Q!BK26</f>
        <v/>
      </c>
      <c r="BL114" s="516">
        <f>FS_Q!BL26</f>
        <v/>
      </c>
      <c r="BM114" s="516">
        <f>FS_Q!BM26</f>
        <v/>
      </c>
      <c r="BN114" s="516">
        <f>FS_Q!BN26</f>
        <v/>
      </c>
      <c r="BO114" s="516">
        <f>FS_Q!BO26</f>
        <v/>
      </c>
      <c r="BP114" s="516">
        <f>FS_Q!BP26</f>
        <v/>
      </c>
      <c r="BQ114" s="516">
        <f>FS_Q!BQ26</f>
        <v/>
      </c>
      <c r="BR114" s="516">
        <f>FS_Q!BR26</f>
        <v/>
      </c>
      <c r="BS114" s="517">
        <f>BS$108*BS115</f>
        <v/>
      </c>
      <c r="BT114" s="517">
        <f>BT$108*BT115</f>
        <v/>
      </c>
      <c r="BU114" s="517">
        <f>BU$108*BU115</f>
        <v/>
      </c>
      <c r="BV114" s="517">
        <f>BV$108*BV115</f>
        <v/>
      </c>
      <c r="BW114" s="517">
        <f>BW$108*BW115</f>
        <v/>
      </c>
      <c r="BX114" s="517">
        <f>BX$108*BX115</f>
        <v/>
      </c>
      <c r="BY114" s="517">
        <f>BY$108*BY115</f>
        <v/>
      </c>
      <c r="BZ114" s="517">
        <f>BZ$108*BZ115</f>
        <v/>
      </c>
      <c r="CA114" s="517">
        <f>CA$108*CA115</f>
        <v/>
      </c>
      <c r="CB114" s="517">
        <f>CB$108*CB115</f>
        <v/>
      </c>
      <c r="CC114" s="517">
        <f>CC$108*CC115</f>
        <v/>
      </c>
      <c r="CD114" s="517">
        <f>CD$108*CD115</f>
        <v/>
      </c>
      <c r="CE114" s="517">
        <f>CE$108*CE115</f>
        <v/>
      </c>
      <c r="CF114" s="517">
        <f>CF$108*CF115</f>
        <v/>
      </c>
      <c r="CG114" s="517">
        <f>CG$108*CG115</f>
        <v/>
      </c>
      <c r="CH114" s="517">
        <f>CH$108*CH115</f>
        <v/>
      </c>
      <c r="CI114" s="517">
        <f>CI$108*CI115</f>
        <v/>
      </c>
      <c r="CJ114" s="517">
        <f>CJ$108*CJ115</f>
        <v/>
      </c>
      <c r="CK114" s="517">
        <f>CK$108*CK115</f>
        <v/>
      </c>
      <c r="DA114" s="517">
        <f>SUMIF($N$1:$CG$1,DA$1,$N114:$CG114)</f>
        <v/>
      </c>
      <c r="DB114" s="517">
        <f>SUMIF($N$1:$CG$1,DB$1,$N114:$CG114)</f>
        <v/>
      </c>
      <c r="DC114" s="517">
        <f>SUMIF($N$1:$CG$1,DC$1,$N114:$CG114)</f>
        <v/>
      </c>
      <c r="DD114" s="517">
        <f>SUMIF($N$1:$CG$1,DD$1,$N114:$CG114)</f>
        <v/>
      </c>
      <c r="DE114" s="517">
        <f>SUMIF($N$1:$CG$1,DE$1,$N114:$CG114)</f>
        <v/>
      </c>
      <c r="DF114" s="517">
        <f>SUMIF($N$1:$CG$1,DF$1,$N114:$CG114)</f>
        <v/>
      </c>
      <c r="DG114" s="517">
        <f>SUMIF($N$1:$CG$1,DG$1,$N114:$CG114)</f>
        <v/>
      </c>
      <c r="DH114" s="517">
        <f>SUMIF($N$1:$CG$1,DH$1,$N114:$CG114)</f>
        <v/>
      </c>
      <c r="DI114" s="517">
        <f>SUMIF($N$1:$CG$1,DI$1,$N114:$CG114)</f>
        <v/>
      </c>
      <c r="DJ114" s="517">
        <f>SUMIF($N$1:$CG$1,DJ$1,$N114:$CG114)</f>
        <v/>
      </c>
      <c r="DK114" s="517">
        <f>SUMIF($N$1:$CG$1,DK$1,$N114:$CG114)</f>
        <v/>
      </c>
      <c r="DL114" s="517">
        <f>SUMIF($N$1:$CG$1,DL$1,$N114:$CG114)</f>
        <v/>
      </c>
      <c r="DM114" s="517">
        <f>SUMIF($N$1:$CG$1,DM$1,$N114:$CG114)</f>
        <v/>
      </c>
      <c r="DN114" s="517">
        <f>SUMIF($N$1:$CG$1,DN$1,$N114:$CG114)</f>
        <v/>
      </c>
      <c r="DO114" s="517">
        <f>SUMIF($N$1:$CG$1,DO$1,$N114:$CG114)</f>
        <v/>
      </c>
      <c r="DP114" s="517">
        <f>SUMIF($N$1:$CG$1,DP$1,$N114:$CG114)</f>
        <v/>
      </c>
      <c r="DQ114" s="517">
        <f>SUMIF($N$1:$CG$1,DQ$1,$N114:$CG114)</f>
        <v/>
      </c>
      <c r="DR114" s="517">
        <f>SUMIF($N$1:$CG$1,DR$1,$N114:$CG114)</f>
        <v/>
      </c>
      <c r="DS114" s="517">
        <f>SUMIF($N$1:$CK$1,DS$1,$N114:$CK114)</f>
        <v/>
      </c>
    </row>
    <row r="115" customFormat="1" s="166">
      <c r="A115" s="191">
        <f>A112</f>
        <v/>
      </c>
      <c r="B115" s="917" t="n"/>
      <c r="C115" s="917" t="n"/>
      <c r="D115" s="917" t="n"/>
      <c r="E115" s="917" t="n"/>
      <c r="F115" s="917" t="n"/>
      <c r="G115" s="917" t="n"/>
      <c r="H115" s="917" t="n"/>
      <c r="I115" s="917" t="n"/>
      <c r="J115" s="917" t="n"/>
      <c r="K115" s="917" t="n"/>
      <c r="L115" s="917" t="n"/>
      <c r="M115" s="917" t="n"/>
      <c r="N115" s="908">
        <f>N114/N$108</f>
        <v/>
      </c>
      <c r="O115" s="908">
        <f>O114/O$108</f>
        <v/>
      </c>
      <c r="P115" s="908">
        <f>P114/P$108</f>
        <v/>
      </c>
      <c r="Q115" s="908">
        <f>Q114/Q$108</f>
        <v/>
      </c>
      <c r="R115" s="908">
        <f>R114/R$108</f>
        <v/>
      </c>
      <c r="S115" s="908">
        <f>S114/S$108</f>
        <v/>
      </c>
      <c r="T115" s="908">
        <f>T114/T$108</f>
        <v/>
      </c>
      <c r="U115" s="908">
        <f>U114/U$108</f>
        <v/>
      </c>
      <c r="V115" s="908">
        <f>V114/V$108</f>
        <v/>
      </c>
      <c r="W115" s="908">
        <f>W114/W$108</f>
        <v/>
      </c>
      <c r="X115" s="908">
        <f>X114/X$108</f>
        <v/>
      </c>
      <c r="Y115" s="908">
        <f>Y114/Y$108</f>
        <v/>
      </c>
      <c r="Z115" s="908">
        <f>Z114/Z$108</f>
        <v/>
      </c>
      <c r="AA115" s="908">
        <f>AA114/AA$108</f>
        <v/>
      </c>
      <c r="AB115" s="908">
        <f>AB114/AB$108</f>
        <v/>
      </c>
      <c r="AC115" s="908">
        <f>AC114/AC$108</f>
        <v/>
      </c>
      <c r="AD115" s="908">
        <f>AD114/AD$108</f>
        <v/>
      </c>
      <c r="AE115" s="908">
        <f>AE114/AE$108</f>
        <v/>
      </c>
      <c r="AF115" s="908">
        <f>AF114/AF$108</f>
        <v/>
      </c>
      <c r="AG115" s="908">
        <f>AG114/AG$108</f>
        <v/>
      </c>
      <c r="AH115" s="908">
        <f>AH114/AH$108</f>
        <v/>
      </c>
      <c r="AI115" s="908">
        <f>AI114/AI$108</f>
        <v/>
      </c>
      <c r="AJ115" s="908">
        <f>AJ114/AJ$108</f>
        <v/>
      </c>
      <c r="AK115" s="908">
        <f>AK114/AK$108</f>
        <v/>
      </c>
      <c r="AL115" s="908">
        <f>AL114/AL$108</f>
        <v/>
      </c>
      <c r="AM115" s="908">
        <f>AM114/AM$108</f>
        <v/>
      </c>
      <c r="AN115" s="908">
        <f>AN114/AN$108</f>
        <v/>
      </c>
      <c r="AO115" s="908">
        <f>AO114/AO$108</f>
        <v/>
      </c>
      <c r="AP115" s="908">
        <f>AP114/AP$108</f>
        <v/>
      </c>
      <c r="AQ115" s="908">
        <f>AQ114/AQ$108</f>
        <v/>
      </c>
      <c r="AR115" s="908">
        <f>AR114/AR$108</f>
        <v/>
      </c>
      <c r="AS115" s="908">
        <f>AS114/AS$108</f>
        <v/>
      </c>
      <c r="AT115" s="908">
        <f>AT114/AT$108</f>
        <v/>
      </c>
      <c r="AU115" s="908">
        <f>AU114/AU$108</f>
        <v/>
      </c>
      <c r="AV115" s="908">
        <f>AV114/AV$108</f>
        <v/>
      </c>
      <c r="AW115" s="908">
        <f>AW114/AW$108</f>
        <v/>
      </c>
      <c r="AX115" s="908">
        <f>AX114/AX$108</f>
        <v/>
      </c>
      <c r="AY115" s="908">
        <f>AY114/AY$108</f>
        <v/>
      </c>
      <c r="AZ115" s="908">
        <f>AZ114/AZ$108</f>
        <v/>
      </c>
      <c r="BA115" s="908">
        <f>BA114/BA$108</f>
        <v/>
      </c>
      <c r="BB115" s="908">
        <f>BB114/BB$108</f>
        <v/>
      </c>
      <c r="BC115" s="908">
        <f>BC114/BC$108</f>
        <v/>
      </c>
      <c r="BD115" s="908">
        <f>BD114/BD$108</f>
        <v/>
      </c>
      <c r="BE115" s="908">
        <f>BE114/BE$108</f>
        <v/>
      </c>
      <c r="BF115" s="908">
        <f>BF114/BF$108</f>
        <v/>
      </c>
      <c r="BG115" s="908">
        <f>BG114/BG$108</f>
        <v/>
      </c>
      <c r="BH115" s="908">
        <f>BH114/BH$108</f>
        <v/>
      </c>
      <c r="BI115" s="908">
        <f>BI114/BI$108</f>
        <v/>
      </c>
      <c r="BJ115" s="908">
        <f>BJ114/BJ$108</f>
        <v/>
      </c>
      <c r="BK115" s="908">
        <f>BK114/BK$108</f>
        <v/>
      </c>
      <c r="BL115" s="908">
        <f>BL114/BL$108</f>
        <v/>
      </c>
      <c r="BM115" s="908">
        <f>BM114/BM$108</f>
        <v/>
      </c>
      <c r="BN115" s="908">
        <f>BN114/BN$108</f>
        <v/>
      </c>
      <c r="BO115" s="908">
        <f>BO114/BO$108</f>
        <v/>
      </c>
      <c r="BP115" s="908">
        <f>BP114/BP$108</f>
        <v/>
      </c>
      <c r="BQ115" s="908">
        <f>BQ114/BQ$108</f>
        <v/>
      </c>
      <c r="BR115" s="908">
        <f>BR114/BR$108</f>
        <v/>
      </c>
      <c r="BS115" s="909">
        <f>BR115</f>
        <v/>
      </c>
      <c r="BT115" s="909">
        <f>BS115</f>
        <v/>
      </c>
      <c r="BU115" s="909">
        <f>BT115</f>
        <v/>
      </c>
      <c r="BV115" s="909">
        <f>BU115</f>
        <v/>
      </c>
      <c r="BW115" s="909">
        <f>BV115</f>
        <v/>
      </c>
      <c r="BX115" s="909">
        <f>BW115</f>
        <v/>
      </c>
      <c r="BY115" s="909">
        <f>BX115</f>
        <v/>
      </c>
      <c r="BZ115" s="909">
        <f>BY115</f>
        <v/>
      </c>
      <c r="CA115" s="909">
        <f>BZ115</f>
        <v/>
      </c>
      <c r="CB115" s="909">
        <f>CA115</f>
        <v/>
      </c>
      <c r="CC115" s="909">
        <f>CB115</f>
        <v/>
      </c>
      <c r="CD115" s="909">
        <f>CC115</f>
        <v/>
      </c>
      <c r="CE115" s="909">
        <f>CD115</f>
        <v/>
      </c>
      <c r="CF115" s="909">
        <f>CE115</f>
        <v/>
      </c>
      <c r="CG115" s="909">
        <f>CF115</f>
        <v/>
      </c>
      <c r="CH115" s="909">
        <f>CG115</f>
        <v/>
      </c>
      <c r="CI115" s="909">
        <f>CH115</f>
        <v/>
      </c>
      <c r="CJ115" s="909">
        <f>CI115</f>
        <v/>
      </c>
      <c r="CK115" s="909">
        <f>CJ115</f>
        <v/>
      </c>
      <c r="DA115" s="912">
        <f>DA114/DA$108</f>
        <v/>
      </c>
      <c r="DB115" s="912">
        <f>DB114/DB$108</f>
        <v/>
      </c>
      <c r="DC115" s="912">
        <f>DC114/DC$108</f>
        <v/>
      </c>
      <c r="DD115" s="912">
        <f>DD114/DD$108</f>
        <v/>
      </c>
      <c r="DE115" s="912">
        <f>DE114/DE$108</f>
        <v/>
      </c>
      <c r="DF115" s="912">
        <f>DF114/DF$108</f>
        <v/>
      </c>
      <c r="DG115" s="912">
        <f>DG114/DG$108</f>
        <v/>
      </c>
      <c r="DH115" s="912">
        <f>DH114/DH$108</f>
        <v/>
      </c>
      <c r="DI115" s="912">
        <f>DI114/DI$108</f>
        <v/>
      </c>
      <c r="DJ115" s="912">
        <f>DJ114/DJ$108</f>
        <v/>
      </c>
      <c r="DK115" s="912">
        <f>DK114/DK$108</f>
        <v/>
      </c>
      <c r="DL115" s="912">
        <f>DL114/DL$108</f>
        <v/>
      </c>
      <c r="DM115" s="912">
        <f>DM114/DM$108</f>
        <v/>
      </c>
      <c r="DN115" s="912">
        <f>DN114/DN$108</f>
        <v/>
      </c>
      <c r="DO115" s="912">
        <f>DO114/DO$108</f>
        <v/>
      </c>
      <c r="DP115" s="912">
        <f>DP114/DP$108</f>
        <v/>
      </c>
      <c r="DQ115" s="912">
        <f>DQ114/DQ$108</f>
        <v/>
      </c>
      <c r="DR115" s="912">
        <f>DR114/DR$108</f>
        <v/>
      </c>
      <c r="DS115" s="912">
        <f>DS114/DS$108</f>
        <v/>
      </c>
    </row>
    <row r="116">
      <c r="A116" s="43" t="n"/>
      <c r="B116" s="917" t="n"/>
      <c r="C116" s="917" t="n"/>
      <c r="D116" s="917" t="n"/>
      <c r="E116" s="917" t="n"/>
      <c r="F116" s="917" t="n"/>
      <c r="G116" s="917" t="n"/>
      <c r="H116" s="917" t="n"/>
      <c r="I116" s="917" t="n"/>
      <c r="J116" s="917" t="n"/>
      <c r="K116" s="917" t="n"/>
      <c r="L116" s="917" t="n"/>
      <c r="M116" s="917" t="n"/>
    </row>
    <row r="117">
      <c r="A117" s="43" t="n"/>
      <c r="B117" s="917" t="n"/>
      <c r="C117" s="917" t="n"/>
      <c r="D117" s="917" t="n"/>
      <c r="E117" s="917" t="n"/>
      <c r="F117" s="917" t="n"/>
      <c r="G117" s="917" t="n"/>
      <c r="H117" s="917" t="n"/>
      <c r="I117" s="917" t="n"/>
      <c r="J117" s="917" t="n"/>
      <c r="K117" s="917" t="n"/>
      <c r="L117" s="917" t="n"/>
      <c r="M117" s="917" t="n"/>
      <c r="BQ117" s="84" t="n"/>
      <c r="BR117" s="84" t="n"/>
    </row>
    <row r="118" ht="16" customHeight="1">
      <c r="A118" s="409" t="inlineStr">
        <is>
          <t>Balance sheet assumptions</t>
        </is>
      </c>
      <c r="B118" s="917" t="n"/>
      <c r="C118" s="917" t="n"/>
      <c r="D118" s="917" t="n"/>
      <c r="E118" s="917" t="n"/>
      <c r="F118" s="917" t="n"/>
      <c r="G118" s="917" t="n"/>
      <c r="H118" s="917" t="n"/>
      <c r="I118" s="917" t="n"/>
      <c r="J118" s="917" t="n"/>
      <c r="K118" s="917" t="n"/>
      <c r="L118" s="917" t="n"/>
      <c r="M118" s="917" t="n"/>
    </row>
    <row r="119">
      <c r="A119" s="43" t="n"/>
      <c r="B119" s="917" t="n"/>
      <c r="C119" s="917" t="n"/>
      <c r="D119" s="917" t="n"/>
      <c r="E119" s="917" t="n"/>
      <c r="F119" s="917" t="n"/>
      <c r="G119" s="917" t="n"/>
      <c r="H119" s="917" t="n"/>
      <c r="I119" s="917" t="n"/>
      <c r="J119" s="917" t="n"/>
      <c r="K119" s="917" t="n"/>
      <c r="L119" s="917" t="n"/>
      <c r="M119" s="917" t="n"/>
    </row>
    <row r="120">
      <c r="A120" s="43" t="n"/>
      <c r="B120" s="917" t="n"/>
      <c r="C120" s="917" t="n"/>
      <c r="D120" s="917" t="n"/>
      <c r="E120" s="917" t="n"/>
      <c r="F120" s="917" t="n"/>
      <c r="G120" s="917" t="n"/>
      <c r="H120" s="917" t="n"/>
      <c r="I120" s="917" t="n"/>
      <c r="J120" s="917" t="n"/>
      <c r="K120" s="917" t="n"/>
      <c r="L120" s="917" t="n"/>
      <c r="M120" s="917" t="n"/>
    </row>
    <row r="121">
      <c r="A121" s="81" t="inlineStr">
        <is>
          <t>Net Working Capital (in '000 USD)</t>
        </is>
      </c>
      <c r="G121" s="918" t="n"/>
      <c r="H121" s="918" t="n"/>
      <c r="I121" s="918" t="n"/>
      <c r="J121" s="918" t="n"/>
      <c r="K121" s="918" t="n"/>
      <c r="L121" s="918" t="n"/>
      <c r="M121" s="918" t="n"/>
    </row>
    <row r="122">
      <c r="G122" s="918" t="n"/>
      <c r="H122" s="918" t="n"/>
      <c r="I122" s="918" t="n"/>
      <c r="J122" s="918" t="n"/>
      <c r="K122" s="918" t="n"/>
      <c r="L122" s="918" t="n"/>
      <c r="M122" s="918" t="n"/>
    </row>
    <row r="123">
      <c r="A123" s="524" t="inlineStr">
        <is>
          <t xml:space="preserve">Receivable Days </t>
        </is>
      </c>
      <c r="B123" s="50" t="n"/>
      <c r="C123" s="50" t="n"/>
      <c r="D123" s="50" t="n"/>
      <c r="E123" s="50" t="n"/>
      <c r="F123" s="50" t="n"/>
      <c r="G123" s="50" t="n"/>
      <c r="H123" s="50" t="n"/>
      <c r="I123" s="50" t="n"/>
      <c r="J123" s="50" t="n"/>
      <c r="K123" s="50" t="n"/>
      <c r="L123" s="50" t="n"/>
      <c r="M123" s="50" t="n"/>
      <c r="N123" s="517">
        <f>N157/N$152*N$245</f>
        <v/>
      </c>
      <c r="O123" s="517">
        <f>O157/O$152*O245</f>
        <v/>
      </c>
      <c r="P123" s="517">
        <f>P157/P$152*P245</f>
        <v/>
      </c>
      <c r="Q123" s="517">
        <f>Q157/Q$152*Q245</f>
        <v/>
      </c>
      <c r="R123" s="517">
        <f>R157/R$152*R245</f>
        <v/>
      </c>
      <c r="S123" s="517">
        <f>S157/S$152*S245</f>
        <v/>
      </c>
      <c r="T123" s="517">
        <f>T157/T$152*T245</f>
        <v/>
      </c>
      <c r="U123" s="517">
        <f>U157/U$152*U245</f>
        <v/>
      </c>
      <c r="V123" s="517">
        <f>V157/V$152*V245</f>
        <v/>
      </c>
      <c r="W123" s="517">
        <f>W157/W$152*W245</f>
        <v/>
      </c>
      <c r="X123" s="517">
        <f>X157/X$152*X245</f>
        <v/>
      </c>
      <c r="Y123" s="517">
        <f>Y157/Y$152*Y245</f>
        <v/>
      </c>
      <c r="Z123" s="517">
        <f>Z157/Z$152*Z245</f>
        <v/>
      </c>
      <c r="AA123" s="517">
        <f>AA157/AA$152*AA245</f>
        <v/>
      </c>
      <c r="AB123" s="517">
        <f>AB157/AB$152*AB245</f>
        <v/>
      </c>
      <c r="AC123" s="517">
        <f>AC157/AC$152*AC245</f>
        <v/>
      </c>
      <c r="AD123" s="517">
        <f>AD157/AD$152*AD245</f>
        <v/>
      </c>
      <c r="AE123" s="517">
        <f>AE157/AE$152*AE245</f>
        <v/>
      </c>
      <c r="AF123" s="517">
        <f>AF157/AF$152*AF245</f>
        <v/>
      </c>
      <c r="AG123" s="517">
        <f>AG157/AG$152*AG245</f>
        <v/>
      </c>
      <c r="AH123" s="517">
        <f>AH157/AH$152*AH245</f>
        <v/>
      </c>
      <c r="AI123" s="517">
        <f>AI157/AI$152*AI245</f>
        <v/>
      </c>
      <c r="AJ123" s="517">
        <f>AJ157/AJ$152*AJ245</f>
        <v/>
      </c>
      <c r="AK123" s="517">
        <f>AK157/AK$152*AK245</f>
        <v/>
      </c>
      <c r="AL123" s="517">
        <f>AL157/AL$152*AL245</f>
        <v/>
      </c>
      <c r="AM123" s="517">
        <f>AM157/AM$152*AM245</f>
        <v/>
      </c>
      <c r="AN123" s="517">
        <f>AN157/AN$152*AN245</f>
        <v/>
      </c>
      <c r="AO123" s="517">
        <f>AO157/AO$152*AO245</f>
        <v/>
      </c>
      <c r="AP123" s="517">
        <f>AP157/AP$152*AP245</f>
        <v/>
      </c>
      <c r="AQ123" s="517">
        <f>AQ157/AQ$152*AQ245</f>
        <v/>
      </c>
      <c r="AR123" s="517">
        <f>AR157/AR$152*AR245</f>
        <v/>
      </c>
      <c r="AS123" s="517">
        <f>AS157/AS$152*AS245</f>
        <v/>
      </c>
      <c r="AT123" s="517">
        <f>AT157/AT$152*AT245</f>
        <v/>
      </c>
      <c r="AU123" s="517">
        <f>AU157/AU$152*AU245</f>
        <v/>
      </c>
      <c r="AV123" s="517">
        <f>AV157/AV$152*AV245</f>
        <v/>
      </c>
      <c r="AW123" s="517">
        <f>AW157/AW$152*AW245</f>
        <v/>
      </c>
      <c r="AX123" s="517">
        <f>AX157/AX$152*AX245</f>
        <v/>
      </c>
      <c r="AY123" s="517">
        <f>AY157/AY$152*AY245</f>
        <v/>
      </c>
      <c r="AZ123" s="517">
        <f>AZ157/AZ$152*AZ245</f>
        <v/>
      </c>
      <c r="BA123" s="517">
        <f>BA157/BA$152*BA245</f>
        <v/>
      </c>
      <c r="BB123" s="517">
        <f>BB157/BB$152*BB245</f>
        <v/>
      </c>
      <c r="BC123" s="517">
        <f>BC157/BC$152*BC245</f>
        <v/>
      </c>
      <c r="BD123" s="517">
        <f>BD157/BD$152*BD245</f>
        <v/>
      </c>
      <c r="BE123" s="517">
        <f>BE157/BE$152*BE245</f>
        <v/>
      </c>
      <c r="BF123" s="517">
        <f>BF157/BF$152*BF245</f>
        <v/>
      </c>
      <c r="BG123" s="517">
        <f>BG157/BG$152*BG245</f>
        <v/>
      </c>
      <c r="BH123" s="517">
        <f>BH157/BH$152*BH245</f>
        <v/>
      </c>
      <c r="BI123" s="517">
        <f>BI157/BI$152*BI245</f>
        <v/>
      </c>
      <c r="BJ123" s="517">
        <f>BJ157/BJ$152*BJ245</f>
        <v/>
      </c>
      <c r="BK123" s="517">
        <f>BK157/BK$152*BK245</f>
        <v/>
      </c>
      <c r="BL123" s="517">
        <f>BL157/BL$152*BL245</f>
        <v/>
      </c>
      <c r="BM123" s="517">
        <f>BM157/BM$152*BM245</f>
        <v/>
      </c>
      <c r="BN123" s="517">
        <f>BN157/BN$152*BN245</f>
        <v/>
      </c>
      <c r="BO123" s="517">
        <f>BO157/BO$152*BO245</f>
        <v/>
      </c>
      <c r="BP123" s="517">
        <f>BP157/BP$152*BP245</f>
        <v/>
      </c>
      <c r="BQ123" s="517">
        <f>BQ157/BQ$152*BQ245</f>
        <v/>
      </c>
      <c r="BR123" s="517">
        <f>BR157/BR$152*BR245</f>
        <v/>
      </c>
      <c r="BS123" s="541">
        <f>AVERAGE(BO123,BK123,BG123)</f>
        <v/>
      </c>
      <c r="BT123" s="541">
        <f>AVERAGE(BP123,BL123,BH123)</f>
        <v/>
      </c>
      <c r="BU123" s="541">
        <f>AVERAGE(BQ123,BM123,BI123)</f>
        <v/>
      </c>
      <c r="BV123" s="541">
        <f>AVERAGE(BR123,BN123,BJ123)</f>
        <v/>
      </c>
      <c r="BW123" s="541">
        <f>AVERAGE(BS123,BO123,BK123)</f>
        <v/>
      </c>
      <c r="BX123" s="541">
        <f>AVERAGE(BT123,BP123,BL123)</f>
        <v/>
      </c>
      <c r="BY123" s="541">
        <f>AVERAGE(BU123,BQ123,BM123)</f>
        <v/>
      </c>
      <c r="BZ123" s="541">
        <f>AVERAGE(BV123,BR123,BN123)</f>
        <v/>
      </c>
      <c r="CA123" s="541">
        <f>AVERAGE(BW123,BS123,BO123)</f>
        <v/>
      </c>
      <c r="CB123" s="541">
        <f>AVERAGE(BX123,BT123,BP123)</f>
        <v/>
      </c>
      <c r="CC123" s="541">
        <f>AVERAGE(BY123,BU123,BQ123)</f>
        <v/>
      </c>
      <c r="CD123" s="541">
        <f>AVERAGE(BZ123,BV123,BR123)</f>
        <v/>
      </c>
      <c r="CE123" s="541">
        <f>AVERAGE(CA123,BW123,BS123)</f>
        <v/>
      </c>
      <c r="CF123" s="541">
        <f>AVERAGE(CB123,BX123,BT123)</f>
        <v/>
      </c>
      <c r="CG123" s="541">
        <f>AVERAGE(CC123,BY123,BU123)</f>
        <v/>
      </c>
      <c r="CH123" s="541">
        <f>AVERAGE(CD123,BZ123,BV123)</f>
        <v/>
      </c>
      <c r="CI123" s="541">
        <f>AVERAGE(CE123,CA123,BW123)</f>
        <v/>
      </c>
      <c r="CJ123" s="541">
        <f>AVERAGE(CF123,CB123,BX123)</f>
        <v/>
      </c>
      <c r="CK123" s="541">
        <f>AVERAGE(CG123,CC123,BY123)</f>
        <v/>
      </c>
    </row>
    <row r="124">
      <c r="A124" s="43" t="inlineStr">
        <is>
          <t>y/y Increase / (Decrease) - days</t>
        </is>
      </c>
      <c r="B124" s="50" t="n"/>
      <c r="C124" s="50" t="n"/>
      <c r="D124" s="50" t="n"/>
      <c r="E124" s="50" t="n"/>
      <c r="F124" s="50" t="n"/>
      <c r="G124" s="50" t="n"/>
      <c r="H124" s="50" t="n"/>
      <c r="I124" s="50" t="n"/>
      <c r="J124" s="50" t="n"/>
      <c r="K124" s="50" t="n"/>
      <c r="L124" s="50" t="n"/>
      <c r="M124" s="50" t="n"/>
      <c r="O124" s="517">
        <f>O123-N123</f>
        <v/>
      </c>
      <c r="P124" s="517">
        <f>P123-O123</f>
        <v/>
      </c>
      <c r="Q124" s="517">
        <f>Q123-P123</f>
        <v/>
      </c>
      <c r="R124" s="517">
        <f>R123-Q123</f>
        <v/>
      </c>
      <c r="S124" s="517">
        <f>S123-R123</f>
        <v/>
      </c>
      <c r="T124" s="517">
        <f>T123-S123</f>
        <v/>
      </c>
      <c r="U124" s="517">
        <f>U123-T123</f>
        <v/>
      </c>
      <c r="V124" s="517">
        <f>V123-U123</f>
        <v/>
      </c>
      <c r="W124" s="517">
        <f>W123-V123</f>
        <v/>
      </c>
      <c r="X124" s="517">
        <f>X123-W123</f>
        <v/>
      </c>
      <c r="Y124" s="517">
        <f>Y123-X123</f>
        <v/>
      </c>
      <c r="Z124" s="517">
        <f>Z123-Y123</f>
        <v/>
      </c>
      <c r="AA124" s="517">
        <f>AA123-Z123</f>
        <v/>
      </c>
      <c r="AB124" s="517">
        <f>AB123-AA123</f>
        <v/>
      </c>
      <c r="AC124" s="517">
        <f>AC123-AB123</f>
        <v/>
      </c>
      <c r="AD124" s="517">
        <f>AD123-AC123</f>
        <v/>
      </c>
      <c r="AE124" s="517">
        <f>AE123-AD123</f>
        <v/>
      </c>
      <c r="AF124" s="517">
        <f>AF123-AE123</f>
        <v/>
      </c>
      <c r="AG124" s="517">
        <f>AG123-AF123</f>
        <v/>
      </c>
      <c r="AH124" s="517">
        <f>AH123-AG123</f>
        <v/>
      </c>
      <c r="AI124" s="517">
        <f>AI123-AH123</f>
        <v/>
      </c>
      <c r="AJ124" s="517">
        <f>AJ123-AI123</f>
        <v/>
      </c>
      <c r="AK124" s="517">
        <f>AK123-AJ123</f>
        <v/>
      </c>
      <c r="AL124" s="517">
        <f>AL123-AK123</f>
        <v/>
      </c>
      <c r="AM124" s="517">
        <f>AM123-AL123</f>
        <v/>
      </c>
      <c r="AN124" s="517">
        <f>AN123-AM123</f>
        <v/>
      </c>
      <c r="AO124" s="517">
        <f>AO123-AN123</f>
        <v/>
      </c>
      <c r="AP124" s="517">
        <f>AP123-AO123</f>
        <v/>
      </c>
      <c r="AQ124" s="517">
        <f>AQ123-AP123</f>
        <v/>
      </c>
      <c r="AR124" s="517">
        <f>AR123-AQ123</f>
        <v/>
      </c>
      <c r="AS124" s="517">
        <f>AS123-AR123</f>
        <v/>
      </c>
      <c r="AT124" s="517">
        <f>AT123-AS123</f>
        <v/>
      </c>
      <c r="AU124" s="517">
        <f>AU123-AT123</f>
        <v/>
      </c>
      <c r="AV124" s="517">
        <f>AV123-AU123</f>
        <v/>
      </c>
      <c r="AW124" s="517">
        <f>AW123-AV123</f>
        <v/>
      </c>
      <c r="AX124" s="517">
        <f>AX123-AW123</f>
        <v/>
      </c>
      <c r="AY124" s="517">
        <f>AY123-AX123</f>
        <v/>
      </c>
      <c r="AZ124" s="517">
        <f>AZ123-AY123</f>
        <v/>
      </c>
      <c r="BA124" s="517">
        <f>BA123-AZ123</f>
        <v/>
      </c>
      <c r="BB124" s="517">
        <f>BB123-BA123</f>
        <v/>
      </c>
      <c r="BC124" s="517">
        <f>BC123-BB123</f>
        <v/>
      </c>
      <c r="BD124" s="517">
        <f>BD123-BC123</f>
        <v/>
      </c>
      <c r="BE124" s="517">
        <f>BE123-BD123</f>
        <v/>
      </c>
      <c r="BF124" s="517">
        <f>BF123-BE123</f>
        <v/>
      </c>
      <c r="BG124" s="517">
        <f>BG123-BF123</f>
        <v/>
      </c>
      <c r="BH124" s="517">
        <f>BH123-BG123</f>
        <v/>
      </c>
      <c r="BI124" s="517">
        <f>BI123-BH123</f>
        <v/>
      </c>
      <c r="BJ124" s="517">
        <f>BJ123-BI123</f>
        <v/>
      </c>
      <c r="BK124" s="517">
        <f>BK123-BJ123</f>
        <v/>
      </c>
      <c r="BL124" s="517">
        <f>BL123-BK123</f>
        <v/>
      </c>
      <c r="BM124" s="517">
        <f>BM123-BL123</f>
        <v/>
      </c>
      <c r="BN124" s="517">
        <f>BN123-BM123</f>
        <v/>
      </c>
      <c r="BO124" s="517">
        <f>BO123-BN123</f>
        <v/>
      </c>
      <c r="BP124" s="517">
        <f>BP123-BO123</f>
        <v/>
      </c>
      <c r="BQ124" s="517">
        <f>BQ123-BP123</f>
        <v/>
      </c>
      <c r="BR124" s="517">
        <f>BR123-BQ123</f>
        <v/>
      </c>
      <c r="BS124" s="517">
        <f>BS123-BR123</f>
        <v/>
      </c>
      <c r="BT124" s="517">
        <f>BT123-BS123</f>
        <v/>
      </c>
      <c r="BU124" s="517">
        <f>BU123-BT123</f>
        <v/>
      </c>
      <c r="BV124" s="517">
        <f>BV123-BU123</f>
        <v/>
      </c>
      <c r="BW124" s="517">
        <f>BW123-BV123</f>
        <v/>
      </c>
      <c r="BX124" s="517">
        <f>BX123-BW123</f>
        <v/>
      </c>
      <c r="BY124" s="517">
        <f>BY123-BX123</f>
        <v/>
      </c>
      <c r="BZ124" s="517">
        <f>BZ123-BY123</f>
        <v/>
      </c>
      <c r="CA124" s="517">
        <f>CA123-BZ123</f>
        <v/>
      </c>
      <c r="CB124" s="517">
        <f>CB123-CA123</f>
        <v/>
      </c>
      <c r="CC124" s="517">
        <f>CC123-CB123</f>
        <v/>
      </c>
      <c r="CD124" s="517">
        <f>CD123-CC123</f>
        <v/>
      </c>
      <c r="CE124" s="517">
        <f>CE123-CD123</f>
        <v/>
      </c>
      <c r="CF124" s="517">
        <f>CF123-CE123</f>
        <v/>
      </c>
      <c r="CG124" s="517">
        <f>CG123-CF123</f>
        <v/>
      </c>
      <c r="CH124" s="517">
        <f>CH123-CG123</f>
        <v/>
      </c>
      <c r="CI124" s="517">
        <f>CI123-CH123</f>
        <v/>
      </c>
      <c r="CJ124" s="517">
        <f>CJ123-CI123</f>
        <v/>
      </c>
      <c r="CK124" s="517">
        <f>CK123-CJ123</f>
        <v/>
      </c>
    </row>
    <row r="125">
      <c r="A125" s="105" t="n"/>
      <c r="B125" s="907" t="n"/>
      <c r="C125" s="907" t="n"/>
      <c r="D125" s="907" t="n"/>
      <c r="E125" s="907" t="n"/>
      <c r="F125" s="907" t="n"/>
      <c r="G125" s="907" t="n"/>
      <c r="H125" s="907" t="n"/>
      <c r="I125" s="907" t="n"/>
      <c r="J125" s="907" t="n"/>
      <c r="K125" s="907" t="n"/>
      <c r="L125" s="907" t="n"/>
      <c r="M125" s="907" t="n"/>
    </row>
    <row r="126">
      <c r="A126" s="524" t="inlineStr">
        <is>
          <t>Days Inventory Outstanding</t>
        </is>
      </c>
      <c r="B126" s="50" t="n"/>
      <c r="C126" s="50" t="n"/>
      <c r="D126" s="50" t="n"/>
      <c r="E126" s="50" t="n"/>
      <c r="F126" s="50" t="n"/>
      <c r="G126" s="50" t="n"/>
      <c r="H126" s="50" t="n"/>
      <c r="I126" s="50" t="n"/>
      <c r="J126" s="50" t="n"/>
      <c r="K126" s="50" t="n"/>
      <c r="L126" s="50" t="n"/>
      <c r="M126" s="50" t="n"/>
      <c r="N126" s="517">
        <f>N158/N$153*N245</f>
        <v/>
      </c>
      <c r="O126" s="517">
        <f>O158/O$153*O245</f>
        <v/>
      </c>
      <c r="P126" s="517">
        <f>P158/P$153*P245</f>
        <v/>
      </c>
      <c r="Q126" s="517">
        <f>Q158/Q$153*Q245</f>
        <v/>
      </c>
      <c r="R126" s="517">
        <f>R158/R$153*R245</f>
        <v/>
      </c>
      <c r="S126" s="517">
        <f>S158/S$153*S245</f>
        <v/>
      </c>
      <c r="T126" s="517">
        <f>T158/T$153*T245</f>
        <v/>
      </c>
      <c r="U126" s="517">
        <f>U158/U$153*U245</f>
        <v/>
      </c>
      <c r="V126" s="517">
        <f>V158/V$153*V245</f>
        <v/>
      </c>
      <c r="W126" s="517">
        <f>W158/W$153*W245</f>
        <v/>
      </c>
      <c r="X126" s="517">
        <f>X158/X$153*X245</f>
        <v/>
      </c>
      <c r="Y126" s="517">
        <f>Y158/Y$153*Y245</f>
        <v/>
      </c>
      <c r="Z126" s="517">
        <f>Z158/Z$153*Z245</f>
        <v/>
      </c>
      <c r="AA126" s="517">
        <f>AA158/AA$153*AA245</f>
        <v/>
      </c>
      <c r="AB126" s="517">
        <f>AB158/AB$153*AB245</f>
        <v/>
      </c>
      <c r="AC126" s="517">
        <f>AC158/AC$153*AC245</f>
        <v/>
      </c>
      <c r="AD126" s="517">
        <f>AD158/AD$153*AD245</f>
        <v/>
      </c>
      <c r="AE126" s="517">
        <f>AE158/AE$153*AE245</f>
        <v/>
      </c>
      <c r="AF126" s="517">
        <f>AF158/AF$153*AF245</f>
        <v/>
      </c>
      <c r="AG126" s="517">
        <f>AG158/AG$153*AG245</f>
        <v/>
      </c>
      <c r="AH126" s="517">
        <f>AH158/AH$153*AH245</f>
        <v/>
      </c>
      <c r="AI126" s="517">
        <f>AI158/AI$153*AI245</f>
        <v/>
      </c>
      <c r="AJ126" s="517">
        <f>AJ158/AJ$153*AJ245</f>
        <v/>
      </c>
      <c r="AK126" s="517">
        <f>AK158/AK$153*AK245</f>
        <v/>
      </c>
      <c r="AL126" s="517">
        <f>AL158/AL$153*AL245</f>
        <v/>
      </c>
      <c r="AM126" s="517">
        <f>AM158/AM$153*AM245</f>
        <v/>
      </c>
      <c r="AN126" s="517">
        <f>AN158/AN$153*AN245</f>
        <v/>
      </c>
      <c r="AO126" s="517">
        <f>AO158/AO$153*AO245</f>
        <v/>
      </c>
      <c r="AP126" s="517">
        <f>AP158/AP$153*AP245</f>
        <v/>
      </c>
      <c r="AQ126" s="517">
        <f>AQ158/AQ$153*AQ245</f>
        <v/>
      </c>
      <c r="AR126" s="517">
        <f>AR158/AR$153*AR245</f>
        <v/>
      </c>
      <c r="AS126" s="517">
        <f>AS158/AS$153*AS245</f>
        <v/>
      </c>
      <c r="AT126" s="517">
        <f>AT158/AT$153*AT245</f>
        <v/>
      </c>
      <c r="AU126" s="517">
        <f>AU158/AU$153*AU245</f>
        <v/>
      </c>
      <c r="AV126" s="517">
        <f>AV158/AV$153*AV245</f>
        <v/>
      </c>
      <c r="AW126" s="517">
        <f>AW158/AW$153*AW245</f>
        <v/>
      </c>
      <c r="AX126" s="517">
        <f>AX158/AX$153*AX245</f>
        <v/>
      </c>
      <c r="AY126" s="517">
        <f>AY158/AY$153*AY245</f>
        <v/>
      </c>
      <c r="AZ126" s="517">
        <f>AZ158/AZ$153*AZ245</f>
        <v/>
      </c>
      <c r="BA126" s="517">
        <f>BA158/BA$153*BA245</f>
        <v/>
      </c>
      <c r="BB126" s="517">
        <f>BB158/BB$153*BB245</f>
        <v/>
      </c>
      <c r="BC126" s="517">
        <f>BC158/BC$153*BC245</f>
        <v/>
      </c>
      <c r="BD126" s="517">
        <f>BD158/BD$153*BD245</f>
        <v/>
      </c>
      <c r="BE126" s="517">
        <f>BE158/BE$153*BE245</f>
        <v/>
      </c>
      <c r="BF126" s="517">
        <f>BF158/BF$153*BF245</f>
        <v/>
      </c>
      <c r="BG126" s="517">
        <f>BG158/BG$153*BG245</f>
        <v/>
      </c>
      <c r="BH126" s="517">
        <f>BH158/BH$153*BH245</f>
        <v/>
      </c>
      <c r="BI126" s="517">
        <f>BI158/BI$153*BI245</f>
        <v/>
      </c>
      <c r="BJ126" s="517">
        <f>BJ158/BJ$153*BJ245</f>
        <v/>
      </c>
      <c r="BK126" s="517">
        <f>BK158/BK$153*BK245</f>
        <v/>
      </c>
      <c r="BL126" s="517">
        <f>BL158/BL$153*BL245</f>
        <v/>
      </c>
      <c r="BM126" s="517">
        <f>BM158/BM$153*BM245</f>
        <v/>
      </c>
      <c r="BN126" s="517">
        <f>BN158/BN$153*BN245</f>
        <v/>
      </c>
      <c r="BO126" s="517">
        <f>BO158/BO$153*BO245</f>
        <v/>
      </c>
      <c r="BP126" s="517">
        <f>BP158/BP$153*BP245</f>
        <v/>
      </c>
      <c r="BQ126" s="517">
        <f>BQ158/BQ$153*BQ245</f>
        <v/>
      </c>
      <c r="BR126" s="517">
        <f>BR158/BR$153*BR245</f>
        <v/>
      </c>
      <c r="BS126" s="541">
        <f>AVERAGE(BO126,BK126,BG126)</f>
        <v/>
      </c>
      <c r="BT126" s="541">
        <f>AVERAGE(BP126,BL126,BH126)</f>
        <v/>
      </c>
      <c r="BU126" s="541">
        <f>AVERAGE(BQ126,BM126,BI126)</f>
        <v/>
      </c>
      <c r="BV126" s="541">
        <f>AVERAGE(BR126,BN126,BJ126)</f>
        <v/>
      </c>
      <c r="BW126" s="541">
        <f>AVERAGE(BS126,BO126,BK126)</f>
        <v/>
      </c>
      <c r="BX126" s="541">
        <f>AVERAGE(BT126,BP126,BL126)</f>
        <v/>
      </c>
      <c r="BY126" s="541">
        <f>AVERAGE(BU126,BQ126,BM126)</f>
        <v/>
      </c>
      <c r="BZ126" s="541">
        <f>AVERAGE(BV126,BR126,BN126)</f>
        <v/>
      </c>
      <c r="CA126" s="541">
        <f>AVERAGE(BW126,BS126,BO126)</f>
        <v/>
      </c>
      <c r="CB126" s="541">
        <f>AVERAGE(BX126,BT126,BP126)</f>
        <v/>
      </c>
      <c r="CC126" s="541">
        <f>AVERAGE(BY126,BU126,BQ126)</f>
        <v/>
      </c>
      <c r="CD126" s="541">
        <f>AVERAGE(BZ126,BV126,BR126)</f>
        <v/>
      </c>
      <c r="CE126" s="541">
        <f>AVERAGE(CA126,BW126,BS126)</f>
        <v/>
      </c>
      <c r="CF126" s="541">
        <f>AVERAGE(CB126,BX126,BT126)</f>
        <v/>
      </c>
      <c r="CG126" s="541">
        <f>AVERAGE(CC126,BY126,BU126)</f>
        <v/>
      </c>
      <c r="CH126" s="541">
        <f>AVERAGE(CD126,BZ126,BV126)</f>
        <v/>
      </c>
      <c r="CI126" s="541">
        <f>AVERAGE(CE126,CA126,BW126)</f>
        <v/>
      </c>
      <c r="CJ126" s="541">
        <f>AVERAGE(CF126,CB126,BX126)</f>
        <v/>
      </c>
      <c r="CK126" s="541">
        <f>AVERAGE(CG126,CC126,BY126)</f>
        <v/>
      </c>
    </row>
    <row r="127">
      <c r="A127" s="43" t="inlineStr">
        <is>
          <t>y/y Increase / (Decrease) - days</t>
        </is>
      </c>
      <c r="B127" s="50" t="n"/>
      <c r="C127" s="50" t="n"/>
      <c r="D127" s="50" t="n"/>
      <c r="E127" s="50" t="n"/>
      <c r="F127" s="50" t="n"/>
      <c r="G127" s="50" t="n"/>
      <c r="H127" s="50" t="n"/>
      <c r="I127" s="50" t="n"/>
      <c r="J127" s="50" t="n"/>
      <c r="K127" s="50" t="n"/>
      <c r="L127" s="50" t="n"/>
      <c r="M127" s="50" t="n"/>
      <c r="O127" s="517">
        <f>O126-N126</f>
        <v/>
      </c>
      <c r="P127" s="517">
        <f>P126-O126</f>
        <v/>
      </c>
      <c r="Q127" s="517">
        <f>Q126-P126</f>
        <v/>
      </c>
      <c r="R127" s="517">
        <f>R126-Q126</f>
        <v/>
      </c>
      <c r="S127" s="517">
        <f>S126-R126</f>
        <v/>
      </c>
      <c r="T127" s="517">
        <f>T126-S126</f>
        <v/>
      </c>
      <c r="U127" s="517">
        <f>U126-T126</f>
        <v/>
      </c>
      <c r="V127" s="517">
        <f>V126-U126</f>
        <v/>
      </c>
      <c r="W127" s="517">
        <f>W126-V126</f>
        <v/>
      </c>
      <c r="X127" s="517">
        <f>X126-W126</f>
        <v/>
      </c>
      <c r="Y127" s="517">
        <f>Y126-X126</f>
        <v/>
      </c>
      <c r="Z127" s="517">
        <f>Z126-Y126</f>
        <v/>
      </c>
      <c r="AA127" s="517">
        <f>AA126-Z126</f>
        <v/>
      </c>
      <c r="AB127" s="517">
        <f>AB126-AA126</f>
        <v/>
      </c>
      <c r="AC127" s="517">
        <f>AC126-AB126</f>
        <v/>
      </c>
      <c r="AD127" s="517">
        <f>AD126-AC126</f>
        <v/>
      </c>
      <c r="AE127" s="517">
        <f>AE126-AD126</f>
        <v/>
      </c>
      <c r="AF127" s="517">
        <f>AF126-AE126</f>
        <v/>
      </c>
      <c r="AG127" s="517">
        <f>AG126-AF126</f>
        <v/>
      </c>
      <c r="AH127" s="517">
        <f>AH126-AG126</f>
        <v/>
      </c>
      <c r="AI127" s="517">
        <f>AI126-AH126</f>
        <v/>
      </c>
      <c r="AJ127" s="517">
        <f>AJ126-AI126</f>
        <v/>
      </c>
      <c r="AK127" s="517">
        <f>AK126-AJ126</f>
        <v/>
      </c>
      <c r="AL127" s="517">
        <f>AL126-AK126</f>
        <v/>
      </c>
      <c r="AM127" s="517">
        <f>AM126-AL126</f>
        <v/>
      </c>
      <c r="AN127" s="517">
        <f>AN126-AM126</f>
        <v/>
      </c>
      <c r="AO127" s="517">
        <f>AO126-AN126</f>
        <v/>
      </c>
      <c r="AP127" s="517">
        <f>AP126-AO126</f>
        <v/>
      </c>
      <c r="AQ127" s="517">
        <f>AQ126-AP126</f>
        <v/>
      </c>
      <c r="AR127" s="517">
        <f>AR126-AQ126</f>
        <v/>
      </c>
      <c r="AS127" s="517">
        <f>AS126-AR126</f>
        <v/>
      </c>
      <c r="AT127" s="517">
        <f>AT126-AS126</f>
        <v/>
      </c>
      <c r="AU127" s="517">
        <f>AU126-AT126</f>
        <v/>
      </c>
      <c r="AV127" s="517">
        <f>AV126-AU126</f>
        <v/>
      </c>
      <c r="AW127" s="517">
        <f>AW126-AV126</f>
        <v/>
      </c>
      <c r="AX127" s="517">
        <f>AX126-AW126</f>
        <v/>
      </c>
      <c r="AY127" s="517">
        <f>AY126-AX126</f>
        <v/>
      </c>
      <c r="AZ127" s="517">
        <f>AZ126-AY126</f>
        <v/>
      </c>
      <c r="BA127" s="517">
        <f>BA126-AZ126</f>
        <v/>
      </c>
      <c r="BB127" s="517">
        <f>BB126-BA126</f>
        <v/>
      </c>
      <c r="BC127" s="517">
        <f>BC126-BB126</f>
        <v/>
      </c>
      <c r="BD127" s="517">
        <f>BD126-BC126</f>
        <v/>
      </c>
      <c r="BE127" s="517">
        <f>BE126-BD126</f>
        <v/>
      </c>
      <c r="BF127" s="517">
        <f>BF126-BE126</f>
        <v/>
      </c>
      <c r="BG127" s="517">
        <f>BG126-BF126</f>
        <v/>
      </c>
      <c r="BH127" s="517">
        <f>BH126-BG126</f>
        <v/>
      </c>
      <c r="BI127" s="517">
        <f>BI126-BH126</f>
        <v/>
      </c>
      <c r="BJ127" s="517">
        <f>BJ126-BI126</f>
        <v/>
      </c>
      <c r="BK127" s="517">
        <f>BK126-BJ126</f>
        <v/>
      </c>
      <c r="BL127" s="517">
        <f>BL126-BK126</f>
        <v/>
      </c>
      <c r="BM127" s="517">
        <f>BM126-BL126</f>
        <v/>
      </c>
      <c r="BN127" s="517">
        <f>BN126-BM126</f>
        <v/>
      </c>
      <c r="BO127" s="517">
        <f>BO126-BN126</f>
        <v/>
      </c>
      <c r="BP127" s="517">
        <f>BP126-BO126</f>
        <v/>
      </c>
      <c r="BQ127" s="517">
        <f>BQ126-BP126</f>
        <v/>
      </c>
      <c r="BR127" s="517">
        <f>BR126-BQ126</f>
        <v/>
      </c>
      <c r="BS127" s="517">
        <f>BS126-BR126</f>
        <v/>
      </c>
      <c r="BT127" s="517">
        <f>BT126-BS126</f>
        <v/>
      </c>
      <c r="BU127" s="517">
        <f>BU126-BT126</f>
        <v/>
      </c>
      <c r="BV127" s="517">
        <f>BV126-BU126</f>
        <v/>
      </c>
      <c r="BW127" s="517">
        <f>BW126-BV126</f>
        <v/>
      </c>
      <c r="BX127" s="517">
        <f>BX126-BW126</f>
        <v/>
      </c>
      <c r="BY127" s="517">
        <f>BY126-BX126</f>
        <v/>
      </c>
      <c r="BZ127" s="517">
        <f>BZ126-BY126</f>
        <v/>
      </c>
      <c r="CA127" s="517">
        <f>CA126-BZ126</f>
        <v/>
      </c>
      <c r="CB127" s="517">
        <f>CB126-CA126</f>
        <v/>
      </c>
      <c r="CC127" s="517">
        <f>CC126-CB126</f>
        <v/>
      </c>
      <c r="CD127" s="517">
        <f>CD126-CC126</f>
        <v/>
      </c>
      <c r="CE127" s="517">
        <f>CE126-CD126</f>
        <v/>
      </c>
      <c r="CF127" s="517">
        <f>CF126-CE126</f>
        <v/>
      </c>
      <c r="CG127" s="517">
        <f>CG126-CF126</f>
        <v/>
      </c>
      <c r="CH127" s="517">
        <f>CH126-CG126</f>
        <v/>
      </c>
      <c r="CI127" s="517">
        <f>CI126-CH126</f>
        <v/>
      </c>
      <c r="CJ127" s="517">
        <f>CJ126-CI126</f>
        <v/>
      </c>
      <c r="CK127" s="517">
        <f>CK126-CJ126</f>
        <v/>
      </c>
    </row>
    <row r="128">
      <c r="A128" s="413" t="n"/>
    </row>
    <row r="129">
      <c r="A129" s="524" t="inlineStr">
        <is>
          <t>Prepaid income taxes</t>
        </is>
      </c>
      <c r="B129" s="883" t="n"/>
      <c r="C129" s="883" t="n"/>
      <c r="D129" s="883" t="n"/>
      <c r="E129" s="883" t="n"/>
      <c r="F129" s="883" t="n"/>
      <c r="G129" s="883" t="n"/>
      <c r="H129" s="883" t="n"/>
      <c r="I129" s="883" t="n"/>
      <c r="J129" s="883" t="n"/>
      <c r="K129" s="883" t="n"/>
      <c r="L129" s="883" t="n"/>
      <c r="M129" s="883" t="n"/>
      <c r="N129" s="516">
        <f>N159</f>
        <v/>
      </c>
      <c r="O129" s="516">
        <f>O159</f>
        <v/>
      </c>
      <c r="P129" s="516">
        <f>P159</f>
        <v/>
      </c>
      <c r="Q129" s="516">
        <f>Q159</f>
        <v/>
      </c>
      <c r="R129" s="516">
        <f>R159</f>
        <v/>
      </c>
      <c r="S129" s="516">
        <f>S159</f>
        <v/>
      </c>
      <c r="T129" s="516">
        <f>T159</f>
        <v/>
      </c>
      <c r="U129" s="516">
        <f>U159</f>
        <v/>
      </c>
      <c r="V129" s="516">
        <f>V159</f>
        <v/>
      </c>
      <c r="W129" s="516">
        <f>W159</f>
        <v/>
      </c>
      <c r="X129" s="516">
        <f>X159</f>
        <v/>
      </c>
      <c r="Y129" s="516">
        <f>Y159</f>
        <v/>
      </c>
      <c r="Z129" s="516">
        <f>Z159</f>
        <v/>
      </c>
      <c r="AA129" s="516">
        <f>AA159</f>
        <v/>
      </c>
      <c r="AB129" s="516">
        <f>AB159</f>
        <v/>
      </c>
      <c r="AC129" s="516">
        <f>AC159</f>
        <v/>
      </c>
      <c r="AD129" s="516">
        <f>AD159</f>
        <v/>
      </c>
      <c r="AE129" s="516">
        <f>AE159</f>
        <v/>
      </c>
      <c r="AF129" s="516">
        <f>AF159</f>
        <v/>
      </c>
      <c r="AG129" s="516">
        <f>AG159</f>
        <v/>
      </c>
      <c r="AH129" s="516">
        <f>AH159</f>
        <v/>
      </c>
      <c r="AI129" s="516">
        <f>AI159</f>
        <v/>
      </c>
      <c r="AJ129" s="516">
        <f>AJ159</f>
        <v/>
      </c>
      <c r="AK129" s="516">
        <f>AK159</f>
        <v/>
      </c>
      <c r="AL129" s="516">
        <f>AL159</f>
        <v/>
      </c>
      <c r="AM129" s="516">
        <f>AM159</f>
        <v/>
      </c>
      <c r="AN129" s="516">
        <f>AN159</f>
        <v/>
      </c>
      <c r="AO129" s="516">
        <f>AO159</f>
        <v/>
      </c>
      <c r="AP129" s="516">
        <f>AP159</f>
        <v/>
      </c>
      <c r="AQ129" s="516">
        <f>AQ159</f>
        <v/>
      </c>
      <c r="AR129" s="516">
        <f>AR159</f>
        <v/>
      </c>
      <c r="AS129" s="516">
        <f>AS159</f>
        <v/>
      </c>
      <c r="AT129" s="516">
        <f>AT159</f>
        <v/>
      </c>
      <c r="AU129" s="516">
        <f>AU159</f>
        <v/>
      </c>
      <c r="AV129" s="516">
        <f>AV159</f>
        <v/>
      </c>
      <c r="AW129" s="516">
        <f>AW159</f>
        <v/>
      </c>
      <c r="AX129" s="516">
        <f>AX159</f>
        <v/>
      </c>
      <c r="AY129" s="516">
        <f>AY159</f>
        <v/>
      </c>
      <c r="AZ129" s="516">
        <f>AZ159</f>
        <v/>
      </c>
      <c r="BA129" s="516">
        <f>BA159</f>
        <v/>
      </c>
      <c r="BB129" s="516">
        <f>BB159</f>
        <v/>
      </c>
      <c r="BC129" s="516">
        <f>BC159</f>
        <v/>
      </c>
      <c r="BD129" s="516">
        <f>BD159</f>
        <v/>
      </c>
      <c r="BE129" s="516">
        <f>BE159</f>
        <v/>
      </c>
      <c r="BF129" s="516">
        <f>BF159</f>
        <v/>
      </c>
      <c r="BG129" s="516">
        <f>BG159</f>
        <v/>
      </c>
      <c r="BH129" s="516">
        <f>BH159</f>
        <v/>
      </c>
      <c r="BI129" s="516">
        <f>BI159</f>
        <v/>
      </c>
      <c r="BJ129" s="516">
        <f>BJ159</f>
        <v/>
      </c>
      <c r="BK129" s="516">
        <f>BK159</f>
        <v/>
      </c>
      <c r="BL129" s="516">
        <f>BL159</f>
        <v/>
      </c>
      <c r="BM129" s="516">
        <f>BM159</f>
        <v/>
      </c>
      <c r="BN129" s="516">
        <f>BN159</f>
        <v/>
      </c>
      <c r="BO129" s="516">
        <f>BO159</f>
        <v/>
      </c>
      <c r="BP129" s="516">
        <f>BP159</f>
        <v/>
      </c>
      <c r="BQ129" s="516">
        <f>BQ159</f>
        <v/>
      </c>
      <c r="BR129" s="516">
        <f>BR159</f>
        <v/>
      </c>
      <c r="BS129" s="517">
        <f>BS130*BS$155*BS$247</f>
        <v/>
      </c>
      <c r="BT129" s="517">
        <f>BT130*BT$155*BT$247</f>
        <v/>
      </c>
      <c r="BU129" s="517">
        <f>BU130*BU$155*BU$247</f>
        <v/>
      </c>
      <c r="BV129" s="517">
        <f>BV130*BV$155*BV$247</f>
        <v/>
      </c>
      <c r="BW129" s="517">
        <f>BW130*BW$155*BW$247</f>
        <v/>
      </c>
      <c r="BX129" s="517">
        <f>BX130*BX$155*BX$247</f>
        <v/>
      </c>
      <c r="BY129" s="517">
        <f>BY130*BY$155*BY$247</f>
        <v/>
      </c>
      <c r="BZ129" s="517">
        <f>BZ130*BZ$155*BZ$247</f>
        <v/>
      </c>
      <c r="CA129" s="517">
        <f>CA130*CA$155*CA$247</f>
        <v/>
      </c>
      <c r="CB129" s="517">
        <f>CB130*CB$155*CB$247</f>
        <v/>
      </c>
      <c r="CC129" s="517">
        <f>CC130*CC$155*CC$247</f>
        <v/>
      </c>
      <c r="CD129" s="517">
        <f>CD130*CD$155*CD$247</f>
        <v/>
      </c>
      <c r="CE129" s="517">
        <f>CE130*CE$155*CE$247</f>
        <v/>
      </c>
      <c r="CF129" s="517">
        <f>CF130*CF$155*CF$247</f>
        <v/>
      </c>
      <c r="CG129" s="517">
        <f>CG130*CG$155*CG$247</f>
        <v/>
      </c>
      <c r="CH129" s="517">
        <f>CH130*CH$155*CH$247</f>
        <v/>
      </c>
      <c r="CI129" s="517">
        <f>CI130*CI$155*CI$247</f>
        <v/>
      </c>
      <c r="CJ129" s="517">
        <f>CJ130*CJ$155*CJ$247</f>
        <v/>
      </c>
      <c r="CK129" s="517">
        <f>CK130*CK$155*CK$247</f>
        <v/>
      </c>
    </row>
    <row r="130">
      <c r="A130" s="43" t="inlineStr">
        <is>
          <t>as % of income tax expense (annualized)</t>
        </is>
      </c>
      <c r="B130" s="883" t="n"/>
      <c r="C130" s="883" t="n"/>
      <c r="D130" s="883" t="n"/>
      <c r="E130" s="883" t="n"/>
      <c r="F130" s="883" t="n"/>
      <c r="G130" s="883" t="n"/>
      <c r="H130" s="883" t="n"/>
      <c r="I130" s="883" t="n"/>
      <c r="J130" s="883" t="n"/>
      <c r="K130" s="883" t="n"/>
      <c r="L130" s="883" t="n"/>
      <c r="M130" s="883" t="n"/>
      <c r="N130" s="908">
        <f>N129/(N$155*N$247)</f>
        <v/>
      </c>
      <c r="O130" s="908">
        <f>O129/(O$155*O$247)</f>
        <v/>
      </c>
      <c r="P130" s="908">
        <f>P129/(P$155*P$247)</f>
        <v/>
      </c>
      <c r="Q130" s="908">
        <f>Q129/(Q$155*Q$247)</f>
        <v/>
      </c>
      <c r="R130" s="908">
        <f>R129/(R$155*R$247)</f>
        <v/>
      </c>
      <c r="S130" s="908">
        <f>S129/(S$155*S$247)</f>
        <v/>
      </c>
      <c r="T130" s="908">
        <f>T129/(T$155*T$247)</f>
        <v/>
      </c>
      <c r="U130" s="908">
        <f>U129/(U$155*U$247)</f>
        <v/>
      </c>
      <c r="V130" s="908">
        <f>V129/(V$155*V$247)</f>
        <v/>
      </c>
      <c r="W130" s="908">
        <f>W129/(W$155*W$247)</f>
        <v/>
      </c>
      <c r="X130" s="908">
        <f>X129/(X$155*X$247)</f>
        <v/>
      </c>
      <c r="Y130" s="908">
        <f>Y129/(Y$155*Y$247)</f>
        <v/>
      </c>
      <c r="Z130" s="908">
        <f>Z129/(Z$155*Z$247)</f>
        <v/>
      </c>
      <c r="AA130" s="908">
        <f>AA129/(AA$155*AA$247)</f>
        <v/>
      </c>
      <c r="AB130" s="908">
        <f>AB129/(AB$155*AB$247)</f>
        <v/>
      </c>
      <c r="AC130" s="908">
        <f>AC129/(AC$155*AC$247)</f>
        <v/>
      </c>
      <c r="AD130" s="908">
        <f>AD129/(AD$155*AD$247)</f>
        <v/>
      </c>
      <c r="AE130" s="908">
        <f>AE129/(AE$155*AE$247)</f>
        <v/>
      </c>
      <c r="AF130" s="908">
        <f>AF129/(AF$155*AF$247)</f>
        <v/>
      </c>
      <c r="AG130" s="908">
        <f>AG129/(AG$155*AG$247)</f>
        <v/>
      </c>
      <c r="AH130" s="908">
        <f>AH129/(AH$155*AH$247)</f>
        <v/>
      </c>
      <c r="AI130" s="908">
        <f>AI129/(AI$155*AI$247)</f>
        <v/>
      </c>
      <c r="AJ130" s="908">
        <f>AJ129/(AJ$155*AJ$247)</f>
        <v/>
      </c>
      <c r="AK130" s="908">
        <f>AK129/(AK$155*AK$247)</f>
        <v/>
      </c>
      <c r="AL130" s="908">
        <f>AL129/(AL$155*AL$247)</f>
        <v/>
      </c>
      <c r="AM130" s="908">
        <f>AM129/(AM$155*AM$247)</f>
        <v/>
      </c>
      <c r="AN130" s="908">
        <f>AN129/(AN$155*AN$247)</f>
        <v/>
      </c>
      <c r="AO130" s="908">
        <f>AO129/(AO$155*AO$247)</f>
        <v/>
      </c>
      <c r="AP130" s="908">
        <f>AP129/(AP$155*AP$247)</f>
        <v/>
      </c>
      <c r="AQ130" s="908">
        <f>AQ129/(AQ$155*AQ$247)</f>
        <v/>
      </c>
      <c r="AR130" s="908">
        <f>AR129/(AR$155*AR$247)</f>
        <v/>
      </c>
      <c r="AS130" s="908">
        <f>AS129/(AS$155*AS$247)</f>
        <v/>
      </c>
      <c r="AT130" s="908">
        <f>AT129/(AT$155*AT$247)</f>
        <v/>
      </c>
      <c r="AU130" s="908">
        <f>AU129/(AU$155*AU$247)</f>
        <v/>
      </c>
      <c r="AV130" s="908">
        <f>AV129/(AV$155*AV$247)</f>
        <v/>
      </c>
      <c r="AW130" s="908">
        <f>AW129/(AW$155*AW$247)</f>
        <v/>
      </c>
      <c r="AX130" s="908">
        <f>AX129/(AX$155*AX$247)</f>
        <v/>
      </c>
      <c r="AY130" s="908">
        <f>AY129/(AY$155*AY$247)</f>
        <v/>
      </c>
      <c r="AZ130" s="908">
        <f>AZ129/(AZ$155*AZ$247)</f>
        <v/>
      </c>
      <c r="BA130" s="908">
        <f>BA129/(BA$155*BA$247)</f>
        <v/>
      </c>
      <c r="BB130" s="908">
        <f>BB129/(BB$155*BB$247)</f>
        <v/>
      </c>
      <c r="BC130" s="908">
        <f>BC129/(BC$155*BC$247)</f>
        <v/>
      </c>
      <c r="BD130" s="908">
        <f>BD129/(BD$155*BD$247)</f>
        <v/>
      </c>
      <c r="BE130" s="908">
        <f>BE129/(BE$155*BE$247)</f>
        <v/>
      </c>
      <c r="BF130" s="908">
        <f>BF129/(BF$155*BF$247)</f>
        <v/>
      </c>
      <c r="BG130" s="908">
        <f>BG129/(BG$155*BG$247)</f>
        <v/>
      </c>
      <c r="BH130" s="908">
        <f>BH129/(BH$155*BH$247)</f>
        <v/>
      </c>
      <c r="BI130" s="908">
        <f>BI129/(BI$155*BI$247)</f>
        <v/>
      </c>
      <c r="BJ130" s="908">
        <f>BJ129/(BJ$155*BJ$247)</f>
        <v/>
      </c>
      <c r="BK130" s="908">
        <f>BK129/(BK$155*BK$247)</f>
        <v/>
      </c>
      <c r="BL130" s="908">
        <f>BL129/(BL$155*BL$247)</f>
        <v/>
      </c>
      <c r="BM130" s="908">
        <f>BM129/(BM$155*BM$247)</f>
        <v/>
      </c>
      <c r="BN130" s="908">
        <f>BN129/(BN$155*BN$247)</f>
        <v/>
      </c>
      <c r="BO130" s="908">
        <f>BO129/(BO$155*BO$247)</f>
        <v/>
      </c>
      <c r="BP130" s="908">
        <f>BP129/(BP$155*BP$247)</f>
        <v/>
      </c>
      <c r="BQ130" s="908">
        <f>BQ129/(BQ$155*BQ$247)</f>
        <v/>
      </c>
      <c r="BR130" s="908">
        <f>BR129/(BR$155*BR$247)</f>
        <v/>
      </c>
      <c r="BS130" s="919">
        <f>AVERAGE(BO130,BK130,BG130)</f>
        <v/>
      </c>
      <c r="BT130" s="919">
        <f>AVERAGE(BP130,BL130,BH130)</f>
        <v/>
      </c>
      <c r="BU130" s="919">
        <f>AVERAGE(BQ130,BM130,BI130)</f>
        <v/>
      </c>
      <c r="BV130" s="919">
        <f>AVERAGE(BR130,BN130,BJ130)</f>
        <v/>
      </c>
      <c r="BW130" s="919">
        <f>AVERAGE(BS130,BO130,BK130)</f>
        <v/>
      </c>
      <c r="BX130" s="919">
        <f>AVERAGE(BT130,BP130,BL130)</f>
        <v/>
      </c>
      <c r="BY130" s="919">
        <f>AVERAGE(BU130,BQ130,BM130)</f>
        <v/>
      </c>
      <c r="BZ130" s="919">
        <f>AVERAGE(BV130,BR130,BN130)</f>
        <v/>
      </c>
      <c r="CA130" s="919">
        <f>AVERAGE(BW130,BS130,BO130)</f>
        <v/>
      </c>
      <c r="CB130" s="919">
        <f>AVERAGE(BX130,BT130,BP130)</f>
        <v/>
      </c>
      <c r="CC130" s="919">
        <f>AVERAGE(BY130,BU130,BQ130)</f>
        <v/>
      </c>
      <c r="CD130" s="919">
        <f>AVERAGE(BZ130,BV130,BR130)</f>
        <v/>
      </c>
      <c r="CE130" s="919">
        <f>AVERAGE(CA130,BW130,BS130)</f>
        <v/>
      </c>
      <c r="CF130" s="919">
        <f>AVERAGE(CB130,BX130,BT130)</f>
        <v/>
      </c>
      <c r="CG130" s="919">
        <f>AVERAGE(CC130,BY130,BU130)</f>
        <v/>
      </c>
      <c r="CH130" s="919">
        <f>AVERAGE(CD130,BZ130,BV130)</f>
        <v/>
      </c>
      <c r="CI130" s="919">
        <f>AVERAGE(CE130,CA130,BW130)</f>
        <v/>
      </c>
      <c r="CJ130" s="919">
        <f>AVERAGE(CF130,CB130,BX130)</f>
        <v/>
      </c>
      <c r="CK130" s="919">
        <f>AVERAGE(CG130,CC130,BY130)</f>
        <v/>
      </c>
    </row>
    <row r="131">
      <c r="A131" s="413" t="n"/>
      <c r="B131" s="50" t="n"/>
      <c r="C131" s="50" t="n"/>
      <c r="D131" s="50" t="n"/>
      <c r="E131" s="50" t="n"/>
      <c r="F131" s="50" t="n"/>
      <c r="G131" s="50" t="n"/>
      <c r="H131" s="50" t="n"/>
      <c r="I131" s="50" t="n"/>
      <c r="J131" s="50" t="n"/>
      <c r="K131" s="50" t="n"/>
      <c r="L131" s="50" t="n"/>
      <c r="M131" s="50" t="n"/>
    </row>
    <row r="132" customFormat="1" s="142">
      <c r="A132" s="524" t="inlineStr">
        <is>
          <t>Prepaid expenses</t>
        </is>
      </c>
      <c r="N132" s="516">
        <f>N160</f>
        <v/>
      </c>
      <c r="O132" s="516">
        <f>O160</f>
        <v/>
      </c>
      <c r="P132" s="516">
        <f>P160</f>
        <v/>
      </c>
      <c r="Q132" s="516">
        <f>Q160</f>
        <v/>
      </c>
      <c r="R132" s="516">
        <f>R160</f>
        <v/>
      </c>
      <c r="S132" s="516">
        <f>S160</f>
        <v/>
      </c>
      <c r="T132" s="516">
        <f>T160</f>
        <v/>
      </c>
      <c r="U132" s="516">
        <f>U160</f>
        <v/>
      </c>
      <c r="V132" s="516">
        <f>V160</f>
        <v/>
      </c>
      <c r="W132" s="516">
        <f>W160</f>
        <v/>
      </c>
      <c r="X132" s="516">
        <f>X160</f>
        <v/>
      </c>
      <c r="Y132" s="516">
        <f>Y160</f>
        <v/>
      </c>
      <c r="Z132" s="516">
        <f>Z160</f>
        <v/>
      </c>
      <c r="AA132" s="516">
        <f>AA160</f>
        <v/>
      </c>
      <c r="AB132" s="516">
        <f>AB160</f>
        <v/>
      </c>
      <c r="AC132" s="516">
        <f>AC160</f>
        <v/>
      </c>
      <c r="AD132" s="516">
        <f>AD160</f>
        <v/>
      </c>
      <c r="AE132" s="516">
        <f>AE160</f>
        <v/>
      </c>
      <c r="AF132" s="516">
        <f>AF160</f>
        <v/>
      </c>
      <c r="AG132" s="516">
        <f>AG160</f>
        <v/>
      </c>
      <c r="AH132" s="516">
        <f>AH160</f>
        <v/>
      </c>
      <c r="AI132" s="516">
        <f>AI160</f>
        <v/>
      </c>
      <c r="AJ132" s="516">
        <f>AJ160</f>
        <v/>
      </c>
      <c r="AK132" s="516">
        <f>AK160</f>
        <v/>
      </c>
      <c r="AL132" s="516">
        <f>AL160</f>
        <v/>
      </c>
      <c r="AM132" s="516">
        <f>AM160</f>
        <v/>
      </c>
      <c r="AN132" s="516">
        <f>AN160</f>
        <v/>
      </c>
      <c r="AO132" s="516">
        <f>AO160</f>
        <v/>
      </c>
      <c r="AP132" s="516">
        <f>AP160</f>
        <v/>
      </c>
      <c r="AQ132" s="516">
        <f>AQ160</f>
        <v/>
      </c>
      <c r="AR132" s="516">
        <f>AR160</f>
        <v/>
      </c>
      <c r="AS132" s="516">
        <f>AS160</f>
        <v/>
      </c>
      <c r="AT132" s="516">
        <f>AT160</f>
        <v/>
      </c>
      <c r="AU132" s="516">
        <f>AU160</f>
        <v/>
      </c>
      <c r="AV132" s="516">
        <f>AV160</f>
        <v/>
      </c>
      <c r="AW132" s="516">
        <f>AW160</f>
        <v/>
      </c>
      <c r="AX132" s="516">
        <f>AX160</f>
        <v/>
      </c>
      <c r="AY132" s="516">
        <f>AY160</f>
        <v/>
      </c>
      <c r="AZ132" s="516">
        <f>AZ160</f>
        <v/>
      </c>
      <c r="BA132" s="516">
        <f>BA160</f>
        <v/>
      </c>
      <c r="BB132" s="516">
        <f>BB160</f>
        <v/>
      </c>
      <c r="BC132" s="516">
        <f>BC160</f>
        <v/>
      </c>
      <c r="BD132" s="516">
        <f>BD160</f>
        <v/>
      </c>
      <c r="BE132" s="516">
        <f>BE160</f>
        <v/>
      </c>
      <c r="BF132" s="516">
        <f>BF160</f>
        <v/>
      </c>
      <c r="BG132" s="516">
        <f>BG160</f>
        <v/>
      </c>
      <c r="BH132" s="516">
        <f>BH160</f>
        <v/>
      </c>
      <c r="BI132" s="516">
        <f>BI160</f>
        <v/>
      </c>
      <c r="BJ132" s="516">
        <f>BJ160</f>
        <v/>
      </c>
      <c r="BK132" s="516">
        <f>BK160</f>
        <v/>
      </c>
      <c r="BL132" s="516">
        <f>BL160</f>
        <v/>
      </c>
      <c r="BM132" s="516">
        <f>BM160</f>
        <v/>
      </c>
      <c r="BN132" s="516">
        <f>BN160</f>
        <v/>
      </c>
      <c r="BO132" s="516">
        <f>BO160</f>
        <v/>
      </c>
      <c r="BP132" s="516">
        <f>BP160</f>
        <v/>
      </c>
      <c r="BQ132" s="516">
        <f>BQ160</f>
        <v/>
      </c>
      <c r="BR132" s="516">
        <f>BR160</f>
        <v/>
      </c>
      <c r="BS132" s="517">
        <f>BS133*BS$153*BS$247</f>
        <v/>
      </c>
      <c r="BT132" s="517">
        <f>BT133*BT$153*BT$247</f>
        <v/>
      </c>
      <c r="BU132" s="517">
        <f>BU133*BU$153*BU$247</f>
        <v/>
      </c>
      <c r="BV132" s="517">
        <f>BV133*BV$153*BV$247</f>
        <v/>
      </c>
      <c r="BW132" s="517">
        <f>BW133*BW$153*BW$247</f>
        <v/>
      </c>
      <c r="BX132" s="517">
        <f>BX133*BX$153*BX$247</f>
        <v/>
      </c>
      <c r="BY132" s="517">
        <f>BY133*BY$153*BY$247</f>
        <v/>
      </c>
      <c r="BZ132" s="517">
        <f>BZ133*BZ$153*BZ$247</f>
        <v/>
      </c>
      <c r="CA132" s="517">
        <f>CA133*CA$153*CA$247</f>
        <v/>
      </c>
      <c r="CB132" s="517">
        <f>CB133*CB$153*CB$247</f>
        <v/>
      </c>
      <c r="CC132" s="517">
        <f>CC133*CC$153*CC$247</f>
        <v/>
      </c>
      <c r="CD132" s="517">
        <f>CD133*CD$153*CD$247</f>
        <v/>
      </c>
      <c r="CE132" s="517">
        <f>CE133*CE$153*CE$247</f>
        <v/>
      </c>
      <c r="CF132" s="517">
        <f>CF133*CF$153*CF$247</f>
        <v/>
      </c>
      <c r="CG132" s="517">
        <f>CG133*CG$153*CG$247</f>
        <v/>
      </c>
      <c r="CH132" s="517">
        <f>CH133*CH$153*CH$247</f>
        <v/>
      </c>
      <c r="CI132" s="517">
        <f>CI133*CI$153*CI$247</f>
        <v/>
      </c>
      <c r="CJ132" s="517">
        <f>CJ133*CJ$153*CJ$247</f>
        <v/>
      </c>
      <c r="CK132" s="517">
        <f>CK133*CK$153*CK$247</f>
        <v/>
      </c>
    </row>
    <row r="133">
      <c r="A133" s="43" t="inlineStr">
        <is>
          <t>as % of COGS (annualized)</t>
        </is>
      </c>
      <c r="B133" s="914" t="n"/>
      <c r="C133" s="914" t="n"/>
      <c r="D133" s="914" t="n"/>
      <c r="E133" s="914" t="n"/>
      <c r="F133" s="914" t="n"/>
      <c r="G133" s="914" t="n"/>
      <c r="H133" s="914" t="n"/>
      <c r="I133" s="914" t="n"/>
      <c r="J133" s="914" t="n"/>
      <c r="K133" s="914" t="n"/>
      <c r="L133" s="914" t="n"/>
      <c r="M133" s="914" t="n"/>
      <c r="N133" s="908">
        <f>N132/(N$153*N$247)</f>
        <v/>
      </c>
      <c r="O133" s="908">
        <f>O132/(O$153*O$247)</f>
        <v/>
      </c>
      <c r="P133" s="908">
        <f>P132/(P$153*P$247)</f>
        <v/>
      </c>
      <c r="Q133" s="908">
        <f>Q132/(Q$153*Q$247)</f>
        <v/>
      </c>
      <c r="R133" s="908">
        <f>R132/(R$153*R$247)</f>
        <v/>
      </c>
      <c r="S133" s="908">
        <f>S132/(S$153*S$247)</f>
        <v/>
      </c>
      <c r="T133" s="908">
        <f>T132/(T$153*T$247)</f>
        <v/>
      </c>
      <c r="U133" s="908">
        <f>U132/(U$153*U$247)</f>
        <v/>
      </c>
      <c r="V133" s="908">
        <f>V132/(V$153*V$247)</f>
        <v/>
      </c>
      <c r="W133" s="908">
        <f>W132/(W$153*W$247)</f>
        <v/>
      </c>
      <c r="X133" s="908">
        <f>X132/(X$153*X$247)</f>
        <v/>
      </c>
      <c r="Y133" s="908">
        <f>Y132/(Y$153*Y$247)</f>
        <v/>
      </c>
      <c r="Z133" s="908">
        <f>Z132/(Z$153*Z$247)</f>
        <v/>
      </c>
      <c r="AA133" s="908">
        <f>AA132/(AA$153*AA$247)</f>
        <v/>
      </c>
      <c r="AB133" s="908">
        <f>AB132/(AB$153*AB$247)</f>
        <v/>
      </c>
      <c r="AC133" s="908">
        <f>AC132/(AC$153*AC$247)</f>
        <v/>
      </c>
      <c r="AD133" s="908">
        <f>AD132/(AD$153*AD$247)</f>
        <v/>
      </c>
      <c r="AE133" s="908">
        <f>AE132/(AE$153*AE$247)</f>
        <v/>
      </c>
      <c r="AF133" s="908">
        <f>AF132/(AF$153*AF$247)</f>
        <v/>
      </c>
      <c r="AG133" s="908">
        <f>AG132/(AG$153*AG$247)</f>
        <v/>
      </c>
      <c r="AH133" s="908">
        <f>AH132/(AH$153*AH$247)</f>
        <v/>
      </c>
      <c r="AI133" s="908">
        <f>AI132/(AI$153*AI$247)</f>
        <v/>
      </c>
      <c r="AJ133" s="908">
        <f>AJ132/(AJ$153*AJ$247)</f>
        <v/>
      </c>
      <c r="AK133" s="908">
        <f>AK132/(AK$153*AK$247)</f>
        <v/>
      </c>
      <c r="AL133" s="908">
        <f>AL132/(AL$153*AL$247)</f>
        <v/>
      </c>
      <c r="AM133" s="908">
        <f>AM132/(AM$153*AM$247)</f>
        <v/>
      </c>
      <c r="AN133" s="908">
        <f>AN132/(AN$153*AN$247)</f>
        <v/>
      </c>
      <c r="AO133" s="908">
        <f>AO132/(AO$153*AO$247)</f>
        <v/>
      </c>
      <c r="AP133" s="908">
        <f>AP132/(AP$153*AP$247)</f>
        <v/>
      </c>
      <c r="AQ133" s="908">
        <f>AQ132/(AQ$153*AQ$247)</f>
        <v/>
      </c>
      <c r="AR133" s="908">
        <f>AR132/(AR$153*AR$247)</f>
        <v/>
      </c>
      <c r="AS133" s="908">
        <f>AS132/(AS$153*AS$247)</f>
        <v/>
      </c>
      <c r="AT133" s="908">
        <f>AT132/(AT$153*AT$247)</f>
        <v/>
      </c>
      <c r="AU133" s="908">
        <f>AU132/(AU$153*AU$247)</f>
        <v/>
      </c>
      <c r="AV133" s="908">
        <f>AV132/(AV$153*AV$247)</f>
        <v/>
      </c>
      <c r="AW133" s="908">
        <f>AW132/(AW$153*AW$247)</f>
        <v/>
      </c>
      <c r="AX133" s="908">
        <f>AX132/(AX$153*AX$247)</f>
        <v/>
      </c>
      <c r="AY133" s="908">
        <f>AY132/(AY$153*AY$247)</f>
        <v/>
      </c>
      <c r="AZ133" s="908">
        <f>AZ132/(AZ$153*AZ$247)</f>
        <v/>
      </c>
      <c r="BA133" s="908">
        <f>BA132/(BA$153*BA$247)</f>
        <v/>
      </c>
      <c r="BB133" s="908">
        <f>BB132/(BB$153*BB$247)</f>
        <v/>
      </c>
      <c r="BC133" s="908">
        <f>BC132/(BC$153*BC$247)</f>
        <v/>
      </c>
      <c r="BD133" s="908">
        <f>BD132/(BD$153*BD$247)</f>
        <v/>
      </c>
      <c r="BE133" s="908">
        <f>BE132/(BE$153*BE$247)</f>
        <v/>
      </c>
      <c r="BF133" s="908">
        <f>BF132/(BF$153*BF$247)</f>
        <v/>
      </c>
      <c r="BG133" s="908">
        <f>BG132/(BG$153*BG$247)</f>
        <v/>
      </c>
      <c r="BH133" s="908">
        <f>BH132/(BH$153*BH$247)</f>
        <v/>
      </c>
      <c r="BI133" s="908">
        <f>BI132/(BI$153*BI$247)</f>
        <v/>
      </c>
      <c r="BJ133" s="908">
        <f>BJ132/(BJ$153*BJ$247)</f>
        <v/>
      </c>
      <c r="BK133" s="908">
        <f>BK132/(BK$153*BK$247)</f>
        <v/>
      </c>
      <c r="BL133" s="908">
        <f>BL132/(BL$153*BL$247)</f>
        <v/>
      </c>
      <c r="BM133" s="908">
        <f>BM132/(BM$153*BM$247)</f>
        <v/>
      </c>
      <c r="BN133" s="908">
        <f>BN132/(BN$153*BN$247)</f>
        <v/>
      </c>
      <c r="BO133" s="908">
        <f>BO132/(BO$153*BO$247)</f>
        <v/>
      </c>
      <c r="BP133" s="908">
        <f>BP132/(BP$153*BP$247)</f>
        <v/>
      </c>
      <c r="BQ133" s="908">
        <f>BQ132/(BQ$153*BQ$247)</f>
        <v/>
      </c>
      <c r="BR133" s="908">
        <f>BR132/(BR$153*BR$247)</f>
        <v/>
      </c>
      <c r="BS133" s="919">
        <f>AVERAGE(BO133,BK133,BG133)</f>
        <v/>
      </c>
      <c r="BT133" s="919">
        <f>AVERAGE(BP133,BL133,BH133)</f>
        <v/>
      </c>
      <c r="BU133" s="919">
        <f>AVERAGE(BQ133,BM133,BI133)</f>
        <v/>
      </c>
      <c r="BV133" s="919">
        <f>AVERAGE(BR133,BN133,BJ133)</f>
        <v/>
      </c>
      <c r="BW133" s="919">
        <f>AVERAGE(BS133,BO133,BK133)</f>
        <v/>
      </c>
      <c r="BX133" s="919">
        <f>AVERAGE(BT133,BP133,BL133)</f>
        <v/>
      </c>
      <c r="BY133" s="919">
        <f>AVERAGE(BU133,BQ133,BM133)</f>
        <v/>
      </c>
      <c r="BZ133" s="919">
        <f>AVERAGE(BV133,BR133,BN133)</f>
        <v/>
      </c>
      <c r="CA133" s="919">
        <f>AVERAGE(BW133,BS133,BO133)</f>
        <v/>
      </c>
      <c r="CB133" s="919">
        <f>AVERAGE(BX133,BT133,BP133)</f>
        <v/>
      </c>
      <c r="CC133" s="919">
        <f>AVERAGE(BY133,BU133,BQ133)</f>
        <v/>
      </c>
      <c r="CD133" s="919">
        <f>AVERAGE(BZ133,BV133,BR133)</f>
        <v/>
      </c>
      <c r="CE133" s="919">
        <f>AVERAGE(CA133,BW133,BS133)</f>
        <v/>
      </c>
      <c r="CF133" s="919">
        <f>AVERAGE(CB133,BX133,BT133)</f>
        <v/>
      </c>
      <c r="CG133" s="919">
        <f>AVERAGE(CC133,BY133,BU133)</f>
        <v/>
      </c>
      <c r="CH133" s="919">
        <f>AVERAGE(CD133,BZ133,BV133)</f>
        <v/>
      </c>
      <c r="CI133" s="919">
        <f>AVERAGE(CE133,CA133,BW133)</f>
        <v/>
      </c>
      <c r="CJ133" s="919">
        <f>AVERAGE(CF133,CB133,BX133)</f>
        <v/>
      </c>
      <c r="CK133" s="919">
        <f>AVERAGE(CG133,CC133,BY133)</f>
        <v/>
      </c>
    </row>
    <row r="134">
      <c r="A134" s="43" t="n"/>
      <c r="B134" s="914" t="n"/>
      <c r="C134" s="914" t="n"/>
      <c r="D134" s="914" t="n"/>
      <c r="E134" s="914" t="n"/>
      <c r="F134" s="914" t="n"/>
      <c r="G134" s="914" t="n"/>
      <c r="H134" s="914" t="n"/>
      <c r="I134" s="914" t="n"/>
      <c r="J134" s="914" t="n"/>
      <c r="K134" s="914" t="n"/>
      <c r="L134" s="914" t="n"/>
      <c r="M134" s="914" t="n"/>
    </row>
    <row r="135">
      <c r="A135" s="524" t="inlineStr">
        <is>
          <t>Other Non-Cash Current Assets</t>
        </is>
      </c>
      <c r="B135" s="914" t="n"/>
      <c r="C135" s="914" t="n"/>
      <c r="D135" s="914" t="n"/>
      <c r="E135" s="914" t="n"/>
      <c r="F135" s="914" t="n"/>
      <c r="G135" s="914" t="n"/>
      <c r="H135" s="914" t="n"/>
      <c r="I135" s="914" t="n"/>
      <c r="J135" s="914" t="n"/>
      <c r="K135" s="914" t="n"/>
      <c r="L135" s="914" t="n"/>
      <c r="M135" s="914" t="n"/>
      <c r="N135" s="516">
        <f>N161</f>
        <v/>
      </c>
      <c r="O135" s="516">
        <f>O161</f>
        <v/>
      </c>
      <c r="P135" s="516">
        <f>P161</f>
        <v/>
      </c>
      <c r="Q135" s="516">
        <f>Q161</f>
        <v/>
      </c>
      <c r="R135" s="516">
        <f>R161</f>
        <v/>
      </c>
      <c r="S135" s="516">
        <f>S161</f>
        <v/>
      </c>
      <c r="T135" s="516">
        <f>T161</f>
        <v/>
      </c>
      <c r="U135" s="516">
        <f>U161</f>
        <v/>
      </c>
      <c r="V135" s="516">
        <f>V161</f>
        <v/>
      </c>
      <c r="W135" s="516">
        <f>W161</f>
        <v/>
      </c>
      <c r="X135" s="516">
        <f>X161</f>
        <v/>
      </c>
      <c r="Y135" s="516">
        <f>Y161</f>
        <v/>
      </c>
      <c r="Z135" s="516">
        <f>Z161</f>
        <v/>
      </c>
      <c r="AA135" s="516">
        <f>AA161</f>
        <v/>
      </c>
      <c r="AB135" s="516">
        <f>AB161</f>
        <v/>
      </c>
      <c r="AC135" s="516">
        <f>AC161</f>
        <v/>
      </c>
      <c r="AD135" s="516">
        <f>AD161</f>
        <v/>
      </c>
      <c r="AE135" s="516">
        <f>AE161</f>
        <v/>
      </c>
      <c r="AF135" s="516">
        <f>AF161</f>
        <v/>
      </c>
      <c r="AG135" s="516">
        <f>AG161</f>
        <v/>
      </c>
      <c r="AH135" s="516">
        <f>AH161</f>
        <v/>
      </c>
      <c r="AI135" s="516">
        <f>AI161</f>
        <v/>
      </c>
      <c r="AJ135" s="516">
        <f>AJ161</f>
        <v/>
      </c>
      <c r="AK135" s="516">
        <f>AK161</f>
        <v/>
      </c>
      <c r="AL135" s="516">
        <f>AL161</f>
        <v/>
      </c>
      <c r="AM135" s="516">
        <f>AM161</f>
        <v/>
      </c>
      <c r="AN135" s="516">
        <f>AN161</f>
        <v/>
      </c>
      <c r="AO135" s="516">
        <f>AO161</f>
        <v/>
      </c>
      <c r="AP135" s="516">
        <f>AP161</f>
        <v/>
      </c>
      <c r="AQ135" s="516">
        <f>AQ161</f>
        <v/>
      </c>
      <c r="AR135" s="516">
        <f>AR161</f>
        <v/>
      </c>
      <c r="AS135" s="516">
        <f>AS161</f>
        <v/>
      </c>
      <c r="AT135" s="516">
        <f>AT161</f>
        <v/>
      </c>
      <c r="AU135" s="516">
        <f>AU161</f>
        <v/>
      </c>
      <c r="AV135" s="516">
        <f>AV161</f>
        <v/>
      </c>
      <c r="AW135" s="516">
        <f>AW161</f>
        <v/>
      </c>
      <c r="AX135" s="516">
        <f>AX161</f>
        <v/>
      </c>
      <c r="AY135" s="516">
        <f>AY161</f>
        <v/>
      </c>
      <c r="AZ135" s="516">
        <f>AZ161</f>
        <v/>
      </c>
      <c r="BA135" s="516">
        <f>BA161</f>
        <v/>
      </c>
      <c r="BB135" s="516">
        <f>BB161</f>
        <v/>
      </c>
      <c r="BC135" s="516">
        <f>BC161</f>
        <v/>
      </c>
      <c r="BD135" s="516">
        <f>BD161</f>
        <v/>
      </c>
      <c r="BE135" s="516">
        <f>BE161</f>
        <v/>
      </c>
      <c r="BF135" s="516">
        <f>BF161</f>
        <v/>
      </c>
      <c r="BG135" s="516">
        <f>BG161</f>
        <v/>
      </c>
      <c r="BH135" s="516">
        <f>BH161</f>
        <v/>
      </c>
      <c r="BI135" s="516">
        <f>BI161</f>
        <v/>
      </c>
      <c r="BJ135" s="516">
        <f>BJ161</f>
        <v/>
      </c>
      <c r="BK135" s="516">
        <f>BK161</f>
        <v/>
      </c>
      <c r="BL135" s="516">
        <f>BL161</f>
        <v/>
      </c>
      <c r="BM135" s="516">
        <f>BM161</f>
        <v/>
      </c>
      <c r="BN135" s="516">
        <f>BN161</f>
        <v/>
      </c>
      <c r="BO135" s="516">
        <f>BO161</f>
        <v/>
      </c>
      <c r="BP135" s="516">
        <f>BP161</f>
        <v/>
      </c>
      <c r="BQ135" s="516">
        <f>BQ161</f>
        <v/>
      </c>
      <c r="BR135" s="516">
        <f>BR161</f>
        <v/>
      </c>
      <c r="BS135" s="517">
        <f>BS136*BS$152*BS$247</f>
        <v/>
      </c>
      <c r="BT135" s="517">
        <f>BT136*BT$152*BT$247</f>
        <v/>
      </c>
      <c r="BU135" s="517">
        <f>BU136*BU$152*BU$247</f>
        <v/>
      </c>
      <c r="BV135" s="517">
        <f>BV136*BV$152*BV$247</f>
        <v/>
      </c>
      <c r="BW135" s="517">
        <f>BW136*BW$152*BW$247</f>
        <v/>
      </c>
      <c r="BX135" s="517">
        <f>BX136*BX$152*BX$247</f>
        <v/>
      </c>
      <c r="BY135" s="517">
        <f>BY136*BY$152*BY$247</f>
        <v/>
      </c>
      <c r="BZ135" s="517">
        <f>BZ136*BZ$152*BZ$247</f>
        <v/>
      </c>
      <c r="CA135" s="517">
        <f>CA136*CA$152*CA$247</f>
        <v/>
      </c>
      <c r="CB135" s="517">
        <f>CB136*CB$152*CB$247</f>
        <v/>
      </c>
      <c r="CC135" s="517">
        <f>CC136*CC$152*CC$247</f>
        <v/>
      </c>
      <c r="CD135" s="517">
        <f>CD136*CD$152*CD$247</f>
        <v/>
      </c>
      <c r="CE135" s="517">
        <f>CE136*CE$152*CE$247</f>
        <v/>
      </c>
      <c r="CF135" s="517">
        <f>CF136*CF$152*CF$247</f>
        <v/>
      </c>
      <c r="CG135" s="517">
        <f>CG136*CG$152*CG$247</f>
        <v/>
      </c>
      <c r="CH135" s="517">
        <f>CH136*CH$152*CH$247</f>
        <v/>
      </c>
      <c r="CI135" s="517">
        <f>CI136*CI$152*CI$247</f>
        <v/>
      </c>
      <c r="CJ135" s="517">
        <f>CJ136*CJ$152*CJ$247</f>
        <v/>
      </c>
      <c r="CK135" s="517">
        <f>CK136*CK$152*CK$247</f>
        <v/>
      </c>
    </row>
    <row r="136">
      <c r="A136" s="43" t="inlineStr">
        <is>
          <t>as % of sales (annualized)</t>
        </is>
      </c>
      <c r="B136" s="914" t="n"/>
      <c r="C136" s="914" t="n"/>
      <c r="D136" s="914" t="n"/>
      <c r="E136" s="914" t="n"/>
      <c r="F136" s="914" t="n"/>
      <c r="G136" s="914" t="n"/>
      <c r="H136" s="914" t="n"/>
      <c r="I136" s="914" t="n"/>
      <c r="J136" s="914" t="n"/>
      <c r="K136" s="914" t="n"/>
      <c r="L136" s="914" t="n"/>
      <c r="M136" s="914" t="n"/>
      <c r="N136" s="908">
        <f>N135/(N$152*N$247)</f>
        <v/>
      </c>
      <c r="O136" s="908">
        <f>O135/(O$152*O$247)</f>
        <v/>
      </c>
      <c r="P136" s="908">
        <f>P135/(P$152*P$247)</f>
        <v/>
      </c>
      <c r="Q136" s="908">
        <f>Q135/(Q$152*Q$247)</f>
        <v/>
      </c>
      <c r="R136" s="908">
        <f>R135/(R$152*R$247)</f>
        <v/>
      </c>
      <c r="S136" s="908">
        <f>S135/(S$152*S$247)</f>
        <v/>
      </c>
      <c r="T136" s="908">
        <f>T135/(T$152*T$247)</f>
        <v/>
      </c>
      <c r="U136" s="908">
        <f>U135/(U$152*U$247)</f>
        <v/>
      </c>
      <c r="V136" s="908">
        <f>V135/(V$152*V$247)</f>
        <v/>
      </c>
      <c r="W136" s="908">
        <f>W135/(W$152*W$247)</f>
        <v/>
      </c>
      <c r="X136" s="908">
        <f>X135/(X$152*X$247)</f>
        <v/>
      </c>
      <c r="Y136" s="908">
        <f>Y135/(Y$152*Y$247)</f>
        <v/>
      </c>
      <c r="Z136" s="908">
        <f>Z135/(Z$152*Z$247)</f>
        <v/>
      </c>
      <c r="AA136" s="908">
        <f>AA135/(AA$152*AA$247)</f>
        <v/>
      </c>
      <c r="AB136" s="908">
        <f>AB135/(AB$152*AB$247)</f>
        <v/>
      </c>
      <c r="AC136" s="908">
        <f>AC135/(AC$152*AC$247)</f>
        <v/>
      </c>
      <c r="AD136" s="908">
        <f>AD135/(AD$152*AD$247)</f>
        <v/>
      </c>
      <c r="AE136" s="908">
        <f>AE135/(AE$152*AE$247)</f>
        <v/>
      </c>
      <c r="AF136" s="908">
        <f>AF135/(AF$152*AF$247)</f>
        <v/>
      </c>
      <c r="AG136" s="908">
        <f>AG135/(AG$152*AG$247)</f>
        <v/>
      </c>
      <c r="AH136" s="908">
        <f>AH135/(AH$152*AH$247)</f>
        <v/>
      </c>
      <c r="AI136" s="908">
        <f>AI135/(AI$152*AI$247)</f>
        <v/>
      </c>
      <c r="AJ136" s="908">
        <f>AJ135/(AJ$152*AJ$247)</f>
        <v/>
      </c>
      <c r="AK136" s="908">
        <f>AK135/(AK$152*AK$247)</f>
        <v/>
      </c>
      <c r="AL136" s="908">
        <f>AL135/(AL$152*AL$247)</f>
        <v/>
      </c>
      <c r="AM136" s="908">
        <f>AM135/(AM$152*AM$247)</f>
        <v/>
      </c>
      <c r="AN136" s="908">
        <f>AN135/(AN$152*AN$247)</f>
        <v/>
      </c>
      <c r="AO136" s="908">
        <f>AO135/(AO$152*AO$247)</f>
        <v/>
      </c>
      <c r="AP136" s="908">
        <f>AP135/(AP$152*AP$247)</f>
        <v/>
      </c>
      <c r="AQ136" s="908">
        <f>AQ135/(AQ$152*AQ$247)</f>
        <v/>
      </c>
      <c r="AR136" s="908">
        <f>AR135/(AR$152*AR$247)</f>
        <v/>
      </c>
      <c r="AS136" s="908">
        <f>AS135/(AS$152*AS$247)</f>
        <v/>
      </c>
      <c r="AT136" s="908">
        <f>AT135/(AT$152*AT$247)</f>
        <v/>
      </c>
      <c r="AU136" s="908">
        <f>AU135/(AU$152*AU$247)</f>
        <v/>
      </c>
      <c r="AV136" s="908">
        <f>AV135/(AV$152*AV$247)</f>
        <v/>
      </c>
      <c r="AW136" s="908">
        <f>AW135/(AW$152*AW$247)</f>
        <v/>
      </c>
      <c r="AX136" s="908">
        <f>AX135/(AX$152*AX$247)</f>
        <v/>
      </c>
      <c r="AY136" s="908">
        <f>AY135/(AY$152*AY$247)</f>
        <v/>
      </c>
      <c r="AZ136" s="908">
        <f>AZ135/(AZ$152*AZ$247)</f>
        <v/>
      </c>
      <c r="BA136" s="908">
        <f>BA135/(BA$152*BA$247)</f>
        <v/>
      </c>
      <c r="BB136" s="908">
        <f>BB135/(BB$152*BB$247)</f>
        <v/>
      </c>
      <c r="BC136" s="908">
        <f>BC135/(BC$152*BC$247)</f>
        <v/>
      </c>
      <c r="BD136" s="908">
        <f>BD135/(BD$152*BD$247)</f>
        <v/>
      </c>
      <c r="BE136" s="908">
        <f>BE135/(BE$152*BE$247)</f>
        <v/>
      </c>
      <c r="BF136" s="908">
        <f>BF135/(BF$152*BF$247)</f>
        <v/>
      </c>
      <c r="BG136" s="908">
        <f>BG135/(BG$152*BG$247)</f>
        <v/>
      </c>
      <c r="BH136" s="908">
        <f>BH135/(BH$152*BH$247)</f>
        <v/>
      </c>
      <c r="BI136" s="908">
        <f>BI135/(BI$152*BI$247)</f>
        <v/>
      </c>
      <c r="BJ136" s="908">
        <f>BJ135/(BJ$152*BJ$247)</f>
        <v/>
      </c>
      <c r="BK136" s="908">
        <f>BK135/(BK$152*BK$247)</f>
        <v/>
      </c>
      <c r="BL136" s="908">
        <f>BL135/(BL$152*BL$247)</f>
        <v/>
      </c>
      <c r="BM136" s="908">
        <f>BM135/(BM$152*BM$247)</f>
        <v/>
      </c>
      <c r="BN136" s="908">
        <f>BN135/(BN$152*BN$247)</f>
        <v/>
      </c>
      <c r="BO136" s="908">
        <f>BO135/(BO$152*BO$247)</f>
        <v/>
      </c>
      <c r="BP136" s="908">
        <f>BP135/(BP$152*BP$247)</f>
        <v/>
      </c>
      <c r="BQ136" s="908">
        <f>BQ135/(BQ$152*BQ$247)</f>
        <v/>
      </c>
      <c r="BR136" s="908">
        <f>BR135/(BR$152*BR$247)</f>
        <v/>
      </c>
      <c r="BS136" s="909">
        <f>BR136</f>
        <v/>
      </c>
      <c r="BT136" s="909">
        <f>BS136</f>
        <v/>
      </c>
      <c r="BU136" s="909">
        <f>BT136</f>
        <v/>
      </c>
      <c r="BV136" s="909">
        <f>BU136</f>
        <v/>
      </c>
      <c r="BW136" s="909">
        <f>BV136</f>
        <v/>
      </c>
      <c r="BX136" s="909">
        <f>BW136</f>
        <v/>
      </c>
      <c r="BY136" s="909">
        <f>BX136</f>
        <v/>
      </c>
      <c r="BZ136" s="909">
        <f>BY136</f>
        <v/>
      </c>
      <c r="CA136" s="909">
        <f>BZ136</f>
        <v/>
      </c>
      <c r="CB136" s="909">
        <f>CA136</f>
        <v/>
      </c>
      <c r="CC136" s="909">
        <f>CB136</f>
        <v/>
      </c>
      <c r="CD136" s="909">
        <f>CC136</f>
        <v/>
      </c>
      <c r="CE136" s="909">
        <f>CD136</f>
        <v/>
      </c>
      <c r="CF136" s="909">
        <f>CE136</f>
        <v/>
      </c>
      <c r="CG136" s="909">
        <f>CF136</f>
        <v/>
      </c>
      <c r="CH136" s="909">
        <f>CG136</f>
        <v/>
      </c>
      <c r="CI136" s="909">
        <f>CH136</f>
        <v/>
      </c>
      <c r="CJ136" s="909">
        <f>CI136</f>
        <v/>
      </c>
      <c r="CK136" s="909">
        <f>CJ136</f>
        <v/>
      </c>
    </row>
    <row r="137" ht="14" customHeight="1" thickBot="1">
      <c r="A137" s="527" t="n"/>
      <c r="B137" s="914" t="n"/>
      <c r="C137" s="914" t="n"/>
      <c r="D137" s="914" t="n"/>
      <c r="E137" s="914" t="n"/>
      <c r="F137" s="914" t="n"/>
      <c r="G137" s="914" t="n"/>
      <c r="H137" s="914" t="n"/>
      <c r="I137" s="914" t="n"/>
      <c r="J137" s="914" t="n"/>
      <c r="K137" s="914" t="n"/>
      <c r="L137" s="914" t="n"/>
      <c r="M137" s="914" t="n"/>
      <c r="N137" s="908" t="n"/>
      <c r="O137" s="908" t="n"/>
      <c r="P137" s="908" t="n"/>
      <c r="Q137" s="908" t="n"/>
      <c r="R137" s="908" t="n"/>
      <c r="S137" s="908" t="n"/>
      <c r="T137" s="908" t="n"/>
      <c r="U137" s="908" t="n"/>
      <c r="V137" s="908" t="n"/>
      <c r="W137" s="908" t="n"/>
      <c r="X137" s="908" t="n"/>
      <c r="Y137" s="908" t="n"/>
      <c r="Z137" s="908" t="n"/>
      <c r="AA137" s="908" t="n"/>
      <c r="AB137" s="908" t="n"/>
      <c r="AC137" s="908" t="n"/>
      <c r="AD137" s="908" t="n"/>
      <c r="AE137" s="908" t="n"/>
      <c r="AF137" s="908" t="n"/>
      <c r="AG137" s="908" t="n"/>
      <c r="AH137" s="908" t="n"/>
      <c r="AI137" s="908" t="n"/>
      <c r="AJ137" s="908" t="n"/>
      <c r="AK137" s="908" t="n"/>
      <c r="AL137" s="908" t="n"/>
      <c r="AM137" s="908" t="n"/>
      <c r="AN137" s="908" t="n"/>
      <c r="AO137" s="908" t="n"/>
      <c r="AP137" s="908" t="n"/>
      <c r="AQ137" s="908" t="n"/>
      <c r="AR137" s="908" t="n"/>
      <c r="AS137" s="908" t="n"/>
    </row>
    <row r="138">
      <c r="A138" s="413" t="n"/>
    </row>
    <row r="139">
      <c r="A139" s="524" t="inlineStr">
        <is>
          <t>Payable days</t>
        </is>
      </c>
      <c r="B139" s="50" t="n"/>
      <c r="C139" s="50" t="n"/>
      <c r="D139" s="50" t="n"/>
      <c r="E139" s="50" t="n"/>
      <c r="F139" s="50" t="n"/>
      <c r="G139" s="50" t="n"/>
      <c r="H139" s="50" t="n"/>
      <c r="I139" s="50" t="n"/>
      <c r="J139" s="50" t="n"/>
      <c r="K139" s="50" t="n"/>
      <c r="L139" s="50" t="n"/>
      <c r="M139" s="50" t="n"/>
      <c r="N139" s="406">
        <f>N164/N153*N245</f>
        <v/>
      </c>
      <c r="O139" s="406">
        <f>O164/O153*O245</f>
        <v/>
      </c>
      <c r="P139" s="406">
        <f>P164/P153*P245</f>
        <v/>
      </c>
      <c r="Q139" s="406">
        <f>Q164/Q153*Q245</f>
        <v/>
      </c>
      <c r="R139" s="406">
        <f>R164/R153*R245</f>
        <v/>
      </c>
      <c r="S139" s="406">
        <f>S164/S153*S245</f>
        <v/>
      </c>
      <c r="T139" s="406">
        <f>T164/T153*T245</f>
        <v/>
      </c>
      <c r="U139" s="406">
        <f>U164/U153*U245</f>
        <v/>
      </c>
      <c r="V139" s="406">
        <f>V164/V153*V245</f>
        <v/>
      </c>
      <c r="W139" s="406">
        <f>W164/W153*W245</f>
        <v/>
      </c>
      <c r="X139" s="406">
        <f>X164/X153*X245</f>
        <v/>
      </c>
      <c r="Y139" s="406">
        <f>Y164/Y153*Y245</f>
        <v/>
      </c>
      <c r="Z139" s="406">
        <f>Z164/Z153*Z245</f>
        <v/>
      </c>
      <c r="AA139" s="406">
        <f>AA164/AA153*AA245</f>
        <v/>
      </c>
      <c r="AB139" s="406">
        <f>AB164/AB153*AB245</f>
        <v/>
      </c>
      <c r="AC139" s="406">
        <f>AC164/AC153*AC245</f>
        <v/>
      </c>
      <c r="AD139" s="406">
        <f>AD164/AD153*AD245</f>
        <v/>
      </c>
      <c r="AE139" s="406">
        <f>AE164/AE153*AE245</f>
        <v/>
      </c>
      <c r="AF139" s="406">
        <f>AF164/AF153*AF245</f>
        <v/>
      </c>
      <c r="AG139" s="406">
        <f>AG164/AG153*AG245</f>
        <v/>
      </c>
      <c r="AH139" s="406">
        <f>AH164/AH153*AH245</f>
        <v/>
      </c>
      <c r="AI139" s="406">
        <f>AI164/AI153*AI245</f>
        <v/>
      </c>
      <c r="AJ139" s="406">
        <f>AJ164/AJ153*AJ245</f>
        <v/>
      </c>
      <c r="AK139" s="406">
        <f>AK164/AK153*AK245</f>
        <v/>
      </c>
      <c r="AL139" s="406">
        <f>AL164/AL153*AL245</f>
        <v/>
      </c>
      <c r="AM139" s="406">
        <f>AM164/AM153*AM245</f>
        <v/>
      </c>
      <c r="AN139" s="406">
        <f>AN164/AN153*AN245</f>
        <v/>
      </c>
      <c r="AO139" s="406">
        <f>AO164/AO153*AO245</f>
        <v/>
      </c>
      <c r="AP139" s="406">
        <f>AP164/AP153*AP245</f>
        <v/>
      </c>
      <c r="AQ139" s="406">
        <f>AQ164/AQ153*AQ245</f>
        <v/>
      </c>
      <c r="AR139" s="406">
        <f>AR164/AR153*AR245</f>
        <v/>
      </c>
      <c r="AS139" s="406">
        <f>AS164/AS153*AS245</f>
        <v/>
      </c>
      <c r="AT139" s="406">
        <f>AT164/AT153*AT245</f>
        <v/>
      </c>
      <c r="AU139" s="406">
        <f>AU164/AU153*AU245</f>
        <v/>
      </c>
      <c r="AV139" s="406">
        <f>AV164/AV153*AV245</f>
        <v/>
      </c>
      <c r="AW139" s="406">
        <f>AW164/AW153*AW245</f>
        <v/>
      </c>
      <c r="AX139" s="406">
        <f>AX164/AX153*AX245</f>
        <v/>
      </c>
      <c r="AY139" s="406">
        <f>AY164/AY153*AY245</f>
        <v/>
      </c>
      <c r="AZ139" s="406">
        <f>AZ164/AZ153*AZ245</f>
        <v/>
      </c>
      <c r="BA139" s="406">
        <f>BA164/BA153*BA245</f>
        <v/>
      </c>
      <c r="BB139" s="406">
        <f>BB164/BB153*BB245</f>
        <v/>
      </c>
      <c r="BC139" s="406">
        <f>BC164/BC153*BC245</f>
        <v/>
      </c>
      <c r="BD139" s="406">
        <f>BD164/BD153*BD245</f>
        <v/>
      </c>
      <c r="BE139" s="406">
        <f>BE164/BE153*BE245</f>
        <v/>
      </c>
      <c r="BF139" s="406">
        <f>BF164/BF153*BF245</f>
        <v/>
      </c>
      <c r="BG139" s="406">
        <f>BG164/BG153*BG245</f>
        <v/>
      </c>
      <c r="BH139" s="406">
        <f>BH164/BH153*BH245</f>
        <v/>
      </c>
      <c r="BI139" s="406">
        <f>BI164/BI153*BI245</f>
        <v/>
      </c>
      <c r="BJ139" s="406">
        <f>BJ164/BJ153*BJ245</f>
        <v/>
      </c>
      <c r="BK139" s="406">
        <f>BK164/BK153*BK245</f>
        <v/>
      </c>
      <c r="BL139" s="406">
        <f>BL164/BL153*BL245</f>
        <v/>
      </c>
      <c r="BM139" s="406">
        <f>BM164/BM153*BM245</f>
        <v/>
      </c>
      <c r="BN139" s="406">
        <f>BN164/BN153*BN245</f>
        <v/>
      </c>
      <c r="BO139" s="406">
        <f>BO164/BO153*BO245</f>
        <v/>
      </c>
      <c r="BP139" s="406">
        <f>BP164/BP153*BP245</f>
        <v/>
      </c>
      <c r="BQ139" s="406">
        <f>BQ164/BQ153*BQ245</f>
        <v/>
      </c>
      <c r="BR139" s="406">
        <f>BR164/BR153*BR245</f>
        <v/>
      </c>
      <c r="BS139" s="541">
        <f>AVERAGE(BO139,BK139,BG139)</f>
        <v/>
      </c>
      <c r="BT139" s="541">
        <f>AVERAGE(BP139,BL139,BH139)</f>
        <v/>
      </c>
      <c r="BU139" s="541">
        <f>AVERAGE(BQ139,BM139,BI139)</f>
        <v/>
      </c>
      <c r="BV139" s="541">
        <f>AVERAGE(BR139,BN139,BJ139)</f>
        <v/>
      </c>
      <c r="BW139" s="541">
        <f>AVERAGE(BS139,BO139,BK139)</f>
        <v/>
      </c>
      <c r="BX139" s="541">
        <f>AVERAGE(BT139,BP139,BL139)</f>
        <v/>
      </c>
      <c r="BY139" s="541">
        <f>AVERAGE(BU139,BQ139,BM139)</f>
        <v/>
      </c>
      <c r="BZ139" s="541">
        <f>AVERAGE(BV139,BR139,BN139)</f>
        <v/>
      </c>
      <c r="CA139" s="541">
        <f>AVERAGE(BW139,BS139,BO139)</f>
        <v/>
      </c>
      <c r="CB139" s="541">
        <f>AVERAGE(BX139,BT139,BP139)</f>
        <v/>
      </c>
      <c r="CC139" s="541">
        <f>AVERAGE(BY139,BU139,BQ139)</f>
        <v/>
      </c>
      <c r="CD139" s="541">
        <f>AVERAGE(BZ139,BV139,BR139)</f>
        <v/>
      </c>
      <c r="CE139" s="541">
        <f>AVERAGE(CA139,BW139,BS139)</f>
        <v/>
      </c>
      <c r="CF139" s="541">
        <f>AVERAGE(CB139,BX139,BT139)</f>
        <v/>
      </c>
      <c r="CG139" s="541">
        <f>AVERAGE(CC139,BY139,BU139)</f>
        <v/>
      </c>
      <c r="CH139" s="541">
        <f>AVERAGE(CD139,BZ139,BV139)</f>
        <v/>
      </c>
      <c r="CI139" s="541">
        <f>AVERAGE(CE139,CA139,BW139)</f>
        <v/>
      </c>
      <c r="CJ139" s="541">
        <f>AVERAGE(CF139,CB139,BX139)</f>
        <v/>
      </c>
      <c r="CK139" s="541">
        <f>AVERAGE(CG139,CC139,BY139)</f>
        <v/>
      </c>
    </row>
    <row r="140">
      <c r="A140" s="43" t="inlineStr">
        <is>
          <t>y/y Increase / (Decrease) - days</t>
        </is>
      </c>
      <c r="B140" s="918" t="n"/>
      <c r="C140" s="918" t="n"/>
      <c r="D140" s="918" t="n"/>
      <c r="E140" s="918" t="n"/>
      <c r="F140" s="50" t="n"/>
      <c r="G140" s="50" t="n"/>
      <c r="H140" s="50" t="n"/>
      <c r="I140" s="50" t="n"/>
      <c r="J140" s="50" t="n"/>
      <c r="K140" s="50" t="n"/>
      <c r="L140" s="50" t="n"/>
      <c r="M140" s="50" t="n"/>
      <c r="O140" s="517">
        <f>O139-N139</f>
        <v/>
      </c>
      <c r="P140" s="517">
        <f>P139-O139</f>
        <v/>
      </c>
      <c r="Q140" s="517">
        <f>Q139-P139</f>
        <v/>
      </c>
      <c r="R140" s="517">
        <f>R139-Q139</f>
        <v/>
      </c>
      <c r="S140" s="517">
        <f>S139-R139</f>
        <v/>
      </c>
      <c r="T140" s="517">
        <f>T139-S139</f>
        <v/>
      </c>
      <c r="U140" s="517">
        <f>U139-T139</f>
        <v/>
      </c>
      <c r="V140" s="517">
        <f>V139-U139</f>
        <v/>
      </c>
      <c r="W140" s="517">
        <f>W139-V139</f>
        <v/>
      </c>
      <c r="X140" s="517">
        <f>X139-W139</f>
        <v/>
      </c>
      <c r="Y140" s="517">
        <f>Y139-X139</f>
        <v/>
      </c>
      <c r="Z140" s="517">
        <f>Z139-Y139</f>
        <v/>
      </c>
      <c r="AA140" s="517">
        <f>AA139-Z139</f>
        <v/>
      </c>
      <c r="AB140" s="517">
        <f>AB139-AA139</f>
        <v/>
      </c>
      <c r="AC140" s="517">
        <f>AC139-AB139</f>
        <v/>
      </c>
      <c r="AD140" s="517">
        <f>AD139-AC139</f>
        <v/>
      </c>
      <c r="AE140" s="517">
        <f>AE139-AD139</f>
        <v/>
      </c>
      <c r="AF140" s="517">
        <f>AF139-AE139</f>
        <v/>
      </c>
      <c r="AG140" s="517">
        <f>AG139-AF139</f>
        <v/>
      </c>
      <c r="AH140" s="517">
        <f>AH139-AG139</f>
        <v/>
      </c>
      <c r="AI140" s="517">
        <f>AI139-AH139</f>
        <v/>
      </c>
      <c r="AJ140" s="517">
        <f>AJ139-AI139</f>
        <v/>
      </c>
      <c r="AK140" s="517">
        <f>AK139-AJ139</f>
        <v/>
      </c>
      <c r="AL140" s="517">
        <f>AL139-AK139</f>
        <v/>
      </c>
      <c r="AM140" s="517">
        <f>AM139-AL139</f>
        <v/>
      </c>
      <c r="AN140" s="517">
        <f>AN139-AM139</f>
        <v/>
      </c>
      <c r="AO140" s="517">
        <f>AO139-AN139</f>
        <v/>
      </c>
      <c r="AP140" s="517">
        <f>AP139-AO139</f>
        <v/>
      </c>
      <c r="AQ140" s="517">
        <f>AQ139-AP139</f>
        <v/>
      </c>
      <c r="AR140" s="517">
        <f>AR139-AQ139</f>
        <v/>
      </c>
      <c r="AS140" s="517">
        <f>AS139-AR139</f>
        <v/>
      </c>
      <c r="AT140" s="517">
        <f>AT139-AS139</f>
        <v/>
      </c>
      <c r="AU140" s="517">
        <f>AU139-AT139</f>
        <v/>
      </c>
      <c r="AV140" s="517">
        <f>AV139-AU139</f>
        <v/>
      </c>
      <c r="AW140" s="517">
        <f>AW139-AV139</f>
        <v/>
      </c>
      <c r="AX140" s="517">
        <f>AX139-AW139</f>
        <v/>
      </c>
      <c r="AY140" s="517">
        <f>AY139-AX139</f>
        <v/>
      </c>
      <c r="AZ140" s="517">
        <f>AZ139-AY139</f>
        <v/>
      </c>
      <c r="BA140" s="517">
        <f>BA139-AZ139</f>
        <v/>
      </c>
      <c r="BB140" s="517">
        <f>BB139-BA139</f>
        <v/>
      </c>
      <c r="BC140" s="517">
        <f>BC139-BB139</f>
        <v/>
      </c>
      <c r="BD140" s="517">
        <f>BD139-BC139</f>
        <v/>
      </c>
      <c r="BE140" s="517">
        <f>BE139-BD139</f>
        <v/>
      </c>
      <c r="BF140" s="517">
        <f>BF139-BE139</f>
        <v/>
      </c>
      <c r="BG140" s="517">
        <f>BG139-BF139</f>
        <v/>
      </c>
      <c r="BH140" s="517">
        <f>BH139-BG139</f>
        <v/>
      </c>
      <c r="BI140" s="517">
        <f>BI139-BH139</f>
        <v/>
      </c>
      <c r="BJ140" s="517">
        <f>BJ139-BI139</f>
        <v/>
      </c>
      <c r="BK140" s="517">
        <f>BK139-BJ139</f>
        <v/>
      </c>
      <c r="BL140" s="517">
        <f>BL139-BK139</f>
        <v/>
      </c>
      <c r="BM140" s="517">
        <f>BM139-BL139</f>
        <v/>
      </c>
      <c r="BN140" s="517">
        <f>BN139-BM139</f>
        <v/>
      </c>
      <c r="BO140" s="517">
        <f>BO139-BN139</f>
        <v/>
      </c>
      <c r="BP140" s="517">
        <f>BP139-BO139</f>
        <v/>
      </c>
      <c r="BQ140" s="517">
        <f>BQ139-BP139</f>
        <v/>
      </c>
      <c r="BR140" s="517">
        <f>BR139-BQ139</f>
        <v/>
      </c>
      <c r="BS140" s="517">
        <f>BS139-BR139</f>
        <v/>
      </c>
      <c r="BT140" s="517">
        <f>BT139-BS139</f>
        <v/>
      </c>
      <c r="BU140" s="517">
        <f>BU139-BT139</f>
        <v/>
      </c>
      <c r="BV140" s="517">
        <f>BV139-BU139</f>
        <v/>
      </c>
      <c r="BW140" s="517">
        <f>BW139-BV139</f>
        <v/>
      </c>
      <c r="BX140" s="517">
        <f>BX139-BW139</f>
        <v/>
      </c>
      <c r="BY140" s="517">
        <f>BY139-BX139</f>
        <v/>
      </c>
      <c r="BZ140" s="517">
        <f>BZ139-BY139</f>
        <v/>
      </c>
      <c r="CA140" s="517">
        <f>CA139-BZ139</f>
        <v/>
      </c>
      <c r="CB140" s="517">
        <f>CB139-CA139</f>
        <v/>
      </c>
      <c r="CC140" s="517">
        <f>CC139-CB139</f>
        <v/>
      </c>
      <c r="CD140" s="517">
        <f>CD139-CC139</f>
        <v/>
      </c>
      <c r="CE140" s="517">
        <f>CE139-CD139</f>
        <v/>
      </c>
      <c r="CF140" s="517">
        <f>CF139-CE139</f>
        <v/>
      </c>
      <c r="CG140" s="517">
        <f>CG139-CF139</f>
        <v/>
      </c>
      <c r="CH140" s="517">
        <f>CH139-CG139</f>
        <v/>
      </c>
      <c r="CI140" s="517">
        <f>CI139-CH139</f>
        <v/>
      </c>
      <c r="CJ140" s="517">
        <f>CJ139-CI139</f>
        <v/>
      </c>
      <c r="CK140" s="517">
        <f>CK139-CJ139</f>
        <v/>
      </c>
    </row>
    <row r="141">
      <c r="A141" s="413" t="n"/>
    </row>
    <row r="142">
      <c r="A142" s="524" t="inlineStr">
        <is>
          <t>Accured expenses</t>
        </is>
      </c>
      <c r="B142" s="50" t="n"/>
      <c r="C142" s="50" t="n"/>
      <c r="D142" s="50" t="n"/>
      <c r="E142" s="50" t="n"/>
      <c r="F142" s="50" t="n"/>
      <c r="G142" s="50" t="n"/>
      <c r="H142" s="50" t="n"/>
      <c r="I142" s="50" t="n"/>
      <c r="J142" s="50" t="n"/>
      <c r="K142" s="50" t="n"/>
      <c r="L142" s="50" t="n"/>
      <c r="M142" s="50" t="n"/>
      <c r="N142" s="516">
        <f>N165</f>
        <v/>
      </c>
      <c r="O142" s="516">
        <f>O165</f>
        <v/>
      </c>
      <c r="P142" s="516">
        <f>P165</f>
        <v/>
      </c>
      <c r="Q142" s="516">
        <f>Q165</f>
        <v/>
      </c>
      <c r="R142" s="516">
        <f>R165</f>
        <v/>
      </c>
      <c r="S142" s="516">
        <f>S165</f>
        <v/>
      </c>
      <c r="T142" s="516">
        <f>T165</f>
        <v/>
      </c>
      <c r="U142" s="516">
        <f>U165</f>
        <v/>
      </c>
      <c r="V142" s="516">
        <f>V165</f>
        <v/>
      </c>
      <c r="W142" s="516">
        <f>W165</f>
        <v/>
      </c>
      <c r="X142" s="516">
        <f>X165</f>
        <v/>
      </c>
      <c r="Y142" s="516">
        <f>Y165</f>
        <v/>
      </c>
      <c r="Z142" s="516">
        <f>Z165</f>
        <v/>
      </c>
      <c r="AA142" s="516">
        <f>AA165</f>
        <v/>
      </c>
      <c r="AB142" s="516">
        <f>AB165</f>
        <v/>
      </c>
      <c r="AC142" s="516">
        <f>AC165</f>
        <v/>
      </c>
      <c r="AD142" s="516">
        <f>AD165</f>
        <v/>
      </c>
      <c r="AE142" s="516">
        <f>AE165</f>
        <v/>
      </c>
      <c r="AF142" s="516">
        <f>AF165</f>
        <v/>
      </c>
      <c r="AG142" s="516">
        <f>AG165</f>
        <v/>
      </c>
      <c r="AH142" s="516">
        <f>AH165</f>
        <v/>
      </c>
      <c r="AI142" s="516">
        <f>AI165</f>
        <v/>
      </c>
      <c r="AJ142" s="516">
        <f>AJ165</f>
        <v/>
      </c>
      <c r="AK142" s="516">
        <f>AK165</f>
        <v/>
      </c>
      <c r="AL142" s="516">
        <f>AL165</f>
        <v/>
      </c>
      <c r="AM142" s="516">
        <f>AM165</f>
        <v/>
      </c>
      <c r="AN142" s="516">
        <f>AN165</f>
        <v/>
      </c>
      <c r="AO142" s="516">
        <f>AO165</f>
        <v/>
      </c>
      <c r="AP142" s="516">
        <f>AP165</f>
        <v/>
      </c>
      <c r="AQ142" s="516">
        <f>AQ165</f>
        <v/>
      </c>
      <c r="AR142" s="516">
        <f>AR165</f>
        <v/>
      </c>
      <c r="AS142" s="516">
        <f>AS165</f>
        <v/>
      </c>
      <c r="AT142" s="516">
        <f>AT165</f>
        <v/>
      </c>
      <c r="AU142" s="516">
        <f>AU165</f>
        <v/>
      </c>
      <c r="AV142" s="516">
        <f>AV165</f>
        <v/>
      </c>
      <c r="AW142" s="516">
        <f>AW165</f>
        <v/>
      </c>
      <c r="AX142" s="516">
        <f>AX165</f>
        <v/>
      </c>
      <c r="AY142" s="516">
        <f>AY165</f>
        <v/>
      </c>
      <c r="AZ142" s="516">
        <f>AZ165</f>
        <v/>
      </c>
      <c r="BA142" s="516">
        <f>BA165</f>
        <v/>
      </c>
      <c r="BB142" s="516">
        <f>BB165</f>
        <v/>
      </c>
      <c r="BC142" s="516">
        <f>BC165</f>
        <v/>
      </c>
      <c r="BD142" s="516">
        <f>BD165</f>
        <v/>
      </c>
      <c r="BE142" s="516">
        <f>BE165</f>
        <v/>
      </c>
      <c r="BF142" s="516">
        <f>BF165</f>
        <v/>
      </c>
      <c r="BG142" s="516">
        <f>BG165</f>
        <v/>
      </c>
      <c r="BH142" s="516">
        <f>BH165</f>
        <v/>
      </c>
      <c r="BI142" s="516">
        <f>BI165</f>
        <v/>
      </c>
      <c r="BJ142" s="516">
        <f>BJ165</f>
        <v/>
      </c>
      <c r="BK142" s="516">
        <f>BK165</f>
        <v/>
      </c>
      <c r="BL142" s="516">
        <f>BL165</f>
        <v/>
      </c>
      <c r="BM142" s="516">
        <f>BM165</f>
        <v/>
      </c>
      <c r="BN142" s="516">
        <f>BN165</f>
        <v/>
      </c>
      <c r="BO142" s="516">
        <f>BO165</f>
        <v/>
      </c>
      <c r="BP142" s="516">
        <f>BP165</f>
        <v/>
      </c>
      <c r="BQ142" s="516">
        <f>BQ165</f>
        <v/>
      </c>
      <c r="BR142" s="516">
        <f>BR165</f>
        <v/>
      </c>
      <c r="BS142" s="517">
        <f>BS143*BS$153*BS$247</f>
        <v/>
      </c>
      <c r="BT142" s="517">
        <f>BT143*BT$153*BT$247</f>
        <v/>
      </c>
      <c r="BU142" s="517">
        <f>BU143*BU$153*BU$247</f>
        <v/>
      </c>
      <c r="BV142" s="517">
        <f>BV143*BV$153*BV$247</f>
        <v/>
      </c>
      <c r="BW142" s="517">
        <f>BW143*BW$153*BW$247</f>
        <v/>
      </c>
      <c r="BX142" s="517">
        <f>BX143*BX$153*BX$247</f>
        <v/>
      </c>
      <c r="BY142" s="517">
        <f>BY143*BY$153*BY$247</f>
        <v/>
      </c>
      <c r="BZ142" s="517">
        <f>BZ143*BZ$153*BZ$247</f>
        <v/>
      </c>
      <c r="CA142" s="517">
        <f>CA143*CA$153*CA$247</f>
        <v/>
      </c>
      <c r="CB142" s="517">
        <f>CB143*CB$153*CB$247</f>
        <v/>
      </c>
      <c r="CC142" s="517">
        <f>CC143*CC$153*CC$247</f>
        <v/>
      </c>
      <c r="CD142" s="517">
        <f>CD143*CD$153*CD$247</f>
        <v/>
      </c>
      <c r="CE142" s="517">
        <f>CE143*CE$153*CE$247</f>
        <v/>
      </c>
      <c r="CF142" s="517">
        <f>CF143*CF$153*CF$247</f>
        <v/>
      </c>
      <c r="CG142" s="517">
        <f>CG143*CG$153*CG$247</f>
        <v/>
      </c>
      <c r="CH142" s="517">
        <f>CH143*CH$153*CH$247</f>
        <v/>
      </c>
      <c r="CI142" s="517">
        <f>CI143*CI$153*CI$247</f>
        <v/>
      </c>
      <c r="CJ142" s="517">
        <f>CJ143*CJ$153*CJ$247</f>
        <v/>
      </c>
      <c r="CK142" s="517">
        <f>CK143*CK$153*CK$247</f>
        <v/>
      </c>
    </row>
    <row r="143">
      <c r="A143" s="920" t="inlineStr">
        <is>
          <t>as % of COGS (annualized)</t>
        </is>
      </c>
      <c r="B143" s="50" t="n"/>
      <c r="C143" s="50" t="n"/>
      <c r="D143" s="50" t="n"/>
      <c r="E143" s="50" t="n"/>
      <c r="F143" s="50" t="n"/>
      <c r="G143" s="50" t="n"/>
      <c r="H143" s="50" t="n"/>
      <c r="I143" s="50" t="n"/>
      <c r="J143" s="50" t="n"/>
      <c r="K143" s="50" t="n"/>
      <c r="L143" s="50" t="n"/>
      <c r="M143" s="50" t="n"/>
      <c r="N143" s="908">
        <f>N142/(N$153*N$247)</f>
        <v/>
      </c>
      <c r="O143" s="908">
        <f>O142/(O$153*O$247)</f>
        <v/>
      </c>
      <c r="P143" s="908">
        <f>P142/(P$153*P$247)</f>
        <v/>
      </c>
      <c r="Q143" s="908">
        <f>Q142/(Q$153*Q$247)</f>
        <v/>
      </c>
      <c r="R143" s="908">
        <f>R142/(R$153*R$247)</f>
        <v/>
      </c>
      <c r="S143" s="908">
        <f>S142/(S$153*S$247)</f>
        <v/>
      </c>
      <c r="T143" s="908">
        <f>T142/(T$153*T$247)</f>
        <v/>
      </c>
      <c r="U143" s="908">
        <f>U142/(U$153*U$247)</f>
        <v/>
      </c>
      <c r="V143" s="908">
        <f>V142/(V$153*V$247)</f>
        <v/>
      </c>
      <c r="W143" s="908">
        <f>W142/(W$153*W$247)</f>
        <v/>
      </c>
      <c r="X143" s="908">
        <f>X142/(X$153*X$247)</f>
        <v/>
      </c>
      <c r="Y143" s="908">
        <f>Y142/(Y$153*Y$247)</f>
        <v/>
      </c>
      <c r="Z143" s="908">
        <f>Z142/(Z$153*Z$247)</f>
        <v/>
      </c>
      <c r="AA143" s="908">
        <f>AA142/(AA$153*AA$247)</f>
        <v/>
      </c>
      <c r="AB143" s="908">
        <f>AB142/(AB$153*AB$247)</f>
        <v/>
      </c>
      <c r="AC143" s="908">
        <f>AC142/(AC$153*AC$247)</f>
        <v/>
      </c>
      <c r="AD143" s="908">
        <f>AD142/(AD$153*AD$247)</f>
        <v/>
      </c>
      <c r="AE143" s="908">
        <f>AE142/(AE$153*AE$247)</f>
        <v/>
      </c>
      <c r="AF143" s="908">
        <f>AF142/(AF$153*AF$247)</f>
        <v/>
      </c>
      <c r="AG143" s="908">
        <f>AG142/(AG$153*AG$247)</f>
        <v/>
      </c>
      <c r="AH143" s="908">
        <f>AH142/(AH$153*AH$247)</f>
        <v/>
      </c>
      <c r="AI143" s="908">
        <f>AI142/(AI$153*AI$247)</f>
        <v/>
      </c>
      <c r="AJ143" s="908">
        <f>AJ142/(AJ$153*AJ$247)</f>
        <v/>
      </c>
      <c r="AK143" s="908">
        <f>AK142/(AK$153*AK$247)</f>
        <v/>
      </c>
      <c r="AL143" s="908">
        <f>AL142/(AL$153*AL$247)</f>
        <v/>
      </c>
      <c r="AM143" s="908">
        <f>AM142/(AM$153*AM$247)</f>
        <v/>
      </c>
      <c r="AN143" s="908">
        <f>AN142/(AN$153*AN$247)</f>
        <v/>
      </c>
      <c r="AO143" s="908">
        <f>AO142/(AO$153*AO$247)</f>
        <v/>
      </c>
      <c r="AP143" s="908">
        <f>AP142/(AP$153*AP$247)</f>
        <v/>
      </c>
      <c r="AQ143" s="908">
        <f>AQ142/(AQ$153*AQ$247)</f>
        <v/>
      </c>
      <c r="AR143" s="908">
        <f>AR142/(AR$153*AR$247)</f>
        <v/>
      </c>
      <c r="AS143" s="908">
        <f>AS142/(AS$153*AS$247)</f>
        <v/>
      </c>
      <c r="AT143" s="908">
        <f>AT142/(AT$153*AT$247)</f>
        <v/>
      </c>
      <c r="AU143" s="908">
        <f>AU142/(AU$153*AU$247)</f>
        <v/>
      </c>
      <c r="AV143" s="908">
        <f>AV142/(AV$153*AV$247)</f>
        <v/>
      </c>
      <c r="AW143" s="908">
        <f>AW142/(AW$153*AW$247)</f>
        <v/>
      </c>
      <c r="AX143" s="908">
        <f>AX142/(AX$153*AX$247)</f>
        <v/>
      </c>
      <c r="AY143" s="908">
        <f>AY142/(AY$153*AY$247)</f>
        <v/>
      </c>
      <c r="AZ143" s="908">
        <f>AZ142/(AZ$153*AZ$247)</f>
        <v/>
      </c>
      <c r="BA143" s="908">
        <f>BA142/(BA$153*BA$247)</f>
        <v/>
      </c>
      <c r="BB143" s="908">
        <f>BB142/(BB$153*BB$247)</f>
        <v/>
      </c>
      <c r="BC143" s="908">
        <f>BC142/(BC$153*BC$247)</f>
        <v/>
      </c>
      <c r="BD143" s="908">
        <f>BD142/(BD$153*BD$247)</f>
        <v/>
      </c>
      <c r="BE143" s="908">
        <f>BE142/(BE$153*BE$247)</f>
        <v/>
      </c>
      <c r="BF143" s="908">
        <f>BF142/(BF$153*BF$247)</f>
        <v/>
      </c>
      <c r="BG143" s="908">
        <f>BG142/(BG$153*BG$247)</f>
        <v/>
      </c>
      <c r="BH143" s="908">
        <f>BH142/(BH$153*BH$247)</f>
        <v/>
      </c>
      <c r="BI143" s="908">
        <f>BI142/(BI$153*BI$247)</f>
        <v/>
      </c>
      <c r="BJ143" s="908">
        <f>BJ142/(BJ$153*BJ$247)</f>
        <v/>
      </c>
      <c r="BK143" s="908">
        <f>BK142/(BK$153*BK$247)</f>
        <v/>
      </c>
      <c r="BL143" s="908">
        <f>BL142/(BL$153*BL$247)</f>
        <v/>
      </c>
      <c r="BM143" s="908">
        <f>BM142/(BM$153*BM$247)</f>
        <v/>
      </c>
      <c r="BN143" s="908">
        <f>BN142/(BN$153*BN$247)</f>
        <v/>
      </c>
      <c r="BO143" s="908">
        <f>BO142/(BO$153*BO$247)</f>
        <v/>
      </c>
      <c r="BP143" s="908">
        <f>BP142/(BP$153*BP$247)</f>
        <v/>
      </c>
      <c r="BQ143" s="908">
        <f>BQ142/(BQ$153*BQ$247)</f>
        <v/>
      </c>
      <c r="BR143" s="908">
        <f>BR142/(BR$153*BR$247)</f>
        <v/>
      </c>
      <c r="BS143" s="919">
        <f>AVERAGE(BO143,BK143,BG143)</f>
        <v/>
      </c>
      <c r="BT143" s="919">
        <f>AVERAGE(BP143,BL143,BH143)</f>
        <v/>
      </c>
      <c r="BU143" s="919">
        <f>AVERAGE(BQ143,BM143,BI143)</f>
        <v/>
      </c>
      <c r="BV143" s="919">
        <f>AVERAGE(BR143,BN143,BJ143)</f>
        <v/>
      </c>
      <c r="BW143" s="919">
        <f>AVERAGE(BS143,BO143,BK143)</f>
        <v/>
      </c>
      <c r="BX143" s="919">
        <f>AVERAGE(BT143,BP143,BL143)</f>
        <v/>
      </c>
      <c r="BY143" s="919">
        <f>AVERAGE(BU143,BQ143,BM143)</f>
        <v/>
      </c>
      <c r="BZ143" s="919">
        <f>AVERAGE(BV143,BR143,BN143)</f>
        <v/>
      </c>
      <c r="CA143" s="919">
        <f>AVERAGE(BW143,BS143,BO143)</f>
        <v/>
      </c>
      <c r="CB143" s="919">
        <f>AVERAGE(BX143,BT143,BP143)</f>
        <v/>
      </c>
      <c r="CC143" s="919">
        <f>AVERAGE(BY143,BU143,BQ143)</f>
        <v/>
      </c>
      <c r="CD143" s="919">
        <f>AVERAGE(BZ143,BV143,BR143)</f>
        <v/>
      </c>
      <c r="CE143" s="919">
        <f>AVERAGE(CA143,BW143,BS143)</f>
        <v/>
      </c>
      <c r="CF143" s="919">
        <f>AVERAGE(CB143,BX143,BT143)</f>
        <v/>
      </c>
      <c r="CG143" s="919">
        <f>AVERAGE(CC143,BY143,BU143)</f>
        <v/>
      </c>
      <c r="CH143" s="919">
        <f>AVERAGE(CD143,BZ143,BV143)</f>
        <v/>
      </c>
      <c r="CI143" s="919">
        <f>AVERAGE(CE143,CA143,BW143)</f>
        <v/>
      </c>
      <c r="CJ143" s="919">
        <f>AVERAGE(CF143,CB143,BX143)</f>
        <v/>
      </c>
      <c r="CK143" s="919">
        <f>AVERAGE(CG143,CC143,BY143)</f>
        <v/>
      </c>
    </row>
    <row r="144">
      <c r="A144" s="413" t="n"/>
      <c r="B144" s="50" t="n"/>
      <c r="C144" s="50" t="n"/>
      <c r="D144" s="50" t="n"/>
      <c r="E144" s="50" t="n"/>
      <c r="F144" s="50" t="n"/>
      <c r="G144" s="50" t="n"/>
      <c r="H144" s="50" t="n"/>
      <c r="I144" s="50" t="n"/>
      <c r="J144" s="50" t="n"/>
      <c r="K144" s="50" t="n"/>
      <c r="L144" s="50" t="n"/>
      <c r="M144" s="50" t="n"/>
    </row>
    <row r="145">
      <c r="A145" s="524" t="inlineStr">
        <is>
          <t>Income Tax Payable</t>
        </is>
      </c>
      <c r="B145" s="50" t="n"/>
      <c r="C145" s="50" t="n"/>
      <c r="D145" s="50" t="n"/>
      <c r="E145" s="50" t="n"/>
      <c r="F145" s="50" t="n"/>
      <c r="G145" s="50" t="n"/>
      <c r="H145" s="50" t="n"/>
      <c r="I145" s="50" t="n"/>
      <c r="J145" s="50" t="n"/>
      <c r="K145" s="50" t="n"/>
      <c r="L145" s="50" t="n"/>
      <c r="M145" s="50" t="n"/>
      <c r="N145" s="516">
        <f>N166</f>
        <v/>
      </c>
      <c r="O145" s="516">
        <f>O166</f>
        <v/>
      </c>
      <c r="P145" s="516">
        <f>P166</f>
        <v/>
      </c>
      <c r="Q145" s="516">
        <f>Q166</f>
        <v/>
      </c>
      <c r="R145" s="516">
        <f>R166</f>
        <v/>
      </c>
      <c r="S145" s="516">
        <f>S166</f>
        <v/>
      </c>
      <c r="T145" s="516">
        <f>T166</f>
        <v/>
      </c>
      <c r="U145" s="516">
        <f>U166</f>
        <v/>
      </c>
      <c r="V145" s="516">
        <f>V166</f>
        <v/>
      </c>
      <c r="W145" s="516">
        <f>W166</f>
        <v/>
      </c>
      <c r="X145" s="516">
        <f>X166</f>
        <v/>
      </c>
      <c r="Y145" s="516">
        <f>Y166</f>
        <v/>
      </c>
      <c r="Z145" s="516">
        <f>Z166</f>
        <v/>
      </c>
      <c r="AA145" s="516">
        <f>AA166</f>
        <v/>
      </c>
      <c r="AB145" s="516">
        <f>AB166</f>
        <v/>
      </c>
      <c r="AC145" s="516">
        <f>AC166</f>
        <v/>
      </c>
      <c r="AD145" s="516">
        <f>AD166</f>
        <v/>
      </c>
      <c r="AE145" s="516">
        <f>AE166</f>
        <v/>
      </c>
      <c r="AF145" s="516">
        <f>AF166</f>
        <v/>
      </c>
      <c r="AG145" s="516">
        <f>AG166</f>
        <v/>
      </c>
      <c r="AH145" s="516">
        <f>AH166</f>
        <v/>
      </c>
      <c r="AI145" s="516">
        <f>AI166</f>
        <v/>
      </c>
      <c r="AJ145" s="516">
        <f>AJ166</f>
        <v/>
      </c>
      <c r="AK145" s="516">
        <f>AK166</f>
        <v/>
      </c>
      <c r="AL145" s="516">
        <f>AL166</f>
        <v/>
      </c>
      <c r="AM145" s="516">
        <f>AM166</f>
        <v/>
      </c>
      <c r="AN145" s="516">
        <f>AN166</f>
        <v/>
      </c>
      <c r="AO145" s="516">
        <f>AO166</f>
        <v/>
      </c>
      <c r="AP145" s="516">
        <f>AP166</f>
        <v/>
      </c>
      <c r="AQ145" s="516">
        <f>AQ166</f>
        <v/>
      </c>
      <c r="AR145" s="516">
        <f>AR166</f>
        <v/>
      </c>
      <c r="AS145" s="516">
        <f>AS166</f>
        <v/>
      </c>
      <c r="AT145" s="516">
        <f>AT166</f>
        <v/>
      </c>
      <c r="AU145" s="516">
        <f>AU166</f>
        <v/>
      </c>
      <c r="AV145" s="516">
        <f>AV166</f>
        <v/>
      </c>
      <c r="AW145" s="516">
        <f>AW166</f>
        <v/>
      </c>
      <c r="AX145" s="516">
        <f>AX166</f>
        <v/>
      </c>
      <c r="AY145" s="516">
        <f>AY166</f>
        <v/>
      </c>
      <c r="AZ145" s="516">
        <f>AZ166</f>
        <v/>
      </c>
      <c r="BA145" s="516">
        <f>BA166</f>
        <v/>
      </c>
      <c r="BB145" s="516">
        <f>BB166</f>
        <v/>
      </c>
      <c r="BC145" s="516">
        <f>BC166</f>
        <v/>
      </c>
      <c r="BD145" s="516">
        <f>BD166</f>
        <v/>
      </c>
      <c r="BE145" s="516">
        <f>BE166</f>
        <v/>
      </c>
      <c r="BF145" s="516">
        <f>BF166</f>
        <v/>
      </c>
      <c r="BG145" s="516">
        <f>BG166</f>
        <v/>
      </c>
      <c r="BH145" s="516">
        <f>BH166</f>
        <v/>
      </c>
      <c r="BI145" s="516">
        <f>BI166</f>
        <v/>
      </c>
      <c r="BJ145" s="516">
        <f>BJ166</f>
        <v/>
      </c>
      <c r="BK145" s="516">
        <f>BK166</f>
        <v/>
      </c>
      <c r="BL145" s="516">
        <f>BL166</f>
        <v/>
      </c>
      <c r="BM145" s="516">
        <f>BM166</f>
        <v/>
      </c>
      <c r="BN145" s="516">
        <f>BN166</f>
        <v/>
      </c>
      <c r="BO145" s="516">
        <f>BO166</f>
        <v/>
      </c>
      <c r="BP145" s="516">
        <f>BP166</f>
        <v/>
      </c>
      <c r="BQ145" s="516">
        <f>BQ166</f>
        <v/>
      </c>
      <c r="BR145" s="516">
        <f>BR166</f>
        <v/>
      </c>
      <c r="BS145" s="517">
        <f>BS146*BS$155*BS$247</f>
        <v/>
      </c>
      <c r="BT145" s="517">
        <f>BT146*BT$155*BT$247</f>
        <v/>
      </c>
      <c r="BU145" s="517">
        <f>BU146*BU$155*BU$247</f>
        <v/>
      </c>
      <c r="BV145" s="517">
        <f>BV146*BV$155*BV$247</f>
        <v/>
      </c>
      <c r="BW145" s="517">
        <f>BW146*BW$155*BW$247</f>
        <v/>
      </c>
      <c r="BX145" s="517">
        <f>BX146*BX$155*BX$247</f>
        <v/>
      </c>
      <c r="BY145" s="517">
        <f>BY146*BY$155*BY$247</f>
        <v/>
      </c>
      <c r="BZ145" s="517">
        <f>BZ146*BZ$155*BZ$247</f>
        <v/>
      </c>
      <c r="CA145" s="517">
        <f>CA146*CA$155*CA$247</f>
        <v/>
      </c>
      <c r="CB145" s="517">
        <f>CB146*CB$155*CB$247</f>
        <v/>
      </c>
      <c r="CC145" s="517">
        <f>CC146*CC$155*CC$247</f>
        <v/>
      </c>
      <c r="CD145" s="517">
        <f>CD146*CD$155*CD$247</f>
        <v/>
      </c>
      <c r="CE145" s="517">
        <f>CE146*CE$155*CE$247</f>
        <v/>
      </c>
      <c r="CF145" s="517">
        <f>CF146*CF$155*CF$247</f>
        <v/>
      </c>
      <c r="CG145" s="517">
        <f>CG146*CG$155*CG$247</f>
        <v/>
      </c>
      <c r="CH145" s="517">
        <f>CH146*CH$155*CH$247</f>
        <v/>
      </c>
      <c r="CI145" s="517">
        <f>CI146*CI$155*CI$247</f>
        <v/>
      </c>
      <c r="CJ145" s="517">
        <f>CJ146*CJ$155*CJ$247</f>
        <v/>
      </c>
      <c r="CK145" s="517">
        <f>CK146*CK$155*CK$247</f>
        <v/>
      </c>
    </row>
    <row r="146">
      <c r="A146" s="525" t="inlineStr">
        <is>
          <t>as % of income tax expense (annualized)</t>
        </is>
      </c>
      <c r="B146" s="883" t="n"/>
      <c r="C146" s="883" t="n"/>
      <c r="D146" s="883" t="n"/>
      <c r="E146" s="883" t="n"/>
      <c r="F146" s="883" t="n"/>
      <c r="G146" s="883" t="n"/>
      <c r="H146" s="883" t="n"/>
      <c r="I146" s="883" t="n"/>
      <c r="J146" s="883" t="n"/>
      <c r="K146" s="883" t="n"/>
      <c r="L146" s="883" t="n"/>
      <c r="M146" s="883" t="n"/>
      <c r="N146" s="908">
        <f>N145/(N$155*N$247)</f>
        <v/>
      </c>
      <c r="O146" s="908">
        <f>O145/(O$155*O$247)</f>
        <v/>
      </c>
      <c r="P146" s="908">
        <f>P145/(P$155*P$247)</f>
        <v/>
      </c>
      <c r="Q146" s="908">
        <f>Q145/(Q$155*Q$247)</f>
        <v/>
      </c>
      <c r="R146" s="908">
        <f>R145/(R$155*R$247)</f>
        <v/>
      </c>
      <c r="S146" s="908">
        <f>S145/(S$155*S$247)</f>
        <v/>
      </c>
      <c r="T146" s="908">
        <f>T145/(T$155*T$247)</f>
        <v/>
      </c>
      <c r="U146" s="908">
        <f>U145/(U$155*U$247)</f>
        <v/>
      </c>
      <c r="V146" s="908">
        <f>V145/(V$155*V$247)</f>
        <v/>
      </c>
      <c r="W146" s="908">
        <f>W145/(W$155*W$247)</f>
        <v/>
      </c>
      <c r="X146" s="908">
        <f>X145/(X$155*X$247)</f>
        <v/>
      </c>
      <c r="Y146" s="908">
        <f>Y145/(Y$155*Y$247)</f>
        <v/>
      </c>
      <c r="Z146" s="908">
        <f>Z145/(Z$155*Z$247)</f>
        <v/>
      </c>
      <c r="AA146" s="908">
        <f>AA145/(AA$155*AA$247)</f>
        <v/>
      </c>
      <c r="AB146" s="908">
        <f>AB145/(AB$155*AB$247)</f>
        <v/>
      </c>
      <c r="AC146" s="908">
        <f>AC145/(AC$155*AC$247)</f>
        <v/>
      </c>
      <c r="AD146" s="908">
        <f>AD145/(AD$155*AD$247)</f>
        <v/>
      </c>
      <c r="AE146" s="908">
        <f>AE145/(AE$155*AE$247)</f>
        <v/>
      </c>
      <c r="AF146" s="908">
        <f>AF145/(AF$155*AF$247)</f>
        <v/>
      </c>
      <c r="AG146" s="908">
        <f>AG145/(AG$155*AG$247)</f>
        <v/>
      </c>
      <c r="AH146" s="908">
        <f>AH145/(AH$155*AH$247)</f>
        <v/>
      </c>
      <c r="AI146" s="908">
        <f>AI145/(AI$155*AI$247)</f>
        <v/>
      </c>
      <c r="AJ146" s="908">
        <f>AJ145/(AJ$155*AJ$247)</f>
        <v/>
      </c>
      <c r="AK146" s="908">
        <f>AK145/(AK$155*AK$247)</f>
        <v/>
      </c>
      <c r="AL146" s="908">
        <f>AL145/(AL$155*AL$247)</f>
        <v/>
      </c>
      <c r="AM146" s="908">
        <f>AM145/(AM$155*AM$247)</f>
        <v/>
      </c>
      <c r="AN146" s="908">
        <f>AN145/(AN$155*AN$247)</f>
        <v/>
      </c>
      <c r="AO146" s="908">
        <f>AO145/(AO$155*AO$247)</f>
        <v/>
      </c>
      <c r="AP146" s="908">
        <f>AP145/(AP$155*AP$247)</f>
        <v/>
      </c>
      <c r="AQ146" s="908">
        <f>AQ145/(AQ$155*AQ$247)</f>
        <v/>
      </c>
      <c r="AR146" s="908">
        <f>AR145/(AR$155*AR$247)</f>
        <v/>
      </c>
      <c r="AS146" s="908">
        <f>AS145/(AS$155*AS$247)</f>
        <v/>
      </c>
      <c r="AT146" s="908">
        <f>AT145/(AT$155*AT$247)</f>
        <v/>
      </c>
      <c r="AU146" s="908">
        <f>AU145/(AU$155*AU$247)</f>
        <v/>
      </c>
      <c r="AV146" s="908">
        <f>AV145/(AV$155*AV$247)</f>
        <v/>
      </c>
      <c r="AW146" s="908">
        <f>AW145/(AW$155*AW$247)</f>
        <v/>
      </c>
      <c r="AX146" s="908">
        <f>AX145/(AX$155*AX$247)</f>
        <v/>
      </c>
      <c r="AY146" s="908">
        <f>AY145/(AY$155*AY$247)</f>
        <v/>
      </c>
      <c r="AZ146" s="908">
        <f>AZ145/(AZ$155*AZ$247)</f>
        <v/>
      </c>
      <c r="BA146" s="908">
        <f>BA145/(BA$155*BA$247)</f>
        <v/>
      </c>
      <c r="BB146" s="908">
        <f>BB145/(BB$155*BB$247)</f>
        <v/>
      </c>
      <c r="BC146" s="908">
        <f>BC145/(BC$155*BC$247)</f>
        <v/>
      </c>
      <c r="BD146" s="908">
        <f>BD145/(BD$155*BD$247)</f>
        <v/>
      </c>
      <c r="BE146" s="908">
        <f>BE145/(BE$155*BE$247)</f>
        <v/>
      </c>
      <c r="BF146" s="908">
        <f>BF145/(BF$155*BF$247)</f>
        <v/>
      </c>
      <c r="BG146" s="908">
        <f>BG145/(BG$155*BG$247)</f>
        <v/>
      </c>
      <c r="BH146" s="908">
        <f>BH145/(BH$155*BH$247)</f>
        <v/>
      </c>
      <c r="BI146" s="908">
        <f>BI145/(BI$155*BI$247)</f>
        <v/>
      </c>
      <c r="BJ146" s="908">
        <f>BJ145/(BJ$155*BJ$247)</f>
        <v/>
      </c>
      <c r="BK146" s="908">
        <f>BK145/(BK$155*BK$247)</f>
        <v/>
      </c>
      <c r="BL146" s="908">
        <f>BL145/(BL$155*BL$247)</f>
        <v/>
      </c>
      <c r="BM146" s="908">
        <f>BM145/(BM$155*BM$247)</f>
        <v/>
      </c>
      <c r="BN146" s="908">
        <f>BN145/(BN$155*BN$247)</f>
        <v/>
      </c>
      <c r="BO146" s="908">
        <f>BO145/(BO$155*BO$247)</f>
        <v/>
      </c>
      <c r="BP146" s="908">
        <f>BP145/(BP$155*BP$247)</f>
        <v/>
      </c>
      <c r="BQ146" s="908">
        <f>BQ145/(BQ$155*BQ$247)</f>
        <v/>
      </c>
      <c r="BR146" s="908">
        <f>BR145/(BR$155*BR$247)</f>
        <v/>
      </c>
      <c r="BS146" s="919">
        <f>AVERAGE(BO146,BK146,BG146)</f>
        <v/>
      </c>
      <c r="BT146" s="919">
        <f>AVERAGE(BP146,BL146,BH146)</f>
        <v/>
      </c>
      <c r="BU146" s="919">
        <f>AVERAGE(BQ146,BM146,BI146)</f>
        <v/>
      </c>
      <c r="BV146" s="919">
        <f>AVERAGE(BR146,BN146,BJ146)</f>
        <v/>
      </c>
      <c r="BW146" s="919">
        <f>AVERAGE(BS146,BO146,BK146)</f>
        <v/>
      </c>
      <c r="BX146" s="919">
        <f>AVERAGE(BT146,BP146,BL146)</f>
        <v/>
      </c>
      <c r="BY146" s="919">
        <f>AVERAGE(BU146,BQ146,BM146)</f>
        <v/>
      </c>
      <c r="BZ146" s="919">
        <f>AVERAGE(BV146,BR146,BN146)</f>
        <v/>
      </c>
      <c r="CA146" s="919">
        <f>AVERAGE(BW146,BS146,BO146)</f>
        <v/>
      </c>
      <c r="CB146" s="919">
        <f>AVERAGE(BX146,BT146,BP146)</f>
        <v/>
      </c>
      <c r="CC146" s="919">
        <f>AVERAGE(BY146,BU146,BQ146)</f>
        <v/>
      </c>
      <c r="CD146" s="919">
        <f>AVERAGE(BZ146,BV146,BR146)</f>
        <v/>
      </c>
      <c r="CE146" s="919">
        <f>AVERAGE(CA146,BW146,BS146)</f>
        <v/>
      </c>
      <c r="CF146" s="919">
        <f>AVERAGE(CB146,BX146,BT146)</f>
        <v/>
      </c>
      <c r="CG146" s="919">
        <f>AVERAGE(CC146,BY146,BU146)</f>
        <v/>
      </c>
      <c r="CH146" s="919">
        <f>AVERAGE(CD146,BZ146,BV146)</f>
        <v/>
      </c>
      <c r="CI146" s="919">
        <f>AVERAGE(CE146,CA146,BW146)</f>
        <v/>
      </c>
      <c r="CJ146" s="919">
        <f>AVERAGE(CF146,CB146,BX146)</f>
        <v/>
      </c>
      <c r="CK146" s="919">
        <f>AVERAGE(CG146,CC146,BY146)</f>
        <v/>
      </c>
    </row>
    <row r="147">
      <c r="A147" s="413" t="n"/>
      <c r="B147" s="883" t="n"/>
      <c r="C147" s="883" t="n"/>
      <c r="D147" s="883" t="n"/>
      <c r="E147" s="883" t="n"/>
      <c r="F147" s="883" t="n"/>
      <c r="G147" s="883" t="n"/>
      <c r="H147" s="883" t="n"/>
      <c r="I147" s="883" t="n"/>
      <c r="J147" s="883" t="n"/>
      <c r="K147" s="883" t="n"/>
      <c r="L147" s="883" t="n"/>
      <c r="M147" s="883" t="n"/>
    </row>
    <row r="148">
      <c r="A148" s="524" t="inlineStr">
        <is>
          <t>Other Non-Debt Current Liabilities</t>
        </is>
      </c>
      <c r="B148" s="50" t="n"/>
      <c r="C148" s="50" t="n"/>
      <c r="D148" s="50" t="n"/>
      <c r="E148" s="50" t="n"/>
      <c r="F148" s="50" t="n"/>
      <c r="G148" s="50" t="n"/>
      <c r="H148" s="50" t="n"/>
      <c r="I148" s="50" t="n"/>
      <c r="J148" s="50" t="n"/>
      <c r="K148" s="50" t="n"/>
      <c r="L148" s="50" t="n"/>
      <c r="M148" s="50" t="n"/>
      <c r="N148" s="516">
        <f>N167</f>
        <v/>
      </c>
      <c r="O148" s="516">
        <f>O167</f>
        <v/>
      </c>
      <c r="P148" s="516">
        <f>P167</f>
        <v/>
      </c>
      <c r="Q148" s="516">
        <f>Q167</f>
        <v/>
      </c>
      <c r="R148" s="516">
        <f>R167</f>
        <v/>
      </c>
      <c r="S148" s="516">
        <f>S167</f>
        <v/>
      </c>
      <c r="T148" s="516">
        <f>T167</f>
        <v/>
      </c>
      <c r="U148" s="516">
        <f>U167</f>
        <v/>
      </c>
      <c r="V148" s="516">
        <f>V167</f>
        <v/>
      </c>
      <c r="W148" s="516">
        <f>W167</f>
        <v/>
      </c>
      <c r="X148" s="516">
        <f>X167</f>
        <v/>
      </c>
      <c r="Y148" s="516">
        <f>Y167</f>
        <v/>
      </c>
      <c r="Z148" s="516">
        <f>Z167</f>
        <v/>
      </c>
      <c r="AA148" s="516">
        <f>AA167</f>
        <v/>
      </c>
      <c r="AB148" s="516">
        <f>AB167</f>
        <v/>
      </c>
      <c r="AC148" s="516">
        <f>AC167</f>
        <v/>
      </c>
      <c r="AD148" s="516">
        <f>AD167</f>
        <v/>
      </c>
      <c r="AE148" s="516">
        <f>AE167</f>
        <v/>
      </c>
      <c r="AF148" s="516">
        <f>AF167</f>
        <v/>
      </c>
      <c r="AG148" s="516">
        <f>AG167</f>
        <v/>
      </c>
      <c r="AH148" s="516">
        <f>AH167</f>
        <v/>
      </c>
      <c r="AI148" s="516">
        <f>AI167</f>
        <v/>
      </c>
      <c r="AJ148" s="516">
        <f>AJ167</f>
        <v/>
      </c>
      <c r="AK148" s="516">
        <f>AK167</f>
        <v/>
      </c>
      <c r="AL148" s="516">
        <f>AL167</f>
        <v/>
      </c>
      <c r="AM148" s="516">
        <f>AM167</f>
        <v/>
      </c>
      <c r="AN148" s="516">
        <f>AN167</f>
        <v/>
      </c>
      <c r="AO148" s="516">
        <f>AO167</f>
        <v/>
      </c>
      <c r="AP148" s="516">
        <f>AP167</f>
        <v/>
      </c>
      <c r="AQ148" s="516">
        <f>AQ167</f>
        <v/>
      </c>
      <c r="AR148" s="516">
        <f>AR167</f>
        <v/>
      </c>
      <c r="AS148" s="516">
        <f>AS167</f>
        <v/>
      </c>
      <c r="AT148" s="516">
        <f>AT167</f>
        <v/>
      </c>
      <c r="AU148" s="516">
        <f>AU167</f>
        <v/>
      </c>
      <c r="AV148" s="516">
        <f>AV167</f>
        <v/>
      </c>
      <c r="AW148" s="516">
        <f>AW167</f>
        <v/>
      </c>
      <c r="AX148" s="516">
        <f>AX167</f>
        <v/>
      </c>
      <c r="AY148" s="516">
        <f>AY167</f>
        <v/>
      </c>
      <c r="AZ148" s="516">
        <f>AZ167</f>
        <v/>
      </c>
      <c r="BA148" s="516">
        <f>BA167</f>
        <v/>
      </c>
      <c r="BB148" s="516">
        <f>BB167</f>
        <v/>
      </c>
      <c r="BC148" s="516">
        <f>BC167</f>
        <v/>
      </c>
      <c r="BD148" s="516">
        <f>BD167</f>
        <v/>
      </c>
      <c r="BE148" s="516">
        <f>BE167</f>
        <v/>
      </c>
      <c r="BF148" s="516">
        <f>BF167</f>
        <v/>
      </c>
      <c r="BG148" s="516">
        <f>BG167</f>
        <v/>
      </c>
      <c r="BH148" s="516">
        <f>BH167</f>
        <v/>
      </c>
      <c r="BI148" s="516">
        <f>BI167</f>
        <v/>
      </c>
      <c r="BJ148" s="516">
        <f>BJ167</f>
        <v/>
      </c>
      <c r="BK148" s="516">
        <f>BK167</f>
        <v/>
      </c>
      <c r="BL148" s="516">
        <f>BL167</f>
        <v/>
      </c>
      <c r="BM148" s="516">
        <f>BM167</f>
        <v/>
      </c>
      <c r="BN148" s="516">
        <f>BN167</f>
        <v/>
      </c>
      <c r="BO148" s="516">
        <f>BO167</f>
        <v/>
      </c>
      <c r="BP148" s="516">
        <f>BP167</f>
        <v/>
      </c>
      <c r="BQ148" s="516">
        <f>BQ167</f>
        <v/>
      </c>
      <c r="BR148" s="516">
        <f>BR167</f>
        <v/>
      </c>
      <c r="BS148" s="517">
        <f>BS149*BS$153*BS$247</f>
        <v/>
      </c>
      <c r="BT148" s="517">
        <f>BT149*BT$153*BT$247</f>
        <v/>
      </c>
      <c r="BU148" s="517">
        <f>BU149*BU$153*BU$247</f>
        <v/>
      </c>
      <c r="BV148" s="517">
        <f>BV149*BV$153*BV$247</f>
        <v/>
      </c>
      <c r="BW148" s="517">
        <f>BW149*BW$153*BW$247</f>
        <v/>
      </c>
      <c r="BX148" s="517">
        <f>BX149*BX$153*BX$247</f>
        <v/>
      </c>
      <c r="BY148" s="517">
        <f>BY149*BY$153*BY$247</f>
        <v/>
      </c>
      <c r="BZ148" s="517">
        <f>BZ149*BZ$153*BZ$247</f>
        <v/>
      </c>
      <c r="CA148" s="517">
        <f>CA149*CA$153*CA$247</f>
        <v/>
      </c>
      <c r="CB148" s="517">
        <f>CB149*CB$153*CB$247</f>
        <v/>
      </c>
      <c r="CC148" s="517">
        <f>CC149*CC$153*CC$247</f>
        <v/>
      </c>
      <c r="CD148" s="517">
        <f>CD149*CD$153*CD$247</f>
        <v/>
      </c>
      <c r="CE148" s="517">
        <f>CE149*CE$153*CE$247</f>
        <v/>
      </c>
      <c r="CF148" s="517">
        <f>CF149*CF$153*CF$247</f>
        <v/>
      </c>
      <c r="CG148" s="517">
        <f>CG149*CG$153*CG$247</f>
        <v/>
      </c>
      <c r="CH148" s="517">
        <f>CH149*CH$153*CH$247</f>
        <v/>
      </c>
      <c r="CI148" s="517">
        <f>CI149*CI$153*CI$247</f>
        <v/>
      </c>
      <c r="CJ148" s="517">
        <f>CJ149*CJ$153*CJ$247</f>
        <v/>
      </c>
      <c r="CK148" s="517">
        <f>CK149*CK$153*CK$247</f>
        <v/>
      </c>
    </row>
    <row r="149">
      <c r="A149" s="920" t="inlineStr">
        <is>
          <t>as % of COGS (annualized)</t>
        </is>
      </c>
      <c r="B149" s="914" t="n"/>
      <c r="C149" s="914" t="n"/>
      <c r="D149" s="914" t="n"/>
      <c r="E149" s="914" t="n"/>
      <c r="F149" s="914" t="n"/>
      <c r="G149" s="914" t="n"/>
      <c r="H149" s="914" t="n"/>
      <c r="I149" s="914" t="n"/>
      <c r="J149" s="914" t="n"/>
      <c r="K149" s="914" t="n"/>
      <c r="L149" s="914" t="n"/>
      <c r="M149" s="914" t="n"/>
      <c r="N149" s="908">
        <f>N148/(N$153*N$247)</f>
        <v/>
      </c>
      <c r="O149" s="908">
        <f>O148/(O$153*O$247)</f>
        <v/>
      </c>
      <c r="P149" s="908">
        <f>P148/(P$153*P$247)</f>
        <v/>
      </c>
      <c r="Q149" s="908">
        <f>Q148/(Q$153*Q$247)</f>
        <v/>
      </c>
      <c r="R149" s="908">
        <f>R148/(R$153*R$247)</f>
        <v/>
      </c>
      <c r="S149" s="908">
        <f>S148/(S$153*S$247)</f>
        <v/>
      </c>
      <c r="T149" s="908">
        <f>T148/(T$153*T$247)</f>
        <v/>
      </c>
      <c r="U149" s="908">
        <f>U148/(U$153*U$247)</f>
        <v/>
      </c>
      <c r="V149" s="908">
        <f>V148/(V$153*V$247)</f>
        <v/>
      </c>
      <c r="W149" s="908">
        <f>W148/(W$153*W$247)</f>
        <v/>
      </c>
      <c r="X149" s="908">
        <f>X148/(X$153*X$247)</f>
        <v/>
      </c>
      <c r="Y149" s="908">
        <f>Y148/(Y$153*Y$247)</f>
        <v/>
      </c>
      <c r="Z149" s="908">
        <f>Z148/(Z$153*Z$247)</f>
        <v/>
      </c>
      <c r="AA149" s="908">
        <f>AA148/(AA$153*AA$247)</f>
        <v/>
      </c>
      <c r="AB149" s="908">
        <f>AB148/(AB$153*AB$247)</f>
        <v/>
      </c>
      <c r="AC149" s="908">
        <f>AC148/(AC$153*AC$247)</f>
        <v/>
      </c>
      <c r="AD149" s="908">
        <f>AD148/(AD$153*AD$247)</f>
        <v/>
      </c>
      <c r="AE149" s="908">
        <f>AE148/(AE$153*AE$247)</f>
        <v/>
      </c>
      <c r="AF149" s="908">
        <f>AF148/(AF$153*AF$247)</f>
        <v/>
      </c>
      <c r="AG149" s="908">
        <f>AG148/(AG$153*AG$247)</f>
        <v/>
      </c>
      <c r="AH149" s="908">
        <f>AH148/(AH$153*AH$247)</f>
        <v/>
      </c>
      <c r="AI149" s="908">
        <f>AI148/(AI$153*AI$247)</f>
        <v/>
      </c>
      <c r="AJ149" s="908">
        <f>AJ148/(AJ$153*AJ$247)</f>
        <v/>
      </c>
      <c r="AK149" s="908">
        <f>AK148/(AK$153*AK$247)</f>
        <v/>
      </c>
      <c r="AL149" s="908">
        <f>AL148/(AL$153*AL$247)</f>
        <v/>
      </c>
      <c r="AM149" s="908">
        <f>AM148/(AM$153*AM$247)</f>
        <v/>
      </c>
      <c r="AN149" s="908">
        <f>AN148/(AN$153*AN$247)</f>
        <v/>
      </c>
      <c r="AO149" s="908">
        <f>AO148/(AO$153*AO$247)</f>
        <v/>
      </c>
      <c r="AP149" s="908">
        <f>AP148/(AP$153*AP$247)</f>
        <v/>
      </c>
      <c r="AQ149" s="908">
        <f>AQ148/(AQ$153*AQ$247)</f>
        <v/>
      </c>
      <c r="AR149" s="908">
        <f>AR148/(AR$153*AR$247)</f>
        <v/>
      </c>
      <c r="AS149" s="908">
        <f>AS148/(AS$153*AS$247)</f>
        <v/>
      </c>
      <c r="AT149" s="908">
        <f>AT148/(AT$153*AT$247)</f>
        <v/>
      </c>
      <c r="AU149" s="908">
        <f>AU148/(AU$153*AU$247)</f>
        <v/>
      </c>
      <c r="AV149" s="908">
        <f>AV148/(AV$153*AV$247)</f>
        <v/>
      </c>
      <c r="AW149" s="908">
        <f>AW148/(AW$153*AW$247)</f>
        <v/>
      </c>
      <c r="AX149" s="908">
        <f>AX148/(AX$153*AX$247)</f>
        <v/>
      </c>
      <c r="AY149" s="908">
        <f>AY148/(AY$153*AY$247)</f>
        <v/>
      </c>
      <c r="AZ149" s="908">
        <f>AZ148/(AZ$153*AZ$247)</f>
        <v/>
      </c>
      <c r="BA149" s="908">
        <f>BA148/(BA$153*BA$247)</f>
        <v/>
      </c>
      <c r="BB149" s="908">
        <f>BB148/(BB$153*BB$247)</f>
        <v/>
      </c>
      <c r="BC149" s="908">
        <f>BC148/(BC$153*BC$247)</f>
        <v/>
      </c>
      <c r="BD149" s="908">
        <f>BD148/(BD$153*BD$247)</f>
        <v/>
      </c>
      <c r="BE149" s="908">
        <f>BE148/(BE$153*BE$247)</f>
        <v/>
      </c>
      <c r="BF149" s="908">
        <f>BF148/(BF$153*BF$247)</f>
        <v/>
      </c>
      <c r="BG149" s="908">
        <f>BG148/(BG$153*BG$247)</f>
        <v/>
      </c>
      <c r="BH149" s="908">
        <f>BH148/(BH$153*BH$247)</f>
        <v/>
      </c>
      <c r="BI149" s="908">
        <f>BI148/(BI$153*BI$247)</f>
        <v/>
      </c>
      <c r="BJ149" s="908">
        <f>BJ148/(BJ$153*BJ$247)</f>
        <v/>
      </c>
      <c r="BK149" s="908">
        <f>BK148/(BK$153*BK$247)</f>
        <v/>
      </c>
      <c r="BL149" s="908">
        <f>BL148/(BL$153*BL$247)</f>
        <v/>
      </c>
      <c r="BM149" s="908">
        <f>BM148/(BM$153*BM$247)</f>
        <v/>
      </c>
      <c r="BN149" s="908">
        <f>BN148/(BN$153*BN$247)</f>
        <v/>
      </c>
      <c r="BO149" s="908">
        <f>BO148/(BO$153*BO$247)</f>
        <v/>
      </c>
      <c r="BP149" s="908">
        <f>BP148/(BP$153*BP$247)</f>
        <v/>
      </c>
      <c r="BQ149" s="908">
        <f>BQ148/(BQ$153*BQ$247)</f>
        <v/>
      </c>
      <c r="BR149" s="908">
        <f>BR148/(BR$153*BR$247)</f>
        <v/>
      </c>
      <c r="BS149" s="908">
        <f>BR149</f>
        <v/>
      </c>
      <c r="BT149" s="908">
        <f>BS149</f>
        <v/>
      </c>
      <c r="BU149" s="908">
        <f>BT149</f>
        <v/>
      </c>
      <c r="BV149" s="908">
        <f>BU149</f>
        <v/>
      </c>
      <c r="BW149" s="908">
        <f>BV149</f>
        <v/>
      </c>
      <c r="BX149" s="908">
        <f>BW149</f>
        <v/>
      </c>
      <c r="BY149" s="908">
        <f>BX149</f>
        <v/>
      </c>
      <c r="BZ149" s="908">
        <f>BY149</f>
        <v/>
      </c>
      <c r="CA149" s="908">
        <f>BZ149</f>
        <v/>
      </c>
      <c r="CB149" s="908">
        <f>CA149</f>
        <v/>
      </c>
      <c r="CC149" s="908">
        <f>CB149</f>
        <v/>
      </c>
      <c r="CD149" s="908">
        <f>CC149</f>
        <v/>
      </c>
      <c r="CE149" s="908">
        <f>CD149</f>
        <v/>
      </c>
      <c r="CF149" s="908">
        <f>CE149</f>
        <v/>
      </c>
      <c r="CG149" s="908">
        <f>CF149</f>
        <v/>
      </c>
      <c r="CH149" s="908">
        <f>CG149</f>
        <v/>
      </c>
      <c r="CI149" s="908">
        <f>CH149</f>
        <v/>
      </c>
      <c r="CJ149" s="908">
        <f>CI149</f>
        <v/>
      </c>
      <c r="CK149" s="908">
        <f>CJ149</f>
        <v/>
      </c>
    </row>
    <row r="150" ht="14" customHeight="1" thickBot="1">
      <c r="A150" s="921" t="n"/>
      <c r="B150" s="914" t="n"/>
      <c r="C150" s="914" t="n"/>
      <c r="D150" s="914" t="n"/>
      <c r="E150" s="914" t="n"/>
      <c r="F150" s="914" t="n"/>
      <c r="G150" s="914" t="n"/>
      <c r="H150" s="914" t="n"/>
      <c r="I150" s="914" t="n"/>
      <c r="J150" s="914" t="n"/>
      <c r="K150" s="914" t="n"/>
      <c r="L150" s="914" t="n"/>
      <c r="M150" s="914" t="n"/>
      <c r="N150" s="908" t="n"/>
    </row>
    <row r="151">
      <c r="A151" s="413" t="n"/>
    </row>
    <row r="152">
      <c r="A152" s="922" t="inlineStr">
        <is>
          <t>Revenue</t>
        </is>
      </c>
      <c r="B152" s="72" t="n"/>
      <c r="C152" s="72" t="n"/>
      <c r="D152" s="72" t="n"/>
      <c r="E152" s="72" t="n"/>
      <c r="F152" s="72" t="n"/>
      <c r="G152" s="72" t="n"/>
      <c r="H152" s="72" t="n"/>
      <c r="I152" s="72" t="n"/>
      <c r="J152" s="72" t="n"/>
      <c r="K152" s="72" t="n"/>
      <c r="L152" s="72" t="n"/>
      <c r="M152" s="72" t="n"/>
      <c r="N152" s="516">
        <f>N20</f>
        <v/>
      </c>
      <c r="O152" s="516">
        <f>O20</f>
        <v/>
      </c>
      <c r="P152" s="516">
        <f>P20</f>
        <v/>
      </c>
      <c r="Q152" s="516">
        <f>Q20</f>
        <v/>
      </c>
      <c r="R152" s="516">
        <f>R20</f>
        <v/>
      </c>
      <c r="S152" s="516">
        <f>S20</f>
        <v/>
      </c>
      <c r="T152" s="516">
        <f>T20</f>
        <v/>
      </c>
      <c r="U152" s="516">
        <f>U20</f>
        <v/>
      </c>
      <c r="V152" s="516">
        <f>V20</f>
        <v/>
      </c>
      <c r="W152" s="516">
        <f>W20</f>
        <v/>
      </c>
      <c r="X152" s="516">
        <f>X20</f>
        <v/>
      </c>
      <c r="Y152" s="516">
        <f>Y20</f>
        <v/>
      </c>
      <c r="Z152" s="516">
        <f>Z20</f>
        <v/>
      </c>
      <c r="AA152" s="516">
        <f>AA20</f>
        <v/>
      </c>
      <c r="AB152" s="516">
        <f>AB20</f>
        <v/>
      </c>
      <c r="AC152" s="516">
        <f>AC20</f>
        <v/>
      </c>
      <c r="AD152" s="516">
        <f>AD20</f>
        <v/>
      </c>
      <c r="AE152" s="516">
        <f>AE20</f>
        <v/>
      </c>
      <c r="AF152" s="516">
        <f>AF20</f>
        <v/>
      </c>
      <c r="AG152" s="516">
        <f>AG20</f>
        <v/>
      </c>
      <c r="AH152" s="516">
        <f>AH20</f>
        <v/>
      </c>
      <c r="AI152" s="516">
        <f>AI20</f>
        <v/>
      </c>
      <c r="AJ152" s="516">
        <f>AJ20</f>
        <v/>
      </c>
      <c r="AK152" s="516">
        <f>AK20</f>
        <v/>
      </c>
      <c r="AL152" s="516">
        <f>AL20</f>
        <v/>
      </c>
      <c r="AM152" s="516">
        <f>AM20</f>
        <v/>
      </c>
      <c r="AN152" s="516">
        <f>AN20</f>
        <v/>
      </c>
      <c r="AO152" s="516">
        <f>AO20</f>
        <v/>
      </c>
      <c r="AP152" s="516">
        <f>AP20</f>
        <v/>
      </c>
      <c r="AQ152" s="516">
        <f>AQ20</f>
        <v/>
      </c>
      <c r="AR152" s="516">
        <f>AR20</f>
        <v/>
      </c>
      <c r="AS152" s="516">
        <f>AS20</f>
        <v/>
      </c>
      <c r="AT152" s="516">
        <f>AT20</f>
        <v/>
      </c>
      <c r="AU152" s="516">
        <f>AU20</f>
        <v/>
      </c>
      <c r="AV152" s="516">
        <f>AV20</f>
        <v/>
      </c>
      <c r="AW152" s="516">
        <f>AW20</f>
        <v/>
      </c>
      <c r="AX152" s="516">
        <f>AX20</f>
        <v/>
      </c>
      <c r="AY152" s="516">
        <f>AY20</f>
        <v/>
      </c>
      <c r="AZ152" s="516">
        <f>AZ20</f>
        <v/>
      </c>
      <c r="BA152" s="516">
        <f>BA20</f>
        <v/>
      </c>
      <c r="BB152" s="516">
        <f>BB20</f>
        <v/>
      </c>
      <c r="BC152" s="516">
        <f>BC20</f>
        <v/>
      </c>
      <c r="BD152" s="516">
        <f>BD20</f>
        <v/>
      </c>
      <c r="BE152" s="516">
        <f>BE20</f>
        <v/>
      </c>
      <c r="BF152" s="516">
        <f>BF20</f>
        <v/>
      </c>
      <c r="BG152" s="516">
        <f>BG20</f>
        <v/>
      </c>
      <c r="BH152" s="516">
        <f>BH20</f>
        <v/>
      </c>
      <c r="BI152" s="516">
        <f>BI20</f>
        <v/>
      </c>
      <c r="BJ152" s="516">
        <f>BJ20</f>
        <v/>
      </c>
      <c r="BK152" s="516">
        <f>BK20</f>
        <v/>
      </c>
      <c r="BL152" s="516">
        <f>BL20</f>
        <v/>
      </c>
      <c r="BM152" s="516">
        <f>BM20</f>
        <v/>
      </c>
      <c r="BN152" s="516">
        <f>BN20</f>
        <v/>
      </c>
      <c r="BO152" s="516">
        <f>BO20</f>
        <v/>
      </c>
      <c r="BP152" s="516">
        <f>BP20</f>
        <v/>
      </c>
      <c r="BQ152" s="516">
        <f>BQ20</f>
        <v/>
      </c>
      <c r="BR152" s="516">
        <f>BR20</f>
        <v/>
      </c>
      <c r="BS152" s="517">
        <f>BS20</f>
        <v/>
      </c>
      <c r="BT152" s="517">
        <f>BT20</f>
        <v/>
      </c>
      <c r="BU152" s="517">
        <f>BU20</f>
        <v/>
      </c>
      <c r="BV152" s="517">
        <f>BV20</f>
        <v/>
      </c>
      <c r="BW152" s="517">
        <f>BW20</f>
        <v/>
      </c>
      <c r="BX152" s="517">
        <f>BX20</f>
        <v/>
      </c>
      <c r="BY152" s="517">
        <f>BY20</f>
        <v/>
      </c>
      <c r="BZ152" s="517">
        <f>BZ20</f>
        <v/>
      </c>
      <c r="CA152" s="517">
        <f>CA20</f>
        <v/>
      </c>
      <c r="CB152" s="517">
        <f>CB20</f>
        <v/>
      </c>
      <c r="CC152" s="517">
        <f>CC20</f>
        <v/>
      </c>
      <c r="CD152" s="517">
        <f>CD20</f>
        <v/>
      </c>
      <c r="CE152" s="517">
        <f>CE20</f>
        <v/>
      </c>
      <c r="CF152" s="517">
        <f>CF20</f>
        <v/>
      </c>
      <c r="CG152" s="517">
        <f>CG20</f>
        <v/>
      </c>
      <c r="CH152" s="517">
        <f>CH20</f>
        <v/>
      </c>
      <c r="CI152" s="517">
        <f>CI20</f>
        <v/>
      </c>
      <c r="CJ152" s="517">
        <f>CJ20</f>
        <v/>
      </c>
      <c r="CK152" s="517">
        <f>CK20</f>
        <v/>
      </c>
    </row>
    <row r="153">
      <c r="A153" s="923" t="inlineStr">
        <is>
          <t>COGS</t>
        </is>
      </c>
      <c r="B153" s="140" t="n"/>
      <c r="C153" s="140" t="n"/>
      <c r="D153" s="140" t="n"/>
      <c r="E153" s="140" t="n"/>
      <c r="F153" s="140" t="n"/>
      <c r="G153" s="140" t="n"/>
      <c r="H153" s="140" t="n"/>
      <c r="I153" s="140" t="n"/>
      <c r="J153" s="140" t="n"/>
      <c r="K153" s="140" t="n"/>
      <c r="L153" s="140" t="n"/>
      <c r="M153" s="140" t="n"/>
      <c r="N153" s="516">
        <f>N64</f>
        <v/>
      </c>
      <c r="O153" s="516">
        <f>O64</f>
        <v/>
      </c>
      <c r="P153" s="516">
        <f>P64</f>
        <v/>
      </c>
      <c r="Q153" s="516">
        <f>Q64</f>
        <v/>
      </c>
      <c r="R153" s="516">
        <f>R64</f>
        <v/>
      </c>
      <c r="S153" s="516">
        <f>S64</f>
        <v/>
      </c>
      <c r="T153" s="516">
        <f>T64</f>
        <v/>
      </c>
      <c r="U153" s="516">
        <f>U64</f>
        <v/>
      </c>
      <c r="V153" s="516">
        <f>V64</f>
        <v/>
      </c>
      <c r="W153" s="516">
        <f>W64</f>
        <v/>
      </c>
      <c r="X153" s="516">
        <f>X64</f>
        <v/>
      </c>
      <c r="Y153" s="516">
        <f>Y64</f>
        <v/>
      </c>
      <c r="Z153" s="516">
        <f>Z64</f>
        <v/>
      </c>
      <c r="AA153" s="516">
        <f>AA64</f>
        <v/>
      </c>
      <c r="AB153" s="516">
        <f>AB64</f>
        <v/>
      </c>
      <c r="AC153" s="516">
        <f>AC64</f>
        <v/>
      </c>
      <c r="AD153" s="516">
        <f>AD64</f>
        <v/>
      </c>
      <c r="AE153" s="516">
        <f>AE64</f>
        <v/>
      </c>
      <c r="AF153" s="516">
        <f>AF64</f>
        <v/>
      </c>
      <c r="AG153" s="516">
        <f>AG64</f>
        <v/>
      </c>
      <c r="AH153" s="516">
        <f>AH64</f>
        <v/>
      </c>
      <c r="AI153" s="516">
        <f>AI64</f>
        <v/>
      </c>
      <c r="AJ153" s="516">
        <f>AJ64</f>
        <v/>
      </c>
      <c r="AK153" s="516">
        <f>AK64</f>
        <v/>
      </c>
      <c r="AL153" s="516">
        <f>AL64</f>
        <v/>
      </c>
      <c r="AM153" s="516">
        <f>AM64</f>
        <v/>
      </c>
      <c r="AN153" s="516">
        <f>AN64</f>
        <v/>
      </c>
      <c r="AO153" s="516">
        <f>AO64</f>
        <v/>
      </c>
      <c r="AP153" s="516">
        <f>AP64</f>
        <v/>
      </c>
      <c r="AQ153" s="516">
        <f>AQ64</f>
        <v/>
      </c>
      <c r="AR153" s="516">
        <f>AR64</f>
        <v/>
      </c>
      <c r="AS153" s="516">
        <f>AS64</f>
        <v/>
      </c>
      <c r="AT153" s="516">
        <f>AT64</f>
        <v/>
      </c>
      <c r="AU153" s="516">
        <f>AU64</f>
        <v/>
      </c>
      <c r="AV153" s="516">
        <f>AV64</f>
        <v/>
      </c>
      <c r="AW153" s="516">
        <f>AW64</f>
        <v/>
      </c>
      <c r="AX153" s="516">
        <f>AX64</f>
        <v/>
      </c>
      <c r="AY153" s="516">
        <f>AY64</f>
        <v/>
      </c>
      <c r="AZ153" s="516">
        <f>AZ64</f>
        <v/>
      </c>
      <c r="BA153" s="516">
        <f>BA64</f>
        <v/>
      </c>
      <c r="BB153" s="516">
        <f>BB64</f>
        <v/>
      </c>
      <c r="BC153" s="516">
        <f>BC64</f>
        <v/>
      </c>
      <c r="BD153" s="516">
        <f>BD64</f>
        <v/>
      </c>
      <c r="BE153" s="516">
        <f>BE64</f>
        <v/>
      </c>
      <c r="BF153" s="516">
        <f>BF64</f>
        <v/>
      </c>
      <c r="BG153" s="516">
        <f>BG64</f>
        <v/>
      </c>
      <c r="BH153" s="516">
        <f>BH64</f>
        <v/>
      </c>
      <c r="BI153" s="516">
        <f>BI64</f>
        <v/>
      </c>
      <c r="BJ153" s="516">
        <f>BJ64</f>
        <v/>
      </c>
      <c r="BK153" s="516">
        <f>BK64</f>
        <v/>
      </c>
      <c r="BL153" s="516">
        <f>BL64</f>
        <v/>
      </c>
      <c r="BM153" s="516">
        <f>BM64</f>
        <v/>
      </c>
      <c r="BN153" s="516">
        <f>BN64</f>
        <v/>
      </c>
      <c r="BO153" s="516">
        <f>BO64</f>
        <v/>
      </c>
      <c r="BP153" s="516">
        <f>BP64</f>
        <v/>
      </c>
      <c r="BQ153" s="516">
        <f>BQ64</f>
        <v/>
      </c>
      <c r="BR153" s="516">
        <f>BR64</f>
        <v/>
      </c>
      <c r="BS153" s="517">
        <f>BS64</f>
        <v/>
      </c>
      <c r="BT153" s="517">
        <f>BT64</f>
        <v/>
      </c>
      <c r="BU153" s="517">
        <f>BU64</f>
        <v/>
      </c>
      <c r="BV153" s="517">
        <f>BV64</f>
        <v/>
      </c>
      <c r="BW153" s="517">
        <f>BW64</f>
        <v/>
      </c>
      <c r="BX153" s="517">
        <f>BX64</f>
        <v/>
      </c>
      <c r="BY153" s="517">
        <f>BY64</f>
        <v/>
      </c>
      <c r="BZ153" s="517">
        <f>BZ64</f>
        <v/>
      </c>
      <c r="CA153" s="517">
        <f>CA64</f>
        <v/>
      </c>
      <c r="CB153" s="517">
        <f>CB64</f>
        <v/>
      </c>
      <c r="CC153" s="517">
        <f>CC64</f>
        <v/>
      </c>
      <c r="CD153" s="517">
        <f>CD64</f>
        <v/>
      </c>
      <c r="CE153" s="517">
        <f>CE64</f>
        <v/>
      </c>
      <c r="CF153" s="517">
        <f>CF64</f>
        <v/>
      </c>
      <c r="CG153" s="517">
        <f>CG64</f>
        <v/>
      </c>
      <c r="CH153" s="517">
        <f>CH64</f>
        <v/>
      </c>
      <c r="CI153" s="517">
        <f>CI64</f>
        <v/>
      </c>
      <c r="CJ153" s="517">
        <f>CJ64</f>
        <v/>
      </c>
      <c r="CK153" s="517">
        <f>CK64</f>
        <v/>
      </c>
    </row>
    <row r="154">
      <c r="A154" s="923" t="inlineStr">
        <is>
          <t>Operating income</t>
        </is>
      </c>
      <c r="B154" s="140" t="n"/>
      <c r="C154" s="140" t="n"/>
      <c r="D154" s="140" t="n"/>
      <c r="E154" s="140" t="n"/>
      <c r="F154" s="140" t="n"/>
      <c r="G154" s="140" t="n"/>
      <c r="H154" s="140" t="n"/>
      <c r="I154" s="140" t="n"/>
      <c r="J154" s="140" t="n"/>
      <c r="K154" s="140" t="n"/>
      <c r="L154" s="140" t="n"/>
      <c r="M154" s="140" t="n"/>
      <c r="N154" s="516">
        <f>N88</f>
        <v/>
      </c>
      <c r="O154" s="516">
        <f>O88</f>
        <v/>
      </c>
      <c r="P154" s="516">
        <f>P88</f>
        <v/>
      </c>
      <c r="Q154" s="516">
        <f>Q88</f>
        <v/>
      </c>
      <c r="R154" s="516">
        <f>R88</f>
        <v/>
      </c>
      <c r="S154" s="516">
        <f>S88</f>
        <v/>
      </c>
      <c r="T154" s="516">
        <f>T88</f>
        <v/>
      </c>
      <c r="U154" s="516">
        <f>U88</f>
        <v/>
      </c>
      <c r="V154" s="516">
        <f>V88</f>
        <v/>
      </c>
      <c r="W154" s="516">
        <f>W88</f>
        <v/>
      </c>
      <c r="X154" s="516">
        <f>X88</f>
        <v/>
      </c>
      <c r="Y154" s="516">
        <f>Y88</f>
        <v/>
      </c>
      <c r="Z154" s="516">
        <f>Z88</f>
        <v/>
      </c>
      <c r="AA154" s="516">
        <f>AA88</f>
        <v/>
      </c>
      <c r="AB154" s="516">
        <f>AB88</f>
        <v/>
      </c>
      <c r="AC154" s="516">
        <f>AC88</f>
        <v/>
      </c>
      <c r="AD154" s="516">
        <f>AD88</f>
        <v/>
      </c>
      <c r="AE154" s="516">
        <f>AE88</f>
        <v/>
      </c>
      <c r="AF154" s="516">
        <f>AF88</f>
        <v/>
      </c>
      <c r="AG154" s="516">
        <f>AG88</f>
        <v/>
      </c>
      <c r="AH154" s="516">
        <f>AH88</f>
        <v/>
      </c>
      <c r="AI154" s="516">
        <f>AI88</f>
        <v/>
      </c>
      <c r="AJ154" s="516">
        <f>AJ88</f>
        <v/>
      </c>
      <c r="AK154" s="516">
        <f>AK88</f>
        <v/>
      </c>
      <c r="AL154" s="516">
        <f>AL88</f>
        <v/>
      </c>
      <c r="AM154" s="516">
        <f>AM88</f>
        <v/>
      </c>
      <c r="AN154" s="516">
        <f>AN88</f>
        <v/>
      </c>
      <c r="AO154" s="516">
        <f>AO88</f>
        <v/>
      </c>
      <c r="AP154" s="516">
        <f>AP88</f>
        <v/>
      </c>
      <c r="AQ154" s="516">
        <f>AQ88</f>
        <v/>
      </c>
      <c r="AR154" s="516">
        <f>AR88</f>
        <v/>
      </c>
      <c r="AS154" s="516">
        <f>AS88</f>
        <v/>
      </c>
      <c r="AT154" s="516">
        <f>AT88</f>
        <v/>
      </c>
      <c r="AU154" s="516">
        <f>AU88</f>
        <v/>
      </c>
      <c r="AV154" s="516">
        <f>AV88</f>
        <v/>
      </c>
      <c r="AW154" s="516">
        <f>AW88</f>
        <v/>
      </c>
      <c r="AX154" s="516">
        <f>AX88</f>
        <v/>
      </c>
      <c r="AY154" s="516">
        <f>AY88</f>
        <v/>
      </c>
      <c r="AZ154" s="516">
        <f>AZ88</f>
        <v/>
      </c>
      <c r="BA154" s="516">
        <f>BA88</f>
        <v/>
      </c>
      <c r="BB154" s="516">
        <f>BB88</f>
        <v/>
      </c>
      <c r="BC154" s="516">
        <f>BC88</f>
        <v/>
      </c>
      <c r="BD154" s="516">
        <f>BD88</f>
        <v/>
      </c>
      <c r="BE154" s="516">
        <f>BE88</f>
        <v/>
      </c>
      <c r="BF154" s="516">
        <f>BF88</f>
        <v/>
      </c>
      <c r="BG154" s="516">
        <f>BG88</f>
        <v/>
      </c>
      <c r="BH154" s="516">
        <f>BH88</f>
        <v/>
      </c>
      <c r="BI154" s="516">
        <f>BI88</f>
        <v/>
      </c>
      <c r="BJ154" s="516">
        <f>BJ88</f>
        <v/>
      </c>
      <c r="BK154" s="516">
        <f>BK88</f>
        <v/>
      </c>
      <c r="BL154" s="516">
        <f>BL88</f>
        <v/>
      </c>
      <c r="BM154" s="516">
        <f>BM88</f>
        <v/>
      </c>
      <c r="BN154" s="516">
        <f>BN88</f>
        <v/>
      </c>
      <c r="BO154" s="516">
        <f>BO88</f>
        <v/>
      </c>
      <c r="BP154" s="516">
        <f>BP88</f>
        <v/>
      </c>
      <c r="BQ154" s="516">
        <f>BQ88</f>
        <v/>
      </c>
      <c r="BR154" s="516">
        <f>BR88</f>
        <v/>
      </c>
      <c r="BS154" s="517">
        <f>BS88</f>
        <v/>
      </c>
      <c r="BT154" s="517">
        <f>BT88</f>
        <v/>
      </c>
      <c r="BU154" s="517">
        <f>BU88</f>
        <v/>
      </c>
      <c r="BV154" s="517">
        <f>BV88</f>
        <v/>
      </c>
      <c r="BW154" s="517">
        <f>BW88</f>
        <v/>
      </c>
      <c r="BX154" s="517">
        <f>BX88</f>
        <v/>
      </c>
      <c r="BY154" s="517">
        <f>BY88</f>
        <v/>
      </c>
      <c r="BZ154" s="517">
        <f>BZ88</f>
        <v/>
      </c>
      <c r="CA154" s="517">
        <f>CA88</f>
        <v/>
      </c>
      <c r="CB154" s="517">
        <f>CB88</f>
        <v/>
      </c>
      <c r="CC154" s="517">
        <f>CC88</f>
        <v/>
      </c>
      <c r="CD154" s="517">
        <f>CD88</f>
        <v/>
      </c>
      <c r="CE154" s="517">
        <f>CE88</f>
        <v/>
      </c>
      <c r="CF154" s="517">
        <f>CF88</f>
        <v/>
      </c>
      <c r="CG154" s="517">
        <f>CG88</f>
        <v/>
      </c>
      <c r="CH154" s="517">
        <f>CH88</f>
        <v/>
      </c>
      <c r="CI154" s="517">
        <f>CI88</f>
        <v/>
      </c>
      <c r="CJ154" s="517">
        <f>CJ88</f>
        <v/>
      </c>
      <c r="CK154" s="517">
        <f>CK88</f>
        <v/>
      </c>
    </row>
    <row r="155">
      <c r="A155" s="923" t="inlineStr">
        <is>
          <t>Income tax expense</t>
        </is>
      </c>
      <c r="B155" s="140" t="n"/>
      <c r="C155" s="140" t="n"/>
      <c r="D155" s="140" t="n"/>
      <c r="E155" s="140" t="n"/>
      <c r="F155" s="140" t="n"/>
      <c r="G155" s="140" t="n"/>
      <c r="H155" s="140" t="n"/>
      <c r="I155" s="140" t="n"/>
      <c r="J155" s="140" t="n"/>
      <c r="K155" s="140" t="n"/>
      <c r="L155" s="140" t="n"/>
      <c r="M155" s="140" t="n"/>
      <c r="N155" s="517">
        <f>-N101</f>
        <v/>
      </c>
      <c r="O155" s="517">
        <f>-O101</f>
        <v/>
      </c>
      <c r="P155" s="517">
        <f>-P101</f>
        <v/>
      </c>
      <c r="Q155" s="517">
        <f>-Q101</f>
        <v/>
      </c>
      <c r="R155" s="517">
        <f>-R101</f>
        <v/>
      </c>
      <c r="S155" s="517">
        <f>-S101</f>
        <v/>
      </c>
      <c r="T155" s="517">
        <f>-T101</f>
        <v/>
      </c>
      <c r="U155" s="517">
        <f>-U101</f>
        <v/>
      </c>
      <c r="V155" s="517">
        <f>-V101</f>
        <v/>
      </c>
      <c r="W155" s="517">
        <f>-W101</f>
        <v/>
      </c>
      <c r="X155" s="517">
        <f>-X101</f>
        <v/>
      </c>
      <c r="Y155" s="517">
        <f>-Y101</f>
        <v/>
      </c>
      <c r="Z155" s="517">
        <f>-Z101</f>
        <v/>
      </c>
      <c r="AA155" s="517">
        <f>-AA101</f>
        <v/>
      </c>
      <c r="AB155" s="517">
        <f>-AB101</f>
        <v/>
      </c>
      <c r="AC155" s="517">
        <f>-AC101</f>
        <v/>
      </c>
      <c r="AD155" s="517">
        <f>-AD101</f>
        <v/>
      </c>
      <c r="AE155" s="517">
        <f>-AE101</f>
        <v/>
      </c>
      <c r="AF155" s="517">
        <f>-AF101</f>
        <v/>
      </c>
      <c r="AG155" s="517">
        <f>-AG101</f>
        <v/>
      </c>
      <c r="AH155" s="517">
        <f>-AH101</f>
        <v/>
      </c>
      <c r="AI155" s="517">
        <f>-AI101</f>
        <v/>
      </c>
      <c r="AJ155" s="517">
        <f>-AJ101</f>
        <v/>
      </c>
      <c r="AK155" s="517">
        <f>-AK101</f>
        <v/>
      </c>
      <c r="AL155" s="517">
        <f>-AL101</f>
        <v/>
      </c>
      <c r="AM155" s="517">
        <f>-AM101</f>
        <v/>
      </c>
      <c r="AN155" s="517">
        <f>-AN101</f>
        <v/>
      </c>
      <c r="AO155" s="517">
        <f>-AO101</f>
        <v/>
      </c>
      <c r="AP155" s="517">
        <f>-AP101</f>
        <v/>
      </c>
      <c r="AQ155" s="517">
        <f>-AQ101</f>
        <v/>
      </c>
      <c r="AR155" s="517">
        <f>-AR101</f>
        <v/>
      </c>
      <c r="AS155" s="517">
        <f>-AS101</f>
        <v/>
      </c>
      <c r="AT155" s="517">
        <f>-AT101</f>
        <v/>
      </c>
      <c r="AU155" s="517">
        <f>-AU101</f>
        <v/>
      </c>
      <c r="AV155" s="517">
        <f>-AV101</f>
        <v/>
      </c>
      <c r="AW155" s="517">
        <f>-AW101</f>
        <v/>
      </c>
      <c r="AX155" s="517">
        <f>-AX101</f>
        <v/>
      </c>
      <c r="AY155" s="517">
        <f>-AY101</f>
        <v/>
      </c>
      <c r="AZ155" s="517">
        <f>-AZ101</f>
        <v/>
      </c>
      <c r="BA155" s="517">
        <f>-BA101</f>
        <v/>
      </c>
      <c r="BB155" s="517">
        <f>-BB101</f>
        <v/>
      </c>
      <c r="BC155" s="517">
        <f>-BC101</f>
        <v/>
      </c>
      <c r="BD155" s="517">
        <f>-BD101</f>
        <v/>
      </c>
      <c r="BE155" s="517">
        <f>-BE101</f>
        <v/>
      </c>
      <c r="BF155" s="517">
        <f>-BF101</f>
        <v/>
      </c>
      <c r="BG155" s="517">
        <f>-BG101</f>
        <v/>
      </c>
      <c r="BH155" s="517">
        <f>-BH101</f>
        <v/>
      </c>
      <c r="BI155" s="517">
        <f>-BI101</f>
        <v/>
      </c>
      <c r="BJ155" s="517">
        <f>-BJ101</f>
        <v/>
      </c>
      <c r="BK155" s="517">
        <f>-BK101</f>
        <v/>
      </c>
      <c r="BL155" s="517">
        <f>-BL101</f>
        <v/>
      </c>
      <c r="BM155" s="517">
        <f>-BM101</f>
        <v/>
      </c>
      <c r="BN155" s="517">
        <f>-BN101</f>
        <v/>
      </c>
      <c r="BO155" s="517">
        <f>-BO101</f>
        <v/>
      </c>
      <c r="BP155" s="517">
        <f>-BP101</f>
        <v/>
      </c>
      <c r="BQ155" s="517">
        <f>-BQ101</f>
        <v/>
      </c>
      <c r="BR155" s="517">
        <f>-BR101</f>
        <v/>
      </c>
      <c r="BS155" s="517">
        <f>-BS101</f>
        <v/>
      </c>
      <c r="BT155" s="517">
        <f>-BT101</f>
        <v/>
      </c>
      <c r="BU155" s="517">
        <f>-BU101</f>
        <v/>
      </c>
      <c r="BV155" s="517">
        <f>-BV101</f>
        <v/>
      </c>
      <c r="BW155" s="517">
        <f>-BW101</f>
        <v/>
      </c>
      <c r="BX155" s="517">
        <f>-BX101</f>
        <v/>
      </c>
      <c r="BY155" s="517">
        <f>-BY101</f>
        <v/>
      </c>
      <c r="BZ155" s="517">
        <f>-BZ101</f>
        <v/>
      </c>
      <c r="CA155" s="517">
        <f>-CA101</f>
        <v/>
      </c>
      <c r="CB155" s="517">
        <f>-CB101</f>
        <v/>
      </c>
      <c r="CC155" s="517">
        <f>-CC101</f>
        <v/>
      </c>
      <c r="CD155" s="517">
        <f>-CD101</f>
        <v/>
      </c>
      <c r="CE155" s="517">
        <f>-CE101</f>
        <v/>
      </c>
      <c r="CF155" s="517">
        <f>-CF101</f>
        <v/>
      </c>
      <c r="CG155" s="517">
        <f>-CG101</f>
        <v/>
      </c>
      <c r="CH155" s="517">
        <f>-CH101</f>
        <v/>
      </c>
      <c r="CI155" s="517">
        <f>-CI101</f>
        <v/>
      </c>
      <c r="CJ155" s="517">
        <f>-CJ101</f>
        <v/>
      </c>
      <c r="CK155" s="517">
        <f>-CK101</f>
        <v/>
      </c>
    </row>
    <row r="156">
      <c r="A156" s="415" t="n"/>
    </row>
    <row r="157">
      <c r="A157" s="415">
        <f>FS_Q!A46</f>
        <v/>
      </c>
      <c r="B157" s="140" t="n"/>
      <c r="C157" s="140" t="n"/>
      <c r="D157" s="140" t="n"/>
      <c r="E157" s="140" t="n"/>
      <c r="F157" s="140" t="n"/>
      <c r="G157" s="140" t="n"/>
      <c r="H157" s="140" t="n"/>
      <c r="I157" s="140" t="n"/>
      <c r="J157" s="140" t="n"/>
      <c r="K157" s="140" t="n"/>
      <c r="L157" s="140" t="n"/>
      <c r="M157" s="140" t="n"/>
      <c r="N157" s="516">
        <f>FS_Q!N46</f>
        <v/>
      </c>
      <c r="O157" s="516">
        <f>FS_Q!O46</f>
        <v/>
      </c>
      <c r="P157" s="516">
        <f>FS_Q!P46</f>
        <v/>
      </c>
      <c r="Q157" s="516">
        <f>FS_Q!Q46</f>
        <v/>
      </c>
      <c r="R157" s="516">
        <f>FS_Q!R46</f>
        <v/>
      </c>
      <c r="S157" s="516">
        <f>FS_Q!S46</f>
        <v/>
      </c>
      <c r="T157" s="516">
        <f>FS_Q!T46</f>
        <v/>
      </c>
      <c r="U157" s="516">
        <f>FS_Q!U46</f>
        <v/>
      </c>
      <c r="V157" s="516">
        <f>FS_Q!V46</f>
        <v/>
      </c>
      <c r="W157" s="516">
        <f>FS_Q!W46</f>
        <v/>
      </c>
      <c r="X157" s="516">
        <f>FS_Q!X46</f>
        <v/>
      </c>
      <c r="Y157" s="516">
        <f>FS_Q!Y46</f>
        <v/>
      </c>
      <c r="Z157" s="516">
        <f>FS_Q!Z46</f>
        <v/>
      </c>
      <c r="AA157" s="516">
        <f>FS_Q!AA46</f>
        <v/>
      </c>
      <c r="AB157" s="516">
        <f>FS_Q!AB46</f>
        <v/>
      </c>
      <c r="AC157" s="516">
        <f>FS_Q!AC46</f>
        <v/>
      </c>
      <c r="AD157" s="516">
        <f>FS_Q!AD46</f>
        <v/>
      </c>
      <c r="AE157" s="516">
        <f>FS_Q!AE46</f>
        <v/>
      </c>
      <c r="AF157" s="516">
        <f>FS_Q!AF46</f>
        <v/>
      </c>
      <c r="AG157" s="516">
        <f>FS_Q!AG46</f>
        <v/>
      </c>
      <c r="AH157" s="516">
        <f>FS_Q!AH46</f>
        <v/>
      </c>
      <c r="AI157" s="516">
        <f>FS_Q!AI46</f>
        <v/>
      </c>
      <c r="AJ157" s="516">
        <f>FS_Q!AJ46</f>
        <v/>
      </c>
      <c r="AK157" s="516">
        <f>FS_Q!AK46</f>
        <v/>
      </c>
      <c r="AL157" s="516">
        <f>FS_Q!AL46</f>
        <v/>
      </c>
      <c r="AM157" s="516">
        <f>FS_Q!AM46</f>
        <v/>
      </c>
      <c r="AN157" s="516">
        <f>FS_Q!AN46</f>
        <v/>
      </c>
      <c r="AO157" s="516">
        <f>FS_Q!AO46</f>
        <v/>
      </c>
      <c r="AP157" s="516">
        <f>FS_Q!AP46</f>
        <v/>
      </c>
      <c r="AQ157" s="516">
        <f>FS_Q!AQ46</f>
        <v/>
      </c>
      <c r="AR157" s="516">
        <f>FS_Q!AR46</f>
        <v/>
      </c>
      <c r="AS157" s="516">
        <f>FS_Q!AS46</f>
        <v/>
      </c>
      <c r="AT157" s="516">
        <f>FS_Q!AT46</f>
        <v/>
      </c>
      <c r="AU157" s="516">
        <f>FS_Q!AU46</f>
        <v/>
      </c>
      <c r="AV157" s="516">
        <f>FS_Q!AV46</f>
        <v/>
      </c>
      <c r="AW157" s="516">
        <f>FS_Q!AW46</f>
        <v/>
      </c>
      <c r="AX157" s="516">
        <f>FS_Q!AX46</f>
        <v/>
      </c>
      <c r="AY157" s="516">
        <f>FS_Q!AY46</f>
        <v/>
      </c>
      <c r="AZ157" s="516">
        <f>FS_Q!AZ46</f>
        <v/>
      </c>
      <c r="BA157" s="516">
        <f>FS_Q!BA46</f>
        <v/>
      </c>
      <c r="BB157" s="516">
        <f>FS_Q!BB46</f>
        <v/>
      </c>
      <c r="BC157" s="516">
        <f>FS_Q!BC46</f>
        <v/>
      </c>
      <c r="BD157" s="516">
        <f>FS_Q!BD46</f>
        <v/>
      </c>
      <c r="BE157" s="516">
        <f>FS_Q!BE46</f>
        <v/>
      </c>
      <c r="BF157" s="516">
        <f>FS_Q!BF46</f>
        <v/>
      </c>
      <c r="BG157" s="516">
        <f>FS_Q!BG46</f>
        <v/>
      </c>
      <c r="BH157" s="516">
        <f>FS_Q!BH46</f>
        <v/>
      </c>
      <c r="BI157" s="516">
        <f>FS_Q!BI46</f>
        <v/>
      </c>
      <c r="BJ157" s="516">
        <f>FS_Q!BJ46</f>
        <v/>
      </c>
      <c r="BK157" s="516">
        <f>FS_Q!BK46</f>
        <v/>
      </c>
      <c r="BL157" s="516">
        <f>FS_Q!BL46</f>
        <v/>
      </c>
      <c r="BM157" s="516">
        <f>FS_Q!BM46</f>
        <v/>
      </c>
      <c r="BN157" s="516">
        <f>FS_Q!BN46</f>
        <v/>
      </c>
      <c r="BO157" s="516">
        <f>FS_Q!BO46</f>
        <v/>
      </c>
      <c r="BP157" s="516">
        <f>FS_Q!BP46</f>
        <v/>
      </c>
      <c r="BQ157" s="516">
        <f>FS_Q!BQ46</f>
        <v/>
      </c>
      <c r="BR157" s="516">
        <f>FS_Q!BR46</f>
        <v/>
      </c>
      <c r="BS157" s="517">
        <f>BS$152*BS123/BS$245</f>
        <v/>
      </c>
      <c r="BT157" s="517">
        <f>BT$152*BT123/BT$245</f>
        <v/>
      </c>
      <c r="BU157" s="517">
        <f>BU$152*BU123/BU$245</f>
        <v/>
      </c>
      <c r="BV157" s="517">
        <f>BV$152*BV123/BV$245</f>
        <v/>
      </c>
      <c r="BW157" s="517">
        <f>BW$152*BW123/BW$245</f>
        <v/>
      </c>
      <c r="BX157" s="517">
        <f>BX$152*BX123/BX$245</f>
        <v/>
      </c>
      <c r="BY157" s="517">
        <f>BY$152*BY123/BY$245</f>
        <v/>
      </c>
      <c r="BZ157" s="517">
        <f>BZ$152*BZ123/BZ$245</f>
        <v/>
      </c>
      <c r="CA157" s="517">
        <f>CA$152*CA123/CA$245</f>
        <v/>
      </c>
      <c r="CB157" s="517">
        <f>CB$152*CB123/CB$245</f>
        <v/>
      </c>
      <c r="CC157" s="517">
        <f>CC$152*CC123/CC$245</f>
        <v/>
      </c>
      <c r="CD157" s="517">
        <f>CD$152*CD123/CD$245</f>
        <v/>
      </c>
      <c r="CE157" s="517">
        <f>CE$152*CE123/CE$245</f>
        <v/>
      </c>
      <c r="CF157" s="517">
        <f>CF$152*CF123/CF$245</f>
        <v/>
      </c>
      <c r="CG157" s="517">
        <f>CG$152*CG123/CG$245</f>
        <v/>
      </c>
      <c r="CH157" s="517">
        <f>CH$152*CH123/CH$245</f>
        <v/>
      </c>
      <c r="CI157" s="517">
        <f>CI$152*CI123/CI$245</f>
        <v/>
      </c>
      <c r="CJ157" s="517">
        <f>CJ$152*CJ123/CJ$245</f>
        <v/>
      </c>
      <c r="CK157" s="517">
        <f>CK$152*CK123/CK$245</f>
        <v/>
      </c>
    </row>
    <row r="158">
      <c r="A158" s="415">
        <f>FS_Q!A47</f>
        <v/>
      </c>
      <c r="B158" s="140" t="n"/>
      <c r="C158" s="140" t="n"/>
      <c r="D158" s="140" t="n"/>
      <c r="E158" s="140" t="n"/>
      <c r="F158" s="140" t="n"/>
      <c r="G158" s="140" t="n"/>
      <c r="H158" s="140" t="n"/>
      <c r="I158" s="140" t="n"/>
      <c r="J158" s="140" t="n"/>
      <c r="K158" s="140" t="n"/>
      <c r="L158" s="140" t="n"/>
      <c r="M158" s="140" t="n"/>
      <c r="N158" s="516">
        <f>FS_Q!N47</f>
        <v/>
      </c>
      <c r="O158" s="516">
        <f>FS_Q!O47</f>
        <v/>
      </c>
      <c r="P158" s="516">
        <f>FS_Q!P47</f>
        <v/>
      </c>
      <c r="Q158" s="516">
        <f>FS_Q!Q47</f>
        <v/>
      </c>
      <c r="R158" s="516">
        <f>FS_Q!R47</f>
        <v/>
      </c>
      <c r="S158" s="516">
        <f>FS_Q!S47</f>
        <v/>
      </c>
      <c r="T158" s="516">
        <f>FS_Q!T47</f>
        <v/>
      </c>
      <c r="U158" s="516">
        <f>FS_Q!U47</f>
        <v/>
      </c>
      <c r="V158" s="516">
        <f>FS_Q!V47</f>
        <v/>
      </c>
      <c r="W158" s="516">
        <f>FS_Q!W47</f>
        <v/>
      </c>
      <c r="X158" s="516">
        <f>FS_Q!X47</f>
        <v/>
      </c>
      <c r="Y158" s="516">
        <f>FS_Q!Y47</f>
        <v/>
      </c>
      <c r="Z158" s="516">
        <f>FS_Q!Z47</f>
        <v/>
      </c>
      <c r="AA158" s="516">
        <f>FS_Q!AA47</f>
        <v/>
      </c>
      <c r="AB158" s="516">
        <f>FS_Q!AB47</f>
        <v/>
      </c>
      <c r="AC158" s="516">
        <f>FS_Q!AC47</f>
        <v/>
      </c>
      <c r="AD158" s="516">
        <f>FS_Q!AD47</f>
        <v/>
      </c>
      <c r="AE158" s="516">
        <f>FS_Q!AE47</f>
        <v/>
      </c>
      <c r="AF158" s="516">
        <f>FS_Q!AF47</f>
        <v/>
      </c>
      <c r="AG158" s="516">
        <f>FS_Q!AG47</f>
        <v/>
      </c>
      <c r="AH158" s="516">
        <f>FS_Q!AH47</f>
        <v/>
      </c>
      <c r="AI158" s="516">
        <f>FS_Q!AI47</f>
        <v/>
      </c>
      <c r="AJ158" s="516">
        <f>FS_Q!AJ47</f>
        <v/>
      </c>
      <c r="AK158" s="516">
        <f>FS_Q!AK47</f>
        <v/>
      </c>
      <c r="AL158" s="516">
        <f>FS_Q!AL47</f>
        <v/>
      </c>
      <c r="AM158" s="516">
        <f>FS_Q!AM47</f>
        <v/>
      </c>
      <c r="AN158" s="516">
        <f>FS_Q!AN47</f>
        <v/>
      </c>
      <c r="AO158" s="516">
        <f>FS_Q!AO47</f>
        <v/>
      </c>
      <c r="AP158" s="516">
        <f>FS_Q!AP47</f>
        <v/>
      </c>
      <c r="AQ158" s="516">
        <f>FS_Q!AQ47</f>
        <v/>
      </c>
      <c r="AR158" s="516">
        <f>FS_Q!AR47</f>
        <v/>
      </c>
      <c r="AS158" s="516">
        <f>FS_Q!AS47</f>
        <v/>
      </c>
      <c r="AT158" s="516">
        <f>FS_Q!AT47</f>
        <v/>
      </c>
      <c r="AU158" s="516">
        <f>FS_Q!AU47</f>
        <v/>
      </c>
      <c r="AV158" s="516">
        <f>FS_Q!AV47</f>
        <v/>
      </c>
      <c r="AW158" s="516">
        <f>FS_Q!AW47</f>
        <v/>
      </c>
      <c r="AX158" s="516">
        <f>FS_Q!AX47</f>
        <v/>
      </c>
      <c r="AY158" s="516">
        <f>FS_Q!AY47</f>
        <v/>
      </c>
      <c r="AZ158" s="516">
        <f>FS_Q!AZ47</f>
        <v/>
      </c>
      <c r="BA158" s="516">
        <f>FS_Q!BA47</f>
        <v/>
      </c>
      <c r="BB158" s="516">
        <f>FS_Q!BB47</f>
        <v/>
      </c>
      <c r="BC158" s="516">
        <f>FS_Q!BC47</f>
        <v/>
      </c>
      <c r="BD158" s="516">
        <f>FS_Q!BD47</f>
        <v/>
      </c>
      <c r="BE158" s="516">
        <f>FS_Q!BE47</f>
        <v/>
      </c>
      <c r="BF158" s="516">
        <f>FS_Q!BF47</f>
        <v/>
      </c>
      <c r="BG158" s="516">
        <f>FS_Q!BG47</f>
        <v/>
      </c>
      <c r="BH158" s="516">
        <f>FS_Q!BH47</f>
        <v/>
      </c>
      <c r="BI158" s="516">
        <f>FS_Q!BI47</f>
        <v/>
      </c>
      <c r="BJ158" s="516">
        <f>FS_Q!BJ47</f>
        <v/>
      </c>
      <c r="BK158" s="516">
        <f>FS_Q!BK47</f>
        <v/>
      </c>
      <c r="BL158" s="516">
        <f>FS_Q!BL47</f>
        <v/>
      </c>
      <c r="BM158" s="516">
        <f>FS_Q!BM47</f>
        <v/>
      </c>
      <c r="BN158" s="516">
        <f>FS_Q!BN47</f>
        <v/>
      </c>
      <c r="BO158" s="516">
        <f>FS_Q!BO47</f>
        <v/>
      </c>
      <c r="BP158" s="516">
        <f>FS_Q!BP47</f>
        <v/>
      </c>
      <c r="BQ158" s="516">
        <f>FS_Q!BQ47</f>
        <v/>
      </c>
      <c r="BR158" s="516">
        <f>FS_Q!BR47</f>
        <v/>
      </c>
      <c r="BS158" s="517">
        <f>BS$153*BS126/BS$245</f>
        <v/>
      </c>
      <c r="BT158" s="517">
        <f>BT$153*BT126/BT$245</f>
        <v/>
      </c>
      <c r="BU158" s="517">
        <f>BU$153*BU126/BU$245</f>
        <v/>
      </c>
      <c r="BV158" s="517">
        <f>BV$153*BV126/BV$245</f>
        <v/>
      </c>
      <c r="BW158" s="517">
        <f>BW$153*BW126/BW$245</f>
        <v/>
      </c>
      <c r="BX158" s="517">
        <f>BX$153*BX126/BX$245</f>
        <v/>
      </c>
      <c r="BY158" s="517">
        <f>BY$153*BY126/BY$245</f>
        <v/>
      </c>
      <c r="BZ158" s="517">
        <f>BZ$153*BZ126/BZ$245</f>
        <v/>
      </c>
      <c r="CA158" s="517">
        <f>CA$153*CA126/CA$245</f>
        <v/>
      </c>
      <c r="CB158" s="517">
        <f>CB$153*CB126/CB$245</f>
        <v/>
      </c>
      <c r="CC158" s="517">
        <f>CC$153*CC126/CC$245</f>
        <v/>
      </c>
      <c r="CD158" s="517">
        <f>CD$153*CD126/CD$245</f>
        <v/>
      </c>
      <c r="CE158" s="517">
        <f>CE$153*CE126/CE$245</f>
        <v/>
      </c>
      <c r="CF158" s="517">
        <f>CF$153*CF126/CF$245</f>
        <v/>
      </c>
      <c r="CG158" s="517">
        <f>CG$153*CG126/CG$245</f>
        <v/>
      </c>
      <c r="CH158" s="517">
        <f>CH$153*CH126/CH$245</f>
        <v/>
      </c>
      <c r="CI158" s="517">
        <f>CI$153*CI126/CI$245</f>
        <v/>
      </c>
      <c r="CJ158" s="517">
        <f>CJ$153*CJ126/CJ$245</f>
        <v/>
      </c>
      <c r="CK158" s="517">
        <f>CK$153*CK126/CK$245</f>
        <v/>
      </c>
    </row>
    <row r="159">
      <c r="A159" s="415">
        <f>FS_Q!A48</f>
        <v/>
      </c>
      <c r="B159" s="140" t="n"/>
      <c r="C159" s="140" t="n"/>
      <c r="D159" s="140" t="n"/>
      <c r="E159" s="140" t="n"/>
      <c r="F159" s="140" t="n"/>
      <c r="G159" s="140" t="n"/>
      <c r="H159" s="140" t="n"/>
      <c r="I159" s="140" t="n"/>
      <c r="J159" s="140" t="n"/>
      <c r="K159" s="140" t="n"/>
      <c r="L159" s="140" t="n"/>
      <c r="M159" s="140" t="n"/>
      <c r="N159" s="516">
        <f>FS_Q!N48</f>
        <v/>
      </c>
      <c r="O159" s="516">
        <f>FS_Q!O48</f>
        <v/>
      </c>
      <c r="P159" s="516">
        <f>FS_Q!P48</f>
        <v/>
      </c>
      <c r="Q159" s="516">
        <f>FS_Q!Q48</f>
        <v/>
      </c>
      <c r="R159" s="516">
        <f>FS_Q!R48</f>
        <v/>
      </c>
      <c r="S159" s="516">
        <f>FS_Q!S48</f>
        <v/>
      </c>
      <c r="T159" s="516">
        <f>FS_Q!T48</f>
        <v/>
      </c>
      <c r="U159" s="516">
        <f>FS_Q!U48</f>
        <v/>
      </c>
      <c r="V159" s="516">
        <f>FS_Q!V48</f>
        <v/>
      </c>
      <c r="W159" s="516">
        <f>FS_Q!W48</f>
        <v/>
      </c>
      <c r="X159" s="516">
        <f>FS_Q!X48</f>
        <v/>
      </c>
      <c r="Y159" s="516">
        <f>FS_Q!Y48</f>
        <v/>
      </c>
      <c r="Z159" s="516">
        <f>FS_Q!Z48</f>
        <v/>
      </c>
      <c r="AA159" s="516">
        <f>FS_Q!AA48</f>
        <v/>
      </c>
      <c r="AB159" s="516">
        <f>FS_Q!AB48</f>
        <v/>
      </c>
      <c r="AC159" s="516">
        <f>FS_Q!AC48</f>
        <v/>
      </c>
      <c r="AD159" s="516">
        <f>FS_Q!AD48</f>
        <v/>
      </c>
      <c r="AE159" s="516">
        <f>FS_Q!AE48</f>
        <v/>
      </c>
      <c r="AF159" s="516">
        <f>FS_Q!AF48</f>
        <v/>
      </c>
      <c r="AG159" s="516">
        <f>FS_Q!AG48</f>
        <v/>
      </c>
      <c r="AH159" s="516">
        <f>FS_Q!AH48</f>
        <v/>
      </c>
      <c r="AI159" s="516">
        <f>FS_Q!AI48</f>
        <v/>
      </c>
      <c r="AJ159" s="516">
        <f>FS_Q!AJ48</f>
        <v/>
      </c>
      <c r="AK159" s="516">
        <f>FS_Q!AK48</f>
        <v/>
      </c>
      <c r="AL159" s="516">
        <f>FS_Q!AL48</f>
        <v/>
      </c>
      <c r="AM159" s="516">
        <f>FS_Q!AM48</f>
        <v/>
      </c>
      <c r="AN159" s="516">
        <f>FS_Q!AN48</f>
        <v/>
      </c>
      <c r="AO159" s="516">
        <f>FS_Q!AO48</f>
        <v/>
      </c>
      <c r="AP159" s="516">
        <f>FS_Q!AP48</f>
        <v/>
      </c>
      <c r="AQ159" s="516">
        <f>FS_Q!AQ48</f>
        <v/>
      </c>
      <c r="AR159" s="516">
        <f>FS_Q!AR48</f>
        <v/>
      </c>
      <c r="AS159" s="516">
        <f>FS_Q!AS48</f>
        <v/>
      </c>
      <c r="AT159" s="516">
        <f>FS_Q!AT48</f>
        <v/>
      </c>
      <c r="AU159" s="516">
        <f>FS_Q!AU48</f>
        <v/>
      </c>
      <c r="AV159" s="516">
        <f>FS_Q!AV48</f>
        <v/>
      </c>
      <c r="AW159" s="516">
        <f>FS_Q!AW48</f>
        <v/>
      </c>
      <c r="AX159" s="516">
        <f>FS_Q!AX48</f>
        <v/>
      </c>
      <c r="AY159" s="516">
        <f>FS_Q!AY48</f>
        <v/>
      </c>
      <c r="AZ159" s="516">
        <f>FS_Q!AZ48</f>
        <v/>
      </c>
      <c r="BA159" s="516">
        <f>FS_Q!BA48</f>
        <v/>
      </c>
      <c r="BB159" s="516">
        <f>FS_Q!BB48</f>
        <v/>
      </c>
      <c r="BC159" s="516">
        <f>FS_Q!BC48</f>
        <v/>
      </c>
      <c r="BD159" s="516">
        <f>FS_Q!BD48</f>
        <v/>
      </c>
      <c r="BE159" s="516">
        <f>FS_Q!BE48</f>
        <v/>
      </c>
      <c r="BF159" s="516">
        <f>FS_Q!BF48</f>
        <v/>
      </c>
      <c r="BG159" s="516">
        <f>FS_Q!BG48</f>
        <v/>
      </c>
      <c r="BH159" s="516">
        <f>FS_Q!BH48</f>
        <v/>
      </c>
      <c r="BI159" s="516">
        <f>FS_Q!BI48</f>
        <v/>
      </c>
      <c r="BJ159" s="516">
        <f>FS_Q!BJ48</f>
        <v/>
      </c>
      <c r="BK159" s="516">
        <f>FS_Q!BK48</f>
        <v/>
      </c>
      <c r="BL159" s="516">
        <f>FS_Q!BL48</f>
        <v/>
      </c>
      <c r="BM159" s="516">
        <f>FS_Q!BM48</f>
        <v/>
      </c>
      <c r="BN159" s="516">
        <f>FS_Q!BN48</f>
        <v/>
      </c>
      <c r="BO159" s="516">
        <f>FS_Q!BO48</f>
        <v/>
      </c>
      <c r="BP159" s="516">
        <f>FS_Q!BP48</f>
        <v/>
      </c>
      <c r="BQ159" s="516">
        <f>FS_Q!BQ48</f>
        <v/>
      </c>
      <c r="BR159" s="516">
        <f>FS_Q!BR48</f>
        <v/>
      </c>
      <c r="BS159" s="517">
        <f>BS129</f>
        <v/>
      </c>
      <c r="BT159" s="517">
        <f>BT129</f>
        <v/>
      </c>
      <c r="BU159" s="517">
        <f>BU129</f>
        <v/>
      </c>
      <c r="BV159" s="517">
        <f>BV129</f>
        <v/>
      </c>
      <c r="BW159" s="517">
        <f>BW129</f>
        <v/>
      </c>
      <c r="BX159" s="517">
        <f>BX129</f>
        <v/>
      </c>
      <c r="BY159" s="517">
        <f>BY129</f>
        <v/>
      </c>
      <c r="BZ159" s="517">
        <f>BZ129</f>
        <v/>
      </c>
      <c r="CA159" s="517">
        <f>CA129</f>
        <v/>
      </c>
      <c r="CB159" s="517">
        <f>CB129</f>
        <v/>
      </c>
      <c r="CC159" s="517">
        <f>CC129</f>
        <v/>
      </c>
      <c r="CD159" s="517">
        <f>CD129</f>
        <v/>
      </c>
      <c r="CE159" s="517">
        <f>CE129</f>
        <v/>
      </c>
      <c r="CF159" s="517">
        <f>CF129</f>
        <v/>
      </c>
      <c r="CG159" s="517">
        <f>CG129</f>
        <v/>
      </c>
      <c r="CH159" s="517">
        <f>CH129</f>
        <v/>
      </c>
      <c r="CI159" s="517">
        <f>CI129</f>
        <v/>
      </c>
      <c r="CJ159" s="517">
        <f>CJ129</f>
        <v/>
      </c>
      <c r="CK159" s="517">
        <f>CK129</f>
        <v/>
      </c>
    </row>
    <row r="160">
      <c r="A160" s="415">
        <f>FS_Q!A49</f>
        <v/>
      </c>
      <c r="B160" s="140" t="n"/>
      <c r="C160" s="140" t="n"/>
      <c r="D160" s="140" t="n"/>
      <c r="E160" s="140" t="n"/>
      <c r="F160" s="140" t="n"/>
      <c r="G160" s="140" t="n"/>
      <c r="H160" s="140" t="n"/>
      <c r="I160" s="140" t="n"/>
      <c r="J160" s="140" t="n"/>
      <c r="K160" s="140" t="n"/>
      <c r="L160" s="140" t="n"/>
      <c r="M160" s="140" t="n"/>
      <c r="N160" s="516">
        <f>FS_Q!N49</f>
        <v/>
      </c>
      <c r="O160" s="516">
        <f>FS_Q!O49</f>
        <v/>
      </c>
      <c r="P160" s="516">
        <f>FS_Q!P49</f>
        <v/>
      </c>
      <c r="Q160" s="516">
        <f>FS_Q!Q49</f>
        <v/>
      </c>
      <c r="R160" s="516">
        <f>FS_Q!R49</f>
        <v/>
      </c>
      <c r="S160" s="516">
        <f>FS_Q!S49</f>
        <v/>
      </c>
      <c r="T160" s="516">
        <f>FS_Q!T49</f>
        <v/>
      </c>
      <c r="U160" s="516">
        <f>FS_Q!U49</f>
        <v/>
      </c>
      <c r="V160" s="516">
        <f>FS_Q!V49</f>
        <v/>
      </c>
      <c r="W160" s="516">
        <f>FS_Q!W49</f>
        <v/>
      </c>
      <c r="X160" s="516">
        <f>FS_Q!X49</f>
        <v/>
      </c>
      <c r="Y160" s="516">
        <f>FS_Q!Y49</f>
        <v/>
      </c>
      <c r="Z160" s="516">
        <f>FS_Q!Z49</f>
        <v/>
      </c>
      <c r="AA160" s="516">
        <f>FS_Q!AA49</f>
        <v/>
      </c>
      <c r="AB160" s="516">
        <f>FS_Q!AB49</f>
        <v/>
      </c>
      <c r="AC160" s="516">
        <f>FS_Q!AC49</f>
        <v/>
      </c>
      <c r="AD160" s="516">
        <f>FS_Q!AD49</f>
        <v/>
      </c>
      <c r="AE160" s="516">
        <f>FS_Q!AE49</f>
        <v/>
      </c>
      <c r="AF160" s="516">
        <f>FS_Q!AF49</f>
        <v/>
      </c>
      <c r="AG160" s="516">
        <f>FS_Q!AG49</f>
        <v/>
      </c>
      <c r="AH160" s="516">
        <f>FS_Q!AH49</f>
        <v/>
      </c>
      <c r="AI160" s="516">
        <f>FS_Q!AI49</f>
        <v/>
      </c>
      <c r="AJ160" s="516">
        <f>FS_Q!AJ49</f>
        <v/>
      </c>
      <c r="AK160" s="516">
        <f>FS_Q!AK49</f>
        <v/>
      </c>
      <c r="AL160" s="516">
        <f>FS_Q!AL49</f>
        <v/>
      </c>
      <c r="AM160" s="516">
        <f>FS_Q!AM49</f>
        <v/>
      </c>
      <c r="AN160" s="516">
        <f>FS_Q!AN49</f>
        <v/>
      </c>
      <c r="AO160" s="516">
        <f>FS_Q!AO49</f>
        <v/>
      </c>
      <c r="AP160" s="516">
        <f>FS_Q!AP49</f>
        <v/>
      </c>
      <c r="AQ160" s="516">
        <f>FS_Q!AQ49</f>
        <v/>
      </c>
      <c r="AR160" s="516">
        <f>FS_Q!AR49</f>
        <v/>
      </c>
      <c r="AS160" s="516">
        <f>FS_Q!AS49</f>
        <v/>
      </c>
      <c r="AT160" s="516">
        <f>FS_Q!AT49</f>
        <v/>
      </c>
      <c r="AU160" s="516">
        <f>FS_Q!AU49</f>
        <v/>
      </c>
      <c r="AV160" s="516">
        <f>FS_Q!AV49</f>
        <v/>
      </c>
      <c r="AW160" s="516">
        <f>FS_Q!AW49</f>
        <v/>
      </c>
      <c r="AX160" s="516">
        <f>FS_Q!AX49</f>
        <v/>
      </c>
      <c r="AY160" s="516">
        <f>FS_Q!AY49</f>
        <v/>
      </c>
      <c r="AZ160" s="516">
        <f>FS_Q!AZ49</f>
        <v/>
      </c>
      <c r="BA160" s="516">
        <f>FS_Q!BA49</f>
        <v/>
      </c>
      <c r="BB160" s="516">
        <f>FS_Q!BB49</f>
        <v/>
      </c>
      <c r="BC160" s="516">
        <f>FS_Q!BC49</f>
        <v/>
      </c>
      <c r="BD160" s="516">
        <f>FS_Q!BD49</f>
        <v/>
      </c>
      <c r="BE160" s="516">
        <f>FS_Q!BE49</f>
        <v/>
      </c>
      <c r="BF160" s="516">
        <f>FS_Q!BF49</f>
        <v/>
      </c>
      <c r="BG160" s="516">
        <f>FS_Q!BG49</f>
        <v/>
      </c>
      <c r="BH160" s="516">
        <f>FS_Q!BH49</f>
        <v/>
      </c>
      <c r="BI160" s="516">
        <f>FS_Q!BI49</f>
        <v/>
      </c>
      <c r="BJ160" s="516">
        <f>FS_Q!BJ49</f>
        <v/>
      </c>
      <c r="BK160" s="516">
        <f>FS_Q!BK49</f>
        <v/>
      </c>
      <c r="BL160" s="516">
        <f>FS_Q!BL49</f>
        <v/>
      </c>
      <c r="BM160" s="516">
        <f>FS_Q!BM49</f>
        <v/>
      </c>
      <c r="BN160" s="516">
        <f>FS_Q!BN49</f>
        <v/>
      </c>
      <c r="BO160" s="516">
        <f>FS_Q!BO49</f>
        <v/>
      </c>
      <c r="BP160" s="516">
        <f>FS_Q!BP49</f>
        <v/>
      </c>
      <c r="BQ160" s="516">
        <f>FS_Q!BQ49</f>
        <v/>
      </c>
      <c r="BR160" s="516">
        <f>FS_Q!BR49</f>
        <v/>
      </c>
      <c r="BS160" s="517">
        <f>BS132</f>
        <v/>
      </c>
      <c r="BT160" s="517">
        <f>BT132</f>
        <v/>
      </c>
      <c r="BU160" s="517">
        <f>BU132</f>
        <v/>
      </c>
      <c r="BV160" s="517">
        <f>BV132</f>
        <v/>
      </c>
      <c r="BW160" s="517">
        <f>BW132</f>
        <v/>
      </c>
      <c r="BX160" s="517">
        <f>BX132</f>
        <v/>
      </c>
      <c r="BY160" s="517">
        <f>BY132</f>
        <v/>
      </c>
      <c r="BZ160" s="517">
        <f>BZ132</f>
        <v/>
      </c>
      <c r="CA160" s="517">
        <f>CA132</f>
        <v/>
      </c>
      <c r="CB160" s="517">
        <f>CB132</f>
        <v/>
      </c>
      <c r="CC160" s="517">
        <f>CC132</f>
        <v/>
      </c>
      <c r="CD160" s="517">
        <f>CD132</f>
        <v/>
      </c>
      <c r="CE160" s="517">
        <f>CE132</f>
        <v/>
      </c>
      <c r="CF160" s="517">
        <f>CF132</f>
        <v/>
      </c>
      <c r="CG160" s="517">
        <f>CG132</f>
        <v/>
      </c>
      <c r="CH160" s="517">
        <f>CH132</f>
        <v/>
      </c>
      <c r="CI160" s="517">
        <f>CI132</f>
        <v/>
      </c>
      <c r="CJ160" s="517">
        <f>CJ132</f>
        <v/>
      </c>
      <c r="CK160" s="517">
        <f>CK132</f>
        <v/>
      </c>
    </row>
    <row r="161">
      <c r="A161" s="415">
        <f>FS_Q!A50</f>
        <v/>
      </c>
      <c r="B161" s="140" t="n"/>
      <c r="C161" s="140" t="n"/>
      <c r="D161" s="140" t="n"/>
      <c r="E161" s="140" t="n"/>
      <c r="F161" s="140" t="n"/>
      <c r="G161" s="140" t="n"/>
      <c r="H161" s="140" t="n"/>
      <c r="I161" s="140" t="n"/>
      <c r="J161" s="140" t="n"/>
      <c r="K161" s="140" t="n"/>
      <c r="L161" s="140" t="n"/>
      <c r="M161" s="140" t="n"/>
      <c r="N161" s="516">
        <f>FS_Q!N50</f>
        <v/>
      </c>
      <c r="O161" s="516">
        <f>FS_Q!O50</f>
        <v/>
      </c>
      <c r="P161" s="516">
        <f>FS_Q!P50</f>
        <v/>
      </c>
      <c r="Q161" s="516">
        <f>FS_Q!Q50</f>
        <v/>
      </c>
      <c r="R161" s="516">
        <f>FS_Q!R50</f>
        <v/>
      </c>
      <c r="S161" s="516">
        <f>FS_Q!S50</f>
        <v/>
      </c>
      <c r="T161" s="516">
        <f>FS_Q!T50</f>
        <v/>
      </c>
      <c r="U161" s="516">
        <f>FS_Q!U50</f>
        <v/>
      </c>
      <c r="V161" s="516">
        <f>FS_Q!V50</f>
        <v/>
      </c>
      <c r="W161" s="516">
        <f>FS_Q!W50</f>
        <v/>
      </c>
      <c r="X161" s="516">
        <f>FS_Q!X50</f>
        <v/>
      </c>
      <c r="Y161" s="516">
        <f>FS_Q!Y50</f>
        <v/>
      </c>
      <c r="Z161" s="516">
        <f>FS_Q!Z50</f>
        <v/>
      </c>
      <c r="AA161" s="516">
        <f>FS_Q!AA50</f>
        <v/>
      </c>
      <c r="AB161" s="516">
        <f>FS_Q!AB50</f>
        <v/>
      </c>
      <c r="AC161" s="516">
        <f>FS_Q!AC50</f>
        <v/>
      </c>
      <c r="AD161" s="516">
        <f>FS_Q!AD50</f>
        <v/>
      </c>
      <c r="AE161" s="516">
        <f>FS_Q!AE50</f>
        <v/>
      </c>
      <c r="AF161" s="516">
        <f>FS_Q!AF50</f>
        <v/>
      </c>
      <c r="AG161" s="516">
        <f>FS_Q!AG50</f>
        <v/>
      </c>
      <c r="AH161" s="516">
        <f>FS_Q!AH50</f>
        <v/>
      </c>
      <c r="AI161" s="516">
        <f>FS_Q!AI50</f>
        <v/>
      </c>
      <c r="AJ161" s="516">
        <f>FS_Q!AJ50</f>
        <v/>
      </c>
      <c r="AK161" s="516">
        <f>FS_Q!AK50</f>
        <v/>
      </c>
      <c r="AL161" s="516">
        <f>FS_Q!AL50</f>
        <v/>
      </c>
      <c r="AM161" s="516">
        <f>FS_Q!AM50</f>
        <v/>
      </c>
      <c r="AN161" s="516">
        <f>FS_Q!AN50</f>
        <v/>
      </c>
      <c r="AO161" s="516">
        <f>FS_Q!AO50</f>
        <v/>
      </c>
      <c r="AP161" s="516">
        <f>FS_Q!AP50</f>
        <v/>
      </c>
      <c r="AQ161" s="516">
        <f>FS_Q!AQ50</f>
        <v/>
      </c>
      <c r="AR161" s="516">
        <f>FS_Q!AR50</f>
        <v/>
      </c>
      <c r="AS161" s="516">
        <f>FS_Q!AS50</f>
        <v/>
      </c>
      <c r="AT161" s="516">
        <f>FS_Q!AT50</f>
        <v/>
      </c>
      <c r="AU161" s="516">
        <f>FS_Q!AU50</f>
        <v/>
      </c>
      <c r="AV161" s="516">
        <f>FS_Q!AV50</f>
        <v/>
      </c>
      <c r="AW161" s="516">
        <f>FS_Q!AW50</f>
        <v/>
      </c>
      <c r="AX161" s="516">
        <f>FS_Q!AX50</f>
        <v/>
      </c>
      <c r="AY161" s="516">
        <f>FS_Q!AY50</f>
        <v/>
      </c>
      <c r="AZ161" s="516">
        <f>FS_Q!AZ50</f>
        <v/>
      </c>
      <c r="BA161" s="516">
        <f>FS_Q!BA50</f>
        <v/>
      </c>
      <c r="BB161" s="516">
        <f>FS_Q!BB50</f>
        <v/>
      </c>
      <c r="BC161" s="516">
        <f>FS_Q!BC50</f>
        <v/>
      </c>
      <c r="BD161" s="516">
        <f>FS_Q!BD50</f>
        <v/>
      </c>
      <c r="BE161" s="516">
        <f>FS_Q!BE50</f>
        <v/>
      </c>
      <c r="BF161" s="516">
        <f>FS_Q!BF50</f>
        <v/>
      </c>
      <c r="BG161" s="516">
        <f>FS_Q!BG50</f>
        <v/>
      </c>
      <c r="BH161" s="516">
        <f>FS_Q!BH50</f>
        <v/>
      </c>
      <c r="BI161" s="516">
        <f>FS_Q!BI50</f>
        <v/>
      </c>
      <c r="BJ161" s="516">
        <f>FS_Q!BJ50</f>
        <v/>
      </c>
      <c r="BK161" s="516">
        <f>FS_Q!BK50</f>
        <v/>
      </c>
      <c r="BL161" s="516">
        <f>FS_Q!BL50</f>
        <v/>
      </c>
      <c r="BM161" s="516">
        <f>FS_Q!BM50</f>
        <v/>
      </c>
      <c r="BN161" s="516">
        <f>FS_Q!BN50</f>
        <v/>
      </c>
      <c r="BO161" s="516">
        <f>FS_Q!BO50</f>
        <v/>
      </c>
      <c r="BP161" s="516">
        <f>FS_Q!BP50</f>
        <v/>
      </c>
      <c r="BQ161" s="516">
        <f>FS_Q!BQ50</f>
        <v/>
      </c>
      <c r="BR161" s="516">
        <f>FS_Q!BR50</f>
        <v/>
      </c>
      <c r="BS161" s="517">
        <f>BS135</f>
        <v/>
      </c>
      <c r="BT161" s="517">
        <f>BT135</f>
        <v/>
      </c>
      <c r="BU161" s="517">
        <f>BU135</f>
        <v/>
      </c>
      <c r="BV161" s="517">
        <f>BV135</f>
        <v/>
      </c>
      <c r="BW161" s="517">
        <f>BW135</f>
        <v/>
      </c>
      <c r="BX161" s="517">
        <f>BX135</f>
        <v/>
      </c>
      <c r="BY161" s="517">
        <f>BY135</f>
        <v/>
      </c>
      <c r="BZ161" s="517">
        <f>BZ135</f>
        <v/>
      </c>
      <c r="CA161" s="517">
        <f>CA135</f>
        <v/>
      </c>
      <c r="CB161" s="517">
        <f>CB135</f>
        <v/>
      </c>
      <c r="CC161" s="517">
        <f>CC135</f>
        <v/>
      </c>
      <c r="CD161" s="517">
        <f>CD135</f>
        <v/>
      </c>
      <c r="CE161" s="517">
        <f>CE135</f>
        <v/>
      </c>
      <c r="CF161" s="517">
        <f>CF135</f>
        <v/>
      </c>
      <c r="CG161" s="517">
        <f>CG135</f>
        <v/>
      </c>
      <c r="CH161" s="517">
        <f>CH135</f>
        <v/>
      </c>
      <c r="CI161" s="517">
        <f>CI135</f>
        <v/>
      </c>
      <c r="CJ161" s="517">
        <f>CJ135</f>
        <v/>
      </c>
      <c r="CK161" s="517">
        <f>CK135</f>
        <v/>
      </c>
    </row>
    <row r="162" customFormat="1" s="22">
      <c r="A162" s="416" t="inlineStr">
        <is>
          <t>Total Current Assets Less cash and short-term investment</t>
        </is>
      </c>
      <c r="B162" s="403" t="n"/>
      <c r="C162" s="403" t="n"/>
      <c r="D162" s="403" t="n"/>
      <c r="E162" s="403" t="n"/>
      <c r="F162" s="403" t="n"/>
      <c r="G162" s="403" t="n"/>
      <c r="H162" s="403" t="n"/>
      <c r="I162" s="403" t="n"/>
      <c r="J162" s="403" t="n"/>
      <c r="K162" s="403" t="n"/>
      <c r="L162" s="403" t="n"/>
      <c r="M162" s="403" t="n"/>
      <c r="N162" s="517">
        <f>SUM(N157:N161)</f>
        <v/>
      </c>
      <c r="O162" s="517">
        <f>SUM(O157:O161)</f>
        <v/>
      </c>
      <c r="P162" s="517">
        <f>SUM(P157:P161)</f>
        <v/>
      </c>
      <c r="Q162" s="517">
        <f>SUM(Q157:Q161)</f>
        <v/>
      </c>
      <c r="R162" s="517">
        <f>SUM(R157:R161)</f>
        <v/>
      </c>
      <c r="S162" s="517">
        <f>SUM(S157:S161)</f>
        <v/>
      </c>
      <c r="T162" s="517">
        <f>SUM(T157:T161)</f>
        <v/>
      </c>
      <c r="U162" s="517">
        <f>SUM(U157:U161)</f>
        <v/>
      </c>
      <c r="V162" s="517">
        <f>SUM(V157:V161)</f>
        <v/>
      </c>
      <c r="W162" s="517">
        <f>SUM(W157:W161)</f>
        <v/>
      </c>
      <c r="X162" s="517">
        <f>SUM(X157:X161)</f>
        <v/>
      </c>
      <c r="Y162" s="517">
        <f>SUM(Y157:Y161)</f>
        <v/>
      </c>
      <c r="Z162" s="517">
        <f>SUM(Z157:Z161)</f>
        <v/>
      </c>
      <c r="AA162" s="517">
        <f>SUM(AA157:AA161)</f>
        <v/>
      </c>
      <c r="AB162" s="517">
        <f>SUM(AB157:AB161)</f>
        <v/>
      </c>
      <c r="AC162" s="517">
        <f>SUM(AC157:AC161)</f>
        <v/>
      </c>
      <c r="AD162" s="517">
        <f>SUM(AD157:AD161)</f>
        <v/>
      </c>
      <c r="AE162" s="517">
        <f>SUM(AE157:AE161)</f>
        <v/>
      </c>
      <c r="AF162" s="517">
        <f>SUM(AF157:AF161)</f>
        <v/>
      </c>
      <c r="AG162" s="517">
        <f>SUM(AG157:AG161)</f>
        <v/>
      </c>
      <c r="AH162" s="517">
        <f>SUM(AH157:AH161)</f>
        <v/>
      </c>
      <c r="AI162" s="517">
        <f>SUM(AI157:AI161)</f>
        <v/>
      </c>
      <c r="AJ162" s="517">
        <f>SUM(AJ157:AJ161)</f>
        <v/>
      </c>
      <c r="AK162" s="517">
        <f>SUM(AK157:AK161)</f>
        <v/>
      </c>
      <c r="AL162" s="517">
        <f>SUM(AL157:AL161)</f>
        <v/>
      </c>
      <c r="AM162" s="517">
        <f>SUM(AM157:AM161)</f>
        <v/>
      </c>
      <c r="AN162" s="517">
        <f>SUM(AN157:AN161)</f>
        <v/>
      </c>
      <c r="AO162" s="517">
        <f>SUM(AO157:AO161)</f>
        <v/>
      </c>
      <c r="AP162" s="517">
        <f>SUM(AP157:AP161)</f>
        <v/>
      </c>
      <c r="AQ162" s="517">
        <f>SUM(AQ157:AQ161)</f>
        <v/>
      </c>
      <c r="AR162" s="517">
        <f>SUM(AR157:AR161)</f>
        <v/>
      </c>
      <c r="AS162" s="517">
        <f>SUM(AS157:AS161)</f>
        <v/>
      </c>
      <c r="AT162" s="517">
        <f>SUM(AT157:AT161)</f>
        <v/>
      </c>
      <c r="AU162" s="517">
        <f>SUM(AU157:AU161)</f>
        <v/>
      </c>
      <c r="AV162" s="517">
        <f>SUM(AV157:AV161)</f>
        <v/>
      </c>
      <c r="AW162" s="517">
        <f>SUM(AW157:AW161)</f>
        <v/>
      </c>
      <c r="AX162" s="517">
        <f>SUM(AX157:AX161)</f>
        <v/>
      </c>
      <c r="AY162" s="517">
        <f>SUM(AY157:AY161)</f>
        <v/>
      </c>
      <c r="AZ162" s="517">
        <f>SUM(AZ157:AZ161)</f>
        <v/>
      </c>
      <c r="BA162" s="517">
        <f>SUM(BA157:BA161)</f>
        <v/>
      </c>
      <c r="BB162" s="517">
        <f>SUM(BB157:BB161)</f>
        <v/>
      </c>
      <c r="BC162" s="517">
        <f>SUM(BC157:BC161)</f>
        <v/>
      </c>
      <c r="BD162" s="517">
        <f>SUM(BD157:BD161)</f>
        <v/>
      </c>
      <c r="BE162" s="517">
        <f>SUM(BE157:BE161)</f>
        <v/>
      </c>
      <c r="BF162" s="517">
        <f>SUM(BF157:BF161)</f>
        <v/>
      </c>
      <c r="BG162" s="517">
        <f>SUM(BG157:BG161)</f>
        <v/>
      </c>
      <c r="BH162" s="517">
        <f>SUM(BH157:BH161)</f>
        <v/>
      </c>
      <c r="BI162" s="517">
        <f>SUM(BI157:BI161)</f>
        <v/>
      </c>
      <c r="BJ162" s="517">
        <f>SUM(BJ157:BJ161)</f>
        <v/>
      </c>
      <c r="BK162" s="517">
        <f>SUM(BK157:BK161)</f>
        <v/>
      </c>
      <c r="BL162" s="517">
        <f>SUM(BL157:BL161)</f>
        <v/>
      </c>
      <c r="BM162" s="517">
        <f>SUM(BM157:BM161)</f>
        <v/>
      </c>
      <c r="BN162" s="517">
        <f>SUM(BN157:BN161)</f>
        <v/>
      </c>
      <c r="BO162" s="517">
        <f>SUM(BO157:BO161)</f>
        <v/>
      </c>
      <c r="BP162" s="517">
        <f>SUM(BP157:BP161)</f>
        <v/>
      </c>
      <c r="BQ162" s="517">
        <f>SUM(BQ157:BQ161)</f>
        <v/>
      </c>
      <c r="BR162" s="517">
        <f>SUM(BR157:BR161)</f>
        <v/>
      </c>
      <c r="BS162" s="517">
        <f>SUM(BS157:BS161)</f>
        <v/>
      </c>
      <c r="BT162" s="517">
        <f>SUM(BT157:BT161)</f>
        <v/>
      </c>
      <c r="BU162" s="517">
        <f>SUM(BU157:BU161)</f>
        <v/>
      </c>
      <c r="BV162" s="517">
        <f>SUM(BV157:BV161)</f>
        <v/>
      </c>
      <c r="BW162" s="517">
        <f>SUM(BW157:BW161)</f>
        <v/>
      </c>
      <c r="BX162" s="517">
        <f>SUM(BX157:BX161)</f>
        <v/>
      </c>
      <c r="BY162" s="517">
        <f>SUM(BY157:BY161)</f>
        <v/>
      </c>
      <c r="BZ162" s="517">
        <f>SUM(BZ157:BZ161)</f>
        <v/>
      </c>
      <c r="CA162" s="517">
        <f>SUM(CA157:CA161)</f>
        <v/>
      </c>
      <c r="CB162" s="517">
        <f>SUM(CB157:CB161)</f>
        <v/>
      </c>
      <c r="CC162" s="517">
        <f>SUM(CC157:CC161)</f>
        <v/>
      </c>
      <c r="CD162" s="517">
        <f>SUM(CD157:CD161)</f>
        <v/>
      </c>
      <c r="CE162" s="517">
        <f>SUM(CE157:CE161)</f>
        <v/>
      </c>
      <c r="CF162" s="517">
        <f>SUM(CF157:CF161)</f>
        <v/>
      </c>
      <c r="CG162" s="517">
        <f>SUM(CG157:CG161)</f>
        <v/>
      </c>
      <c r="CH162" s="517">
        <f>SUM(CH157:CH161)</f>
        <v/>
      </c>
      <c r="CI162" s="517">
        <f>SUM(CI157:CI161)</f>
        <v/>
      </c>
      <c r="CJ162" s="517">
        <f>SUM(CJ157:CJ161)</f>
        <v/>
      </c>
      <c r="CK162" s="517">
        <f>SUM(CK157:CK161)</f>
        <v/>
      </c>
    </row>
    <row r="163" customFormat="1" s="22">
      <c r="A163" s="416" t="n"/>
      <c r="B163" s="403" t="n"/>
      <c r="C163" s="403" t="n"/>
      <c r="D163" s="403" t="n"/>
      <c r="E163" s="403" t="n"/>
      <c r="F163" s="403" t="n"/>
      <c r="G163" s="403" t="n"/>
      <c r="H163" s="403" t="n"/>
      <c r="I163" s="403" t="n"/>
      <c r="J163" s="403" t="n"/>
      <c r="K163" s="403" t="n"/>
      <c r="L163" s="403" t="n"/>
      <c r="M163" s="403" t="n"/>
    </row>
    <row r="164">
      <c r="A164" s="924">
        <f>FS_Q!A59</f>
        <v/>
      </c>
      <c r="B164" s="140" t="n"/>
      <c r="C164" s="140" t="n"/>
      <c r="D164" s="140" t="n"/>
      <c r="E164" s="140" t="n"/>
      <c r="F164" s="140" t="n"/>
      <c r="G164" s="140" t="n"/>
      <c r="H164" s="140" t="n"/>
      <c r="I164" s="140" t="n"/>
      <c r="J164" s="140" t="n"/>
      <c r="K164" s="140" t="n"/>
      <c r="L164" s="140" t="n"/>
      <c r="M164" s="140" t="n"/>
      <c r="N164" s="516">
        <f>FS_Q!N59</f>
        <v/>
      </c>
      <c r="O164" s="516">
        <f>FS_Q!O59</f>
        <v/>
      </c>
      <c r="P164" s="516">
        <f>FS_Q!P59</f>
        <v/>
      </c>
      <c r="Q164" s="516">
        <f>FS_Q!Q59</f>
        <v/>
      </c>
      <c r="R164" s="516">
        <f>FS_Q!R59</f>
        <v/>
      </c>
      <c r="S164" s="516">
        <f>FS_Q!S59</f>
        <v/>
      </c>
      <c r="T164" s="516">
        <f>FS_Q!T59</f>
        <v/>
      </c>
      <c r="U164" s="516">
        <f>FS_Q!U59</f>
        <v/>
      </c>
      <c r="V164" s="516">
        <f>FS_Q!V59</f>
        <v/>
      </c>
      <c r="W164" s="516">
        <f>FS_Q!W59</f>
        <v/>
      </c>
      <c r="X164" s="516">
        <f>FS_Q!X59</f>
        <v/>
      </c>
      <c r="Y164" s="516">
        <f>FS_Q!Y59</f>
        <v/>
      </c>
      <c r="Z164" s="516">
        <f>FS_Q!Z59</f>
        <v/>
      </c>
      <c r="AA164" s="516">
        <f>FS_Q!AA59</f>
        <v/>
      </c>
      <c r="AB164" s="516">
        <f>FS_Q!AB59</f>
        <v/>
      </c>
      <c r="AC164" s="516">
        <f>FS_Q!AC59</f>
        <v/>
      </c>
      <c r="AD164" s="516">
        <f>FS_Q!AD59</f>
        <v/>
      </c>
      <c r="AE164" s="516">
        <f>FS_Q!AE59</f>
        <v/>
      </c>
      <c r="AF164" s="516">
        <f>FS_Q!AF59</f>
        <v/>
      </c>
      <c r="AG164" s="516">
        <f>FS_Q!AG59</f>
        <v/>
      </c>
      <c r="AH164" s="516">
        <f>FS_Q!AH59</f>
        <v/>
      </c>
      <c r="AI164" s="516">
        <f>FS_Q!AI59</f>
        <v/>
      </c>
      <c r="AJ164" s="516">
        <f>FS_Q!AJ59</f>
        <v/>
      </c>
      <c r="AK164" s="516">
        <f>FS_Q!AK59</f>
        <v/>
      </c>
      <c r="AL164" s="516">
        <f>FS_Q!AL59</f>
        <v/>
      </c>
      <c r="AM164" s="516">
        <f>FS_Q!AM59</f>
        <v/>
      </c>
      <c r="AN164" s="516">
        <f>FS_Q!AN59</f>
        <v/>
      </c>
      <c r="AO164" s="516">
        <f>FS_Q!AO59</f>
        <v/>
      </c>
      <c r="AP164" s="516">
        <f>FS_Q!AP59</f>
        <v/>
      </c>
      <c r="AQ164" s="516">
        <f>FS_Q!AQ59</f>
        <v/>
      </c>
      <c r="AR164" s="516">
        <f>FS_Q!AR59</f>
        <v/>
      </c>
      <c r="AS164" s="516">
        <f>FS_Q!AS59</f>
        <v/>
      </c>
      <c r="AT164" s="516">
        <f>FS_Q!AT59</f>
        <v/>
      </c>
      <c r="AU164" s="516">
        <f>FS_Q!AU59</f>
        <v/>
      </c>
      <c r="AV164" s="516">
        <f>FS_Q!AV59</f>
        <v/>
      </c>
      <c r="AW164" s="516">
        <f>FS_Q!AW59</f>
        <v/>
      </c>
      <c r="AX164" s="516">
        <f>FS_Q!AX59</f>
        <v/>
      </c>
      <c r="AY164" s="516">
        <f>FS_Q!AY59</f>
        <v/>
      </c>
      <c r="AZ164" s="516">
        <f>FS_Q!AZ59</f>
        <v/>
      </c>
      <c r="BA164" s="516">
        <f>FS_Q!BA59</f>
        <v/>
      </c>
      <c r="BB164" s="516">
        <f>FS_Q!BB59</f>
        <v/>
      </c>
      <c r="BC164" s="516">
        <f>FS_Q!BC59</f>
        <v/>
      </c>
      <c r="BD164" s="516">
        <f>FS_Q!BD59</f>
        <v/>
      </c>
      <c r="BE164" s="516">
        <f>FS_Q!BE59</f>
        <v/>
      </c>
      <c r="BF164" s="516">
        <f>FS_Q!BF59</f>
        <v/>
      </c>
      <c r="BG164" s="516">
        <f>FS_Q!BG59</f>
        <v/>
      </c>
      <c r="BH164" s="516">
        <f>FS_Q!BH59</f>
        <v/>
      </c>
      <c r="BI164" s="516">
        <f>FS_Q!BI59</f>
        <v/>
      </c>
      <c r="BJ164" s="516">
        <f>FS_Q!BJ59</f>
        <v/>
      </c>
      <c r="BK164" s="516">
        <f>FS_Q!BK59</f>
        <v/>
      </c>
      <c r="BL164" s="516">
        <f>FS_Q!BL59</f>
        <v/>
      </c>
      <c r="BM164" s="516">
        <f>FS_Q!BM59</f>
        <v/>
      </c>
      <c r="BN164" s="516">
        <f>FS_Q!BN59</f>
        <v/>
      </c>
      <c r="BO164" s="516">
        <f>FS_Q!BO59</f>
        <v/>
      </c>
      <c r="BP164" s="516">
        <f>FS_Q!BP59</f>
        <v/>
      </c>
      <c r="BQ164" s="516">
        <f>FS_Q!BQ59</f>
        <v/>
      </c>
      <c r="BR164" s="516">
        <f>FS_Q!BR59</f>
        <v/>
      </c>
      <c r="BS164" s="517">
        <f>BS$153*BS139/BS$245</f>
        <v/>
      </c>
      <c r="BT164" s="517">
        <f>BT$153*BT139/BT$245</f>
        <v/>
      </c>
      <c r="BU164" s="517">
        <f>BU$153*BU139/BU$245</f>
        <v/>
      </c>
      <c r="BV164" s="517">
        <f>BV$153*BV139/BV$245</f>
        <v/>
      </c>
      <c r="BW164" s="517">
        <f>BW$153*BW139/BW$245</f>
        <v/>
      </c>
      <c r="BX164" s="517">
        <f>BX$153*BX139/BX$245</f>
        <v/>
      </c>
      <c r="BY164" s="517">
        <f>BY$153*BY139/BY$245</f>
        <v/>
      </c>
      <c r="BZ164" s="517">
        <f>BZ$153*BZ139/BZ$245</f>
        <v/>
      </c>
      <c r="CA164" s="517">
        <f>CA$153*CA139/CA$245</f>
        <v/>
      </c>
      <c r="CB164" s="517">
        <f>CB$153*CB139/CB$245</f>
        <v/>
      </c>
      <c r="CC164" s="517">
        <f>CC$153*CC139/CC$245</f>
        <v/>
      </c>
      <c r="CD164" s="517">
        <f>CD$153*CD139/CD$245</f>
        <v/>
      </c>
      <c r="CE164" s="517">
        <f>CE$153*CE139/CE$245</f>
        <v/>
      </c>
      <c r="CF164" s="517">
        <f>CF$153*CF139/CF$245</f>
        <v/>
      </c>
      <c r="CG164" s="517">
        <f>CG$153*CG139/CG$245</f>
        <v/>
      </c>
      <c r="CH164" s="517">
        <f>CH$153*CH139/CH$245</f>
        <v/>
      </c>
      <c r="CI164" s="517">
        <f>CI$153*CI139/CI$245</f>
        <v/>
      </c>
      <c r="CJ164" s="517">
        <f>CJ$153*CJ139/CJ$245</f>
        <v/>
      </c>
      <c r="CK164" s="517">
        <f>CK$153*CK139/CK$245</f>
        <v/>
      </c>
    </row>
    <row r="165">
      <c r="A165" s="924">
        <f>FS_Q!A60</f>
        <v/>
      </c>
      <c r="B165" s="140" t="n"/>
      <c r="C165" s="140" t="n"/>
      <c r="D165" s="140" t="n"/>
      <c r="E165" s="140" t="n"/>
      <c r="F165" s="140" t="n"/>
      <c r="G165" s="140" t="n"/>
      <c r="H165" s="140" t="n"/>
      <c r="I165" s="140" t="n"/>
      <c r="J165" s="140" t="n"/>
      <c r="K165" s="140" t="n"/>
      <c r="L165" s="140" t="n"/>
      <c r="M165" s="140" t="n"/>
      <c r="N165" s="516">
        <f>FS_Q!N60</f>
        <v/>
      </c>
      <c r="O165" s="516">
        <f>FS_Q!O60</f>
        <v/>
      </c>
      <c r="P165" s="516">
        <f>FS_Q!P60</f>
        <v/>
      </c>
      <c r="Q165" s="516">
        <f>FS_Q!Q60</f>
        <v/>
      </c>
      <c r="R165" s="516">
        <f>FS_Q!R60</f>
        <v/>
      </c>
      <c r="S165" s="516">
        <f>FS_Q!S60</f>
        <v/>
      </c>
      <c r="T165" s="516">
        <f>FS_Q!T60</f>
        <v/>
      </c>
      <c r="U165" s="516">
        <f>FS_Q!U60</f>
        <v/>
      </c>
      <c r="V165" s="516">
        <f>FS_Q!V60</f>
        <v/>
      </c>
      <c r="W165" s="516">
        <f>FS_Q!W60</f>
        <v/>
      </c>
      <c r="X165" s="516">
        <f>FS_Q!X60</f>
        <v/>
      </c>
      <c r="Y165" s="516">
        <f>FS_Q!Y60</f>
        <v/>
      </c>
      <c r="Z165" s="516">
        <f>FS_Q!Z60</f>
        <v/>
      </c>
      <c r="AA165" s="516">
        <f>FS_Q!AA60</f>
        <v/>
      </c>
      <c r="AB165" s="516">
        <f>FS_Q!AB60</f>
        <v/>
      </c>
      <c r="AC165" s="516">
        <f>FS_Q!AC60</f>
        <v/>
      </c>
      <c r="AD165" s="516">
        <f>FS_Q!AD60</f>
        <v/>
      </c>
      <c r="AE165" s="516">
        <f>FS_Q!AE60</f>
        <v/>
      </c>
      <c r="AF165" s="516">
        <f>FS_Q!AF60</f>
        <v/>
      </c>
      <c r="AG165" s="516">
        <f>FS_Q!AG60</f>
        <v/>
      </c>
      <c r="AH165" s="516">
        <f>FS_Q!AH60</f>
        <v/>
      </c>
      <c r="AI165" s="516">
        <f>FS_Q!AI60</f>
        <v/>
      </c>
      <c r="AJ165" s="516">
        <f>FS_Q!AJ60</f>
        <v/>
      </c>
      <c r="AK165" s="516">
        <f>FS_Q!AK60</f>
        <v/>
      </c>
      <c r="AL165" s="516">
        <f>FS_Q!AL60</f>
        <v/>
      </c>
      <c r="AM165" s="516">
        <f>FS_Q!AM60</f>
        <v/>
      </c>
      <c r="AN165" s="516">
        <f>FS_Q!AN60</f>
        <v/>
      </c>
      <c r="AO165" s="516">
        <f>FS_Q!AO60</f>
        <v/>
      </c>
      <c r="AP165" s="516">
        <f>FS_Q!AP60</f>
        <v/>
      </c>
      <c r="AQ165" s="516">
        <f>FS_Q!AQ60</f>
        <v/>
      </c>
      <c r="AR165" s="516">
        <f>FS_Q!AR60</f>
        <v/>
      </c>
      <c r="AS165" s="516">
        <f>FS_Q!AS60</f>
        <v/>
      </c>
      <c r="AT165" s="516">
        <f>FS_Q!AT60</f>
        <v/>
      </c>
      <c r="AU165" s="516">
        <f>FS_Q!AU60</f>
        <v/>
      </c>
      <c r="AV165" s="516">
        <f>FS_Q!AV60</f>
        <v/>
      </c>
      <c r="AW165" s="516">
        <f>FS_Q!AW60</f>
        <v/>
      </c>
      <c r="AX165" s="516">
        <f>FS_Q!AX60</f>
        <v/>
      </c>
      <c r="AY165" s="516">
        <f>FS_Q!AY60</f>
        <v/>
      </c>
      <c r="AZ165" s="516">
        <f>FS_Q!AZ60</f>
        <v/>
      </c>
      <c r="BA165" s="516">
        <f>FS_Q!BA60</f>
        <v/>
      </c>
      <c r="BB165" s="516">
        <f>FS_Q!BB60</f>
        <v/>
      </c>
      <c r="BC165" s="516">
        <f>FS_Q!BC60</f>
        <v/>
      </c>
      <c r="BD165" s="516">
        <f>FS_Q!BD60</f>
        <v/>
      </c>
      <c r="BE165" s="516">
        <f>FS_Q!BE60</f>
        <v/>
      </c>
      <c r="BF165" s="516">
        <f>FS_Q!BF60</f>
        <v/>
      </c>
      <c r="BG165" s="516">
        <f>FS_Q!BG60</f>
        <v/>
      </c>
      <c r="BH165" s="516">
        <f>FS_Q!BH60</f>
        <v/>
      </c>
      <c r="BI165" s="516">
        <f>FS_Q!BI60</f>
        <v/>
      </c>
      <c r="BJ165" s="516">
        <f>FS_Q!BJ60</f>
        <v/>
      </c>
      <c r="BK165" s="516">
        <f>FS_Q!BK60</f>
        <v/>
      </c>
      <c r="BL165" s="516">
        <f>FS_Q!BL60</f>
        <v/>
      </c>
      <c r="BM165" s="516">
        <f>FS_Q!BM60</f>
        <v/>
      </c>
      <c r="BN165" s="516">
        <f>FS_Q!BN60</f>
        <v/>
      </c>
      <c r="BO165" s="516">
        <f>FS_Q!BO60</f>
        <v/>
      </c>
      <c r="BP165" s="516">
        <f>FS_Q!BP60</f>
        <v/>
      </c>
      <c r="BQ165" s="516">
        <f>FS_Q!BQ60</f>
        <v/>
      </c>
      <c r="BR165" s="516">
        <f>FS_Q!BR60</f>
        <v/>
      </c>
      <c r="BS165" s="517">
        <f>BS142</f>
        <v/>
      </c>
      <c r="BT165" s="517">
        <f>BT142</f>
        <v/>
      </c>
      <c r="BU165" s="517">
        <f>BU142</f>
        <v/>
      </c>
      <c r="BV165" s="517">
        <f>BV142</f>
        <v/>
      </c>
      <c r="BW165" s="517">
        <f>BW142</f>
        <v/>
      </c>
      <c r="BX165" s="517">
        <f>BX142</f>
        <v/>
      </c>
      <c r="BY165" s="517">
        <f>BY142</f>
        <v/>
      </c>
      <c r="BZ165" s="517">
        <f>BZ142</f>
        <v/>
      </c>
      <c r="CA165" s="517">
        <f>CA142</f>
        <v/>
      </c>
      <c r="CB165" s="517">
        <f>CB142</f>
        <v/>
      </c>
      <c r="CC165" s="517">
        <f>CC142</f>
        <v/>
      </c>
      <c r="CD165" s="517">
        <f>CD142</f>
        <v/>
      </c>
      <c r="CE165" s="517">
        <f>CE142</f>
        <v/>
      </c>
      <c r="CF165" s="517">
        <f>CF142</f>
        <v/>
      </c>
      <c r="CG165" s="517">
        <f>CG142</f>
        <v/>
      </c>
      <c r="CH165" s="517">
        <f>CH142</f>
        <v/>
      </c>
      <c r="CI165" s="517">
        <f>CI142</f>
        <v/>
      </c>
      <c r="CJ165" s="517">
        <f>CJ142</f>
        <v/>
      </c>
      <c r="CK165" s="517">
        <f>CK142</f>
        <v/>
      </c>
    </row>
    <row r="166">
      <c r="A166" s="924">
        <f>FS_Q!A61</f>
        <v/>
      </c>
      <c r="B166" s="140" t="n"/>
      <c r="C166" s="140" t="n"/>
      <c r="D166" s="140" t="n"/>
      <c r="E166" s="140" t="n"/>
      <c r="F166" s="140" t="n"/>
      <c r="G166" s="140" t="n"/>
      <c r="H166" s="140" t="n"/>
      <c r="I166" s="140" t="n"/>
      <c r="J166" s="140" t="n"/>
      <c r="K166" s="140" t="n"/>
      <c r="L166" s="140" t="n"/>
      <c r="M166" s="140" t="n"/>
      <c r="N166" s="516">
        <f>FS_Q!N61</f>
        <v/>
      </c>
      <c r="O166" s="516">
        <f>FS_Q!O61</f>
        <v/>
      </c>
      <c r="P166" s="516">
        <f>FS_Q!P61</f>
        <v/>
      </c>
      <c r="Q166" s="516">
        <f>FS_Q!Q61</f>
        <v/>
      </c>
      <c r="R166" s="516">
        <f>FS_Q!R61</f>
        <v/>
      </c>
      <c r="S166" s="516">
        <f>FS_Q!S61</f>
        <v/>
      </c>
      <c r="T166" s="516">
        <f>FS_Q!T61</f>
        <v/>
      </c>
      <c r="U166" s="516">
        <f>FS_Q!U61</f>
        <v/>
      </c>
      <c r="V166" s="516">
        <f>FS_Q!V61</f>
        <v/>
      </c>
      <c r="W166" s="516">
        <f>FS_Q!W61</f>
        <v/>
      </c>
      <c r="X166" s="516">
        <f>FS_Q!X61</f>
        <v/>
      </c>
      <c r="Y166" s="516">
        <f>FS_Q!Y61</f>
        <v/>
      </c>
      <c r="Z166" s="516">
        <f>FS_Q!Z61</f>
        <v/>
      </c>
      <c r="AA166" s="516">
        <f>FS_Q!AA61</f>
        <v/>
      </c>
      <c r="AB166" s="516">
        <f>FS_Q!AB61</f>
        <v/>
      </c>
      <c r="AC166" s="516">
        <f>FS_Q!AC61</f>
        <v/>
      </c>
      <c r="AD166" s="516">
        <f>FS_Q!AD61</f>
        <v/>
      </c>
      <c r="AE166" s="516">
        <f>FS_Q!AE61</f>
        <v/>
      </c>
      <c r="AF166" s="516">
        <f>FS_Q!AF61</f>
        <v/>
      </c>
      <c r="AG166" s="516">
        <f>FS_Q!AG61</f>
        <v/>
      </c>
      <c r="AH166" s="516">
        <f>FS_Q!AH61</f>
        <v/>
      </c>
      <c r="AI166" s="516">
        <f>FS_Q!AI61</f>
        <v/>
      </c>
      <c r="AJ166" s="516">
        <f>FS_Q!AJ61</f>
        <v/>
      </c>
      <c r="AK166" s="516">
        <f>FS_Q!AK61</f>
        <v/>
      </c>
      <c r="AL166" s="516">
        <f>FS_Q!AL61</f>
        <v/>
      </c>
      <c r="AM166" s="516">
        <f>FS_Q!AM61</f>
        <v/>
      </c>
      <c r="AN166" s="516">
        <f>FS_Q!AN61</f>
        <v/>
      </c>
      <c r="AO166" s="516">
        <f>FS_Q!AO61</f>
        <v/>
      </c>
      <c r="AP166" s="516">
        <f>FS_Q!AP61</f>
        <v/>
      </c>
      <c r="AQ166" s="516">
        <f>FS_Q!AQ61</f>
        <v/>
      </c>
      <c r="AR166" s="516">
        <f>FS_Q!AR61</f>
        <v/>
      </c>
      <c r="AS166" s="516">
        <f>FS_Q!AS61</f>
        <v/>
      </c>
      <c r="AT166" s="516">
        <f>FS_Q!AT61</f>
        <v/>
      </c>
      <c r="AU166" s="516">
        <f>FS_Q!AU61</f>
        <v/>
      </c>
      <c r="AV166" s="516">
        <f>FS_Q!AV61</f>
        <v/>
      </c>
      <c r="AW166" s="516">
        <f>FS_Q!AW61</f>
        <v/>
      </c>
      <c r="AX166" s="516">
        <f>FS_Q!AX61</f>
        <v/>
      </c>
      <c r="AY166" s="516">
        <f>FS_Q!AY61</f>
        <v/>
      </c>
      <c r="AZ166" s="516">
        <f>FS_Q!AZ61</f>
        <v/>
      </c>
      <c r="BA166" s="516">
        <f>FS_Q!BA61</f>
        <v/>
      </c>
      <c r="BB166" s="516">
        <f>FS_Q!BB61</f>
        <v/>
      </c>
      <c r="BC166" s="516">
        <f>FS_Q!BC61</f>
        <v/>
      </c>
      <c r="BD166" s="516">
        <f>FS_Q!BD61</f>
        <v/>
      </c>
      <c r="BE166" s="516">
        <f>FS_Q!BE61</f>
        <v/>
      </c>
      <c r="BF166" s="516">
        <f>FS_Q!BF61</f>
        <v/>
      </c>
      <c r="BG166" s="516">
        <f>FS_Q!BG61</f>
        <v/>
      </c>
      <c r="BH166" s="516">
        <f>FS_Q!BH61</f>
        <v/>
      </c>
      <c r="BI166" s="516">
        <f>FS_Q!BI61</f>
        <v/>
      </c>
      <c r="BJ166" s="516">
        <f>FS_Q!BJ61</f>
        <v/>
      </c>
      <c r="BK166" s="516">
        <f>FS_Q!BK61</f>
        <v/>
      </c>
      <c r="BL166" s="516">
        <f>FS_Q!BL61</f>
        <v/>
      </c>
      <c r="BM166" s="516">
        <f>FS_Q!BM61</f>
        <v/>
      </c>
      <c r="BN166" s="516">
        <f>FS_Q!BN61</f>
        <v/>
      </c>
      <c r="BO166" s="516">
        <f>FS_Q!BO61</f>
        <v/>
      </c>
      <c r="BP166" s="516">
        <f>FS_Q!BP61</f>
        <v/>
      </c>
      <c r="BQ166" s="516">
        <f>FS_Q!BQ61</f>
        <v/>
      </c>
      <c r="BR166" s="516">
        <f>FS_Q!BR61</f>
        <v/>
      </c>
      <c r="BS166" s="517">
        <f>BS145</f>
        <v/>
      </c>
      <c r="BT166" s="517">
        <f>BT145</f>
        <v/>
      </c>
      <c r="BU166" s="517">
        <f>BU145</f>
        <v/>
      </c>
      <c r="BV166" s="517">
        <f>BV145</f>
        <v/>
      </c>
      <c r="BW166" s="517">
        <f>BW145</f>
        <v/>
      </c>
      <c r="BX166" s="517">
        <f>BX145</f>
        <v/>
      </c>
      <c r="BY166" s="517">
        <f>BY145</f>
        <v/>
      </c>
      <c r="BZ166" s="517">
        <f>BZ145</f>
        <v/>
      </c>
      <c r="CA166" s="517">
        <f>CA145</f>
        <v/>
      </c>
      <c r="CB166" s="517">
        <f>CB145</f>
        <v/>
      </c>
      <c r="CC166" s="517">
        <f>CC145</f>
        <v/>
      </c>
      <c r="CD166" s="517">
        <f>CD145</f>
        <v/>
      </c>
      <c r="CE166" s="517">
        <f>CE145</f>
        <v/>
      </c>
      <c r="CF166" s="517">
        <f>CF145</f>
        <v/>
      </c>
      <c r="CG166" s="517">
        <f>CG145</f>
        <v/>
      </c>
      <c r="CH166" s="517">
        <f>CH145</f>
        <v/>
      </c>
      <c r="CI166" s="517">
        <f>CI145</f>
        <v/>
      </c>
      <c r="CJ166" s="517">
        <f>CJ145</f>
        <v/>
      </c>
      <c r="CK166" s="517">
        <f>CK145</f>
        <v/>
      </c>
    </row>
    <row r="167">
      <c r="A167" s="924">
        <f>FS_Q!A62</f>
        <v/>
      </c>
      <c r="B167" s="140" t="n"/>
      <c r="C167" s="140" t="n"/>
      <c r="D167" s="140" t="n"/>
      <c r="E167" s="140" t="n"/>
      <c r="F167" s="140" t="n"/>
      <c r="G167" s="140" t="n"/>
      <c r="H167" s="140" t="n"/>
      <c r="I167" s="140" t="n"/>
      <c r="J167" s="140" t="n"/>
      <c r="K167" s="140" t="n"/>
      <c r="L167" s="140" t="n"/>
      <c r="M167" s="140" t="n"/>
      <c r="N167" s="516">
        <f>FS_Q!N62</f>
        <v/>
      </c>
      <c r="O167" s="516">
        <f>FS_Q!O62</f>
        <v/>
      </c>
      <c r="P167" s="516">
        <f>FS_Q!P62</f>
        <v/>
      </c>
      <c r="Q167" s="516">
        <f>FS_Q!Q62</f>
        <v/>
      </c>
      <c r="R167" s="516">
        <f>FS_Q!R62</f>
        <v/>
      </c>
      <c r="S167" s="516">
        <f>FS_Q!S62</f>
        <v/>
      </c>
      <c r="T167" s="516">
        <f>FS_Q!T62</f>
        <v/>
      </c>
      <c r="U167" s="516">
        <f>FS_Q!U62</f>
        <v/>
      </c>
      <c r="V167" s="516">
        <f>FS_Q!V62</f>
        <v/>
      </c>
      <c r="W167" s="516">
        <f>FS_Q!W62</f>
        <v/>
      </c>
      <c r="X167" s="516">
        <f>FS_Q!X62</f>
        <v/>
      </c>
      <c r="Y167" s="516">
        <f>FS_Q!Y62</f>
        <v/>
      </c>
      <c r="Z167" s="516">
        <f>FS_Q!Z62</f>
        <v/>
      </c>
      <c r="AA167" s="516">
        <f>FS_Q!AA62</f>
        <v/>
      </c>
      <c r="AB167" s="516">
        <f>FS_Q!AB62</f>
        <v/>
      </c>
      <c r="AC167" s="516">
        <f>FS_Q!AC62</f>
        <v/>
      </c>
      <c r="AD167" s="516">
        <f>FS_Q!AD62</f>
        <v/>
      </c>
      <c r="AE167" s="516">
        <f>FS_Q!AE62</f>
        <v/>
      </c>
      <c r="AF167" s="516">
        <f>FS_Q!AF62</f>
        <v/>
      </c>
      <c r="AG167" s="516">
        <f>FS_Q!AG62</f>
        <v/>
      </c>
      <c r="AH167" s="516">
        <f>FS_Q!AH62</f>
        <v/>
      </c>
      <c r="AI167" s="516">
        <f>FS_Q!AI62</f>
        <v/>
      </c>
      <c r="AJ167" s="516">
        <f>FS_Q!AJ62</f>
        <v/>
      </c>
      <c r="AK167" s="516">
        <f>FS_Q!AK62</f>
        <v/>
      </c>
      <c r="AL167" s="516">
        <f>FS_Q!AL62</f>
        <v/>
      </c>
      <c r="AM167" s="516">
        <f>FS_Q!AM62</f>
        <v/>
      </c>
      <c r="AN167" s="516">
        <f>FS_Q!AN62</f>
        <v/>
      </c>
      <c r="AO167" s="516">
        <f>FS_Q!AO62</f>
        <v/>
      </c>
      <c r="AP167" s="516">
        <f>FS_Q!AP62</f>
        <v/>
      </c>
      <c r="AQ167" s="516">
        <f>FS_Q!AQ62</f>
        <v/>
      </c>
      <c r="AR167" s="516">
        <f>FS_Q!AR62</f>
        <v/>
      </c>
      <c r="AS167" s="516">
        <f>FS_Q!AS62</f>
        <v/>
      </c>
      <c r="AT167" s="516">
        <f>FS_Q!AT62</f>
        <v/>
      </c>
      <c r="AU167" s="516">
        <f>FS_Q!AU62</f>
        <v/>
      </c>
      <c r="AV167" s="516">
        <f>FS_Q!AV62</f>
        <v/>
      </c>
      <c r="AW167" s="516">
        <f>FS_Q!AW62</f>
        <v/>
      </c>
      <c r="AX167" s="516">
        <f>FS_Q!AX62</f>
        <v/>
      </c>
      <c r="AY167" s="516">
        <f>FS_Q!AY62</f>
        <v/>
      </c>
      <c r="AZ167" s="516">
        <f>FS_Q!AZ62</f>
        <v/>
      </c>
      <c r="BA167" s="516">
        <f>FS_Q!BA62</f>
        <v/>
      </c>
      <c r="BB167" s="516">
        <f>FS_Q!BB62</f>
        <v/>
      </c>
      <c r="BC167" s="516">
        <f>FS_Q!BC62</f>
        <v/>
      </c>
      <c r="BD167" s="516">
        <f>FS_Q!BD62</f>
        <v/>
      </c>
      <c r="BE167" s="516">
        <f>FS_Q!BE62</f>
        <v/>
      </c>
      <c r="BF167" s="516">
        <f>FS_Q!BF62</f>
        <v/>
      </c>
      <c r="BG167" s="516">
        <f>FS_Q!BG62</f>
        <v/>
      </c>
      <c r="BH167" s="516">
        <f>FS_Q!BH62</f>
        <v/>
      </c>
      <c r="BI167" s="516">
        <f>FS_Q!BI62</f>
        <v/>
      </c>
      <c r="BJ167" s="516">
        <f>FS_Q!BJ62</f>
        <v/>
      </c>
      <c r="BK167" s="516">
        <f>FS_Q!BK62</f>
        <v/>
      </c>
      <c r="BL167" s="516">
        <f>FS_Q!BL62</f>
        <v/>
      </c>
      <c r="BM167" s="516">
        <f>FS_Q!BM62</f>
        <v/>
      </c>
      <c r="BN167" s="516">
        <f>FS_Q!BN62</f>
        <v/>
      </c>
      <c r="BO167" s="516">
        <f>FS_Q!BO62</f>
        <v/>
      </c>
      <c r="BP167" s="516">
        <f>FS_Q!BP62</f>
        <v/>
      </c>
      <c r="BQ167" s="516">
        <f>FS_Q!BQ62</f>
        <v/>
      </c>
      <c r="BR167" s="516">
        <f>FS_Q!BR62</f>
        <v/>
      </c>
      <c r="BS167" s="517">
        <f>BS148</f>
        <v/>
      </c>
      <c r="BT167" s="517">
        <f>BT148</f>
        <v/>
      </c>
      <c r="BU167" s="517">
        <f>BU148</f>
        <v/>
      </c>
      <c r="BV167" s="517">
        <f>BV148</f>
        <v/>
      </c>
      <c r="BW167" s="517">
        <f>BW148</f>
        <v/>
      </c>
      <c r="BX167" s="517">
        <f>BX148</f>
        <v/>
      </c>
      <c r="BY167" s="517">
        <f>BY148</f>
        <v/>
      </c>
      <c r="BZ167" s="517">
        <f>BZ148</f>
        <v/>
      </c>
      <c r="CA167" s="517">
        <f>CA148</f>
        <v/>
      </c>
      <c r="CB167" s="517">
        <f>CB148</f>
        <v/>
      </c>
      <c r="CC167" s="517">
        <f>CC148</f>
        <v/>
      </c>
      <c r="CD167" s="517">
        <f>CD148</f>
        <v/>
      </c>
      <c r="CE167" s="517">
        <f>CE148</f>
        <v/>
      </c>
      <c r="CF167" s="517">
        <f>CF148</f>
        <v/>
      </c>
      <c r="CG167" s="517">
        <f>CG148</f>
        <v/>
      </c>
      <c r="CH167" s="517">
        <f>CH148</f>
        <v/>
      </c>
      <c r="CI167" s="517">
        <f>CI148</f>
        <v/>
      </c>
      <c r="CJ167" s="517">
        <f>CJ148</f>
        <v/>
      </c>
      <c r="CK167" s="517">
        <f>CK148</f>
        <v/>
      </c>
    </row>
    <row r="168">
      <c r="A168" s="923" t="inlineStr">
        <is>
          <t>Total Current Liabilities Less Debt</t>
        </is>
      </c>
      <c r="B168" s="403" t="n"/>
      <c r="C168" s="403" t="n"/>
      <c r="D168" s="403" t="n"/>
      <c r="E168" s="403" t="n"/>
      <c r="F168" s="403" t="n"/>
      <c r="G168" s="403" t="n"/>
      <c r="H168" s="403" t="n"/>
      <c r="I168" s="403" t="n"/>
      <c r="J168" s="403" t="n"/>
      <c r="K168" s="403" t="n"/>
      <c r="L168" s="403" t="n"/>
      <c r="M168" s="403" t="n"/>
      <c r="N168" s="517">
        <f>SUM(N164:N167)</f>
        <v/>
      </c>
      <c r="O168" s="517">
        <f>SUM(O164:O167)</f>
        <v/>
      </c>
      <c r="P168" s="517">
        <f>SUM(P164:P167)</f>
        <v/>
      </c>
      <c r="Q168" s="517">
        <f>SUM(Q164:Q167)</f>
        <v/>
      </c>
      <c r="R168" s="517">
        <f>SUM(R164:R167)</f>
        <v/>
      </c>
      <c r="S168" s="517">
        <f>SUM(S164:S167)</f>
        <v/>
      </c>
      <c r="T168" s="517">
        <f>SUM(T164:T167)</f>
        <v/>
      </c>
      <c r="U168" s="517">
        <f>SUM(U164:U167)</f>
        <v/>
      </c>
      <c r="V168" s="517">
        <f>SUM(V164:V167)</f>
        <v/>
      </c>
      <c r="W168" s="517">
        <f>SUM(W164:W167)</f>
        <v/>
      </c>
      <c r="X168" s="517">
        <f>SUM(X164:X167)</f>
        <v/>
      </c>
      <c r="Y168" s="517">
        <f>SUM(Y164:Y167)</f>
        <v/>
      </c>
      <c r="Z168" s="517">
        <f>SUM(Z164:Z167)</f>
        <v/>
      </c>
      <c r="AA168" s="517">
        <f>SUM(AA164:AA167)</f>
        <v/>
      </c>
      <c r="AB168" s="517">
        <f>SUM(AB164:AB167)</f>
        <v/>
      </c>
      <c r="AC168" s="517">
        <f>SUM(AC164:AC167)</f>
        <v/>
      </c>
      <c r="AD168" s="517">
        <f>SUM(AD164:AD167)</f>
        <v/>
      </c>
      <c r="AE168" s="517">
        <f>SUM(AE164:AE167)</f>
        <v/>
      </c>
      <c r="AF168" s="517">
        <f>SUM(AF164:AF167)</f>
        <v/>
      </c>
      <c r="AG168" s="517">
        <f>SUM(AG164:AG167)</f>
        <v/>
      </c>
      <c r="AH168" s="517">
        <f>SUM(AH164:AH167)</f>
        <v/>
      </c>
      <c r="AI168" s="517">
        <f>SUM(AI164:AI167)</f>
        <v/>
      </c>
      <c r="AJ168" s="517">
        <f>SUM(AJ164:AJ167)</f>
        <v/>
      </c>
      <c r="AK168" s="517">
        <f>SUM(AK164:AK167)</f>
        <v/>
      </c>
      <c r="AL168" s="517">
        <f>SUM(AL164:AL167)</f>
        <v/>
      </c>
      <c r="AM168" s="517">
        <f>SUM(AM164:AM167)</f>
        <v/>
      </c>
      <c r="AN168" s="517">
        <f>SUM(AN164:AN167)</f>
        <v/>
      </c>
      <c r="AO168" s="517">
        <f>SUM(AO164:AO167)</f>
        <v/>
      </c>
      <c r="AP168" s="517">
        <f>SUM(AP164:AP167)</f>
        <v/>
      </c>
      <c r="AQ168" s="517">
        <f>SUM(AQ164:AQ167)</f>
        <v/>
      </c>
      <c r="AR168" s="517">
        <f>SUM(AR164:AR167)</f>
        <v/>
      </c>
      <c r="AS168" s="517">
        <f>SUM(AS164:AS167)</f>
        <v/>
      </c>
      <c r="AT168" s="517">
        <f>SUM(AT164:AT167)</f>
        <v/>
      </c>
      <c r="AU168" s="517">
        <f>SUM(AU164:AU167)</f>
        <v/>
      </c>
      <c r="AV168" s="517">
        <f>SUM(AV164:AV167)</f>
        <v/>
      </c>
      <c r="AW168" s="517">
        <f>SUM(AW164:AW167)</f>
        <v/>
      </c>
      <c r="AX168" s="517">
        <f>SUM(AX164:AX167)</f>
        <v/>
      </c>
      <c r="AY168" s="517">
        <f>SUM(AY164:AY167)</f>
        <v/>
      </c>
      <c r="AZ168" s="517">
        <f>SUM(AZ164:AZ167)</f>
        <v/>
      </c>
      <c r="BA168" s="517">
        <f>SUM(BA164:BA167)</f>
        <v/>
      </c>
      <c r="BB168" s="517">
        <f>SUM(BB164:BB167)</f>
        <v/>
      </c>
      <c r="BC168" s="517">
        <f>SUM(BC164:BC167)</f>
        <v/>
      </c>
      <c r="BD168" s="517">
        <f>SUM(BD164:BD167)</f>
        <v/>
      </c>
      <c r="BE168" s="517">
        <f>SUM(BE164:BE167)</f>
        <v/>
      </c>
      <c r="BF168" s="517">
        <f>SUM(BF164:BF167)</f>
        <v/>
      </c>
      <c r="BG168" s="517">
        <f>SUM(BG164:BG167)</f>
        <v/>
      </c>
      <c r="BH168" s="517">
        <f>SUM(BH164:BH167)</f>
        <v/>
      </c>
      <c r="BI168" s="517">
        <f>SUM(BI164:BI167)</f>
        <v/>
      </c>
      <c r="BJ168" s="517">
        <f>SUM(BJ164:BJ167)</f>
        <v/>
      </c>
      <c r="BK168" s="517">
        <f>SUM(BK164:BK167)</f>
        <v/>
      </c>
      <c r="BL168" s="517">
        <f>SUM(BL164:BL167)</f>
        <v/>
      </c>
      <c r="BM168" s="517">
        <f>SUM(BM164:BM167)</f>
        <v/>
      </c>
      <c r="BN168" s="517">
        <f>SUM(BN164:BN167)</f>
        <v/>
      </c>
      <c r="BO168" s="517">
        <f>SUM(BO164:BO167)</f>
        <v/>
      </c>
      <c r="BP168" s="517">
        <f>SUM(BP164:BP167)</f>
        <v/>
      </c>
      <c r="BQ168" s="517">
        <f>SUM(BQ164:BQ167)</f>
        <v/>
      </c>
      <c r="BR168" s="517">
        <f>SUM(BR164:BR167)</f>
        <v/>
      </c>
      <c r="BS168" s="517">
        <f>SUM(BS164:BS167)</f>
        <v/>
      </c>
      <c r="BT168" s="517">
        <f>SUM(BT164:BT167)</f>
        <v/>
      </c>
      <c r="BU168" s="517">
        <f>SUM(BU164:BU167)</f>
        <v/>
      </c>
      <c r="BV168" s="517">
        <f>SUM(BV164:BV167)</f>
        <v/>
      </c>
      <c r="BW168" s="517">
        <f>SUM(BW164:BW167)</f>
        <v/>
      </c>
      <c r="BX168" s="517">
        <f>SUM(BX164:BX167)</f>
        <v/>
      </c>
      <c r="BY168" s="517">
        <f>SUM(BY164:BY167)</f>
        <v/>
      </c>
      <c r="BZ168" s="517">
        <f>SUM(BZ164:BZ167)</f>
        <v/>
      </c>
      <c r="CA168" s="517">
        <f>SUM(CA164:CA167)</f>
        <v/>
      </c>
      <c r="CB168" s="517">
        <f>SUM(CB164:CB167)</f>
        <v/>
      </c>
      <c r="CC168" s="517">
        <f>SUM(CC164:CC167)</f>
        <v/>
      </c>
      <c r="CD168" s="517">
        <f>SUM(CD164:CD167)</f>
        <v/>
      </c>
      <c r="CE168" s="517">
        <f>SUM(CE164:CE167)</f>
        <v/>
      </c>
      <c r="CF168" s="517">
        <f>SUM(CF164:CF167)</f>
        <v/>
      </c>
      <c r="CG168" s="517">
        <f>SUM(CG164:CG167)</f>
        <v/>
      </c>
      <c r="CH168" s="517">
        <f>SUM(CH164:CH167)</f>
        <v/>
      </c>
      <c r="CI168" s="517">
        <f>SUM(CI164:CI167)</f>
        <v/>
      </c>
      <c r="CJ168" s="517">
        <f>SUM(CJ164:CJ167)</f>
        <v/>
      </c>
      <c r="CK168" s="517">
        <f>SUM(CK164:CK167)</f>
        <v/>
      </c>
    </row>
    <row r="169" ht="14" customHeight="1" thickBot="1">
      <c r="A169" s="925" t="n"/>
      <c r="B169" s="403" t="n"/>
      <c r="C169" s="403" t="n"/>
      <c r="D169" s="403" t="n"/>
      <c r="E169" s="403" t="n"/>
      <c r="F169" s="403" t="n"/>
      <c r="G169" s="403" t="n"/>
      <c r="H169" s="403" t="n"/>
      <c r="I169" s="403" t="n"/>
      <c r="J169" s="403" t="n"/>
      <c r="K169" s="403" t="n"/>
      <c r="L169" s="403" t="n"/>
      <c r="M169" s="403" t="n"/>
      <c r="N169" s="517" t="n"/>
      <c r="O169" s="517" t="n"/>
      <c r="P169" s="517" t="n"/>
      <c r="Q169" s="517" t="n"/>
      <c r="R169" s="517" t="n"/>
      <c r="S169" s="517" t="n"/>
      <c r="T169" s="517" t="n"/>
      <c r="U169" s="517" t="n"/>
      <c r="V169" s="517" t="n"/>
      <c r="W169" s="517" t="n"/>
      <c r="X169" s="517" t="n"/>
      <c r="Y169" s="517" t="n"/>
      <c r="Z169" s="517" t="n"/>
      <c r="AA169" s="517" t="n"/>
      <c r="AB169" s="517" t="n"/>
      <c r="AC169" s="517" t="n"/>
      <c r="AD169" s="517" t="n"/>
      <c r="AE169" s="517" t="n"/>
      <c r="AF169" s="517" t="n"/>
      <c r="AG169" s="517" t="n"/>
      <c r="AH169" s="517" t="n"/>
      <c r="AI169" s="517" t="n"/>
      <c r="AJ169" s="517" t="n"/>
      <c r="AK169" s="517" t="n"/>
      <c r="AL169" s="517" t="n"/>
      <c r="AM169" s="517" t="n"/>
      <c r="AN169" s="517" t="n"/>
      <c r="AO169" s="517" t="n"/>
      <c r="AP169" s="517" t="n"/>
      <c r="AQ169" s="517" t="n"/>
      <c r="AR169" s="517" t="n"/>
      <c r="AS169" s="517" t="n"/>
      <c r="AT169" s="517" t="n"/>
      <c r="AU169" s="517" t="n"/>
      <c r="AV169" s="517" t="n"/>
      <c r="AW169" s="517" t="n"/>
      <c r="AX169" s="517" t="n"/>
      <c r="AY169" s="517" t="n"/>
      <c r="AZ169" s="517" t="n"/>
      <c r="BA169" s="517" t="n"/>
      <c r="BB169" s="517" t="n"/>
      <c r="BC169" s="517" t="n"/>
      <c r="BD169" s="517" t="n"/>
      <c r="BE169" s="517" t="n"/>
      <c r="BF169" s="517" t="n"/>
      <c r="BG169" s="517" t="n"/>
      <c r="BH169" s="517" t="n"/>
      <c r="BI169" s="517" t="n"/>
      <c r="BJ169" s="517" t="n"/>
      <c r="BK169" s="517" t="n"/>
      <c r="BL169" s="517" t="n"/>
      <c r="BM169" s="517" t="n"/>
      <c r="BN169" s="517" t="n"/>
      <c r="BO169" s="517" t="n"/>
      <c r="BP169" s="517" t="n"/>
      <c r="BQ169" s="517" t="n"/>
      <c r="BR169" s="517" t="n"/>
      <c r="BS169" s="517" t="n"/>
      <c r="BT169" s="517" t="n"/>
      <c r="BU169" s="517" t="n"/>
      <c r="BV169" s="517" t="n"/>
      <c r="BW169" s="517" t="n"/>
      <c r="BX169" s="517" t="n"/>
      <c r="BY169" s="517" t="n"/>
      <c r="BZ169" s="517" t="n"/>
      <c r="CA169" s="517" t="n"/>
      <c r="CB169" s="517" t="n"/>
      <c r="CC169" s="517" t="n"/>
      <c r="CD169" s="517" t="n"/>
      <c r="CE169" s="517" t="n"/>
      <c r="CF169" s="517" t="n"/>
      <c r="CG169" s="517" t="n"/>
      <c r="CH169" s="517" t="n"/>
      <c r="CI169" s="517" t="n"/>
      <c r="CJ169" s="517" t="n"/>
      <c r="CK169" s="517" t="n"/>
    </row>
    <row r="170">
      <c r="A170" s="923" t="n"/>
      <c r="B170" s="403" t="n"/>
      <c r="C170" s="403" t="n"/>
      <c r="D170" s="403" t="n"/>
      <c r="E170" s="403" t="n"/>
      <c r="F170" s="403" t="n"/>
      <c r="G170" s="403" t="n"/>
      <c r="H170" s="403" t="n"/>
      <c r="I170" s="403" t="n"/>
      <c r="J170" s="403" t="n"/>
      <c r="K170" s="403" t="n"/>
      <c r="L170" s="403" t="n"/>
      <c r="M170" s="403" t="n"/>
      <c r="N170" s="517" t="n"/>
      <c r="O170" s="517" t="n"/>
      <c r="P170" s="517" t="n"/>
      <c r="Q170" s="517" t="n"/>
      <c r="R170" s="517" t="n"/>
      <c r="S170" s="517" t="n"/>
      <c r="T170" s="517" t="n"/>
      <c r="U170" s="517" t="n"/>
      <c r="V170" s="517" t="n"/>
      <c r="W170" s="517" t="n"/>
      <c r="X170" s="517" t="n"/>
      <c r="Y170" s="517" t="n"/>
      <c r="Z170" s="517" t="n"/>
      <c r="AA170" s="517" t="n"/>
      <c r="AB170" s="517" t="n"/>
      <c r="AC170" s="517" t="n"/>
      <c r="AD170" s="517" t="n"/>
      <c r="AE170" s="517" t="n"/>
      <c r="AF170" s="517" t="n"/>
      <c r="AG170" s="517" t="n"/>
      <c r="AH170" s="517" t="n"/>
      <c r="AI170" s="517" t="n"/>
      <c r="AJ170" s="517" t="n"/>
      <c r="AK170" s="517" t="n"/>
      <c r="AL170" s="517" t="n"/>
      <c r="AM170" s="517" t="n"/>
      <c r="AN170" s="517" t="n"/>
      <c r="AO170" s="517" t="n"/>
      <c r="AP170" s="517" t="n"/>
      <c r="AQ170" s="517" t="n"/>
      <c r="AR170" s="517" t="n"/>
      <c r="AS170" s="517" t="n"/>
      <c r="AT170" s="517" t="n"/>
      <c r="AU170" s="517" t="n"/>
      <c r="AV170" s="517" t="n"/>
      <c r="AW170" s="517" t="n"/>
      <c r="AX170" s="517" t="n"/>
      <c r="AY170" s="517" t="n"/>
      <c r="AZ170" s="517" t="n"/>
      <c r="BA170" s="517" t="n"/>
      <c r="BB170" s="517" t="n"/>
      <c r="BC170" s="517" t="n"/>
      <c r="BD170" s="517" t="n"/>
      <c r="BE170" s="517" t="n"/>
      <c r="BF170" s="517" t="n"/>
      <c r="BG170" s="517" t="n"/>
      <c r="BH170" s="517" t="n"/>
      <c r="BI170" s="517" t="n"/>
      <c r="BJ170" s="517" t="n"/>
      <c r="BK170" s="517" t="n"/>
      <c r="BL170" s="517" t="n"/>
      <c r="BM170" s="517" t="n"/>
      <c r="BN170" s="517" t="n"/>
      <c r="BO170" s="517" t="n"/>
      <c r="BP170" s="517" t="n"/>
      <c r="BQ170" s="517" t="n"/>
      <c r="BR170" s="517" t="n"/>
      <c r="BS170" s="517" t="n"/>
      <c r="BT170" s="517" t="n"/>
      <c r="BU170" s="517" t="n"/>
      <c r="BV170" s="517" t="n"/>
      <c r="BW170" s="517" t="n"/>
      <c r="BX170" s="517" t="n"/>
      <c r="BY170" s="517" t="n"/>
      <c r="BZ170" s="517" t="n"/>
      <c r="CA170" s="517" t="n"/>
      <c r="CB170" s="517" t="n"/>
      <c r="CC170" s="517" t="n"/>
      <c r="CD170" s="517" t="n"/>
      <c r="CE170" s="517" t="n"/>
      <c r="CF170" s="517" t="n"/>
      <c r="CG170" s="517" t="n"/>
      <c r="CH170" s="517" t="n"/>
      <c r="CI170" s="517" t="n"/>
      <c r="CJ170" s="517" t="n"/>
      <c r="CK170" s="517" t="n"/>
    </row>
    <row r="171">
      <c r="A171" s="923">
        <f>FS_Q!A45</f>
        <v/>
      </c>
      <c r="B171" s="923">
        <f>FS_Q!B45</f>
        <v/>
      </c>
      <c r="C171" s="923">
        <f>FS_Q!C45</f>
        <v/>
      </c>
      <c r="D171" s="923">
        <f>FS_Q!D45</f>
        <v/>
      </c>
      <c r="E171" s="923">
        <f>FS_Q!E45</f>
        <v/>
      </c>
      <c r="F171" s="923">
        <f>FS_Q!F45</f>
        <v/>
      </c>
      <c r="G171" s="923">
        <f>FS_Q!G45</f>
        <v/>
      </c>
      <c r="H171" s="923">
        <f>FS_Q!H45</f>
        <v/>
      </c>
      <c r="I171" s="923">
        <f>FS_Q!I45</f>
        <v/>
      </c>
      <c r="J171" s="923">
        <f>FS_Q!J45</f>
        <v/>
      </c>
      <c r="K171" s="923">
        <f>FS_Q!K45</f>
        <v/>
      </c>
      <c r="L171" s="923">
        <f>FS_Q!L45</f>
        <v/>
      </c>
      <c r="M171" s="923">
        <f>FS_Q!M45</f>
        <v/>
      </c>
      <c r="N171" s="516">
        <f>FS_Q!N45</f>
        <v/>
      </c>
      <c r="O171" s="516">
        <f>FS_Q!O45</f>
        <v/>
      </c>
      <c r="P171" s="516">
        <f>FS_Q!P45</f>
        <v/>
      </c>
      <c r="Q171" s="516">
        <f>FS_Q!Q45</f>
        <v/>
      </c>
      <c r="R171" s="516">
        <f>FS_Q!R45</f>
        <v/>
      </c>
      <c r="S171" s="516">
        <f>FS_Q!S45</f>
        <v/>
      </c>
      <c r="T171" s="516">
        <f>FS_Q!T45</f>
        <v/>
      </c>
      <c r="U171" s="516">
        <f>FS_Q!U45</f>
        <v/>
      </c>
      <c r="V171" s="516">
        <f>FS_Q!V45</f>
        <v/>
      </c>
      <c r="W171" s="516">
        <f>FS_Q!W45</f>
        <v/>
      </c>
      <c r="X171" s="516">
        <f>FS_Q!X45</f>
        <v/>
      </c>
      <c r="Y171" s="516">
        <f>FS_Q!Y45</f>
        <v/>
      </c>
      <c r="Z171" s="516">
        <f>FS_Q!Z45</f>
        <v/>
      </c>
      <c r="AA171" s="516">
        <f>FS_Q!AA45</f>
        <v/>
      </c>
      <c r="AB171" s="516">
        <f>FS_Q!AB45</f>
        <v/>
      </c>
      <c r="AC171" s="516">
        <f>FS_Q!AC45</f>
        <v/>
      </c>
      <c r="AD171" s="516">
        <f>FS_Q!AD45</f>
        <v/>
      </c>
      <c r="AE171" s="516">
        <f>FS_Q!AE45</f>
        <v/>
      </c>
      <c r="AF171" s="516">
        <f>FS_Q!AF45</f>
        <v/>
      </c>
      <c r="AG171" s="516">
        <f>FS_Q!AG45</f>
        <v/>
      </c>
      <c r="AH171" s="516">
        <f>FS_Q!AH45</f>
        <v/>
      </c>
      <c r="AI171" s="516">
        <f>FS_Q!AI45</f>
        <v/>
      </c>
      <c r="AJ171" s="516">
        <f>FS_Q!AJ45</f>
        <v/>
      </c>
      <c r="AK171" s="516">
        <f>FS_Q!AK45</f>
        <v/>
      </c>
      <c r="AL171" s="516">
        <f>FS_Q!AL45</f>
        <v/>
      </c>
      <c r="AM171" s="516">
        <f>FS_Q!AM45</f>
        <v/>
      </c>
      <c r="AN171" s="516">
        <f>FS_Q!AN45</f>
        <v/>
      </c>
      <c r="AO171" s="516">
        <f>FS_Q!AO45</f>
        <v/>
      </c>
      <c r="AP171" s="516">
        <f>FS_Q!AP45</f>
        <v/>
      </c>
      <c r="AQ171" s="516">
        <f>FS_Q!AQ45</f>
        <v/>
      </c>
      <c r="AR171" s="516">
        <f>FS_Q!AR45</f>
        <v/>
      </c>
      <c r="AS171" s="516">
        <f>FS_Q!AS45</f>
        <v/>
      </c>
      <c r="AT171" s="516">
        <f>FS_Q!AT45</f>
        <v/>
      </c>
      <c r="AU171" s="516">
        <f>FS_Q!AU45</f>
        <v/>
      </c>
      <c r="AV171" s="516">
        <f>FS_Q!AV45</f>
        <v/>
      </c>
      <c r="AW171" s="516">
        <f>FS_Q!AW45</f>
        <v/>
      </c>
      <c r="AX171" s="516">
        <f>FS_Q!AX45</f>
        <v/>
      </c>
      <c r="AY171" s="516">
        <f>FS_Q!AY45</f>
        <v/>
      </c>
      <c r="AZ171" s="516">
        <f>FS_Q!AZ45</f>
        <v/>
      </c>
      <c r="BA171" s="516">
        <f>FS_Q!BA45</f>
        <v/>
      </c>
      <c r="BB171" s="516">
        <f>FS_Q!BB45</f>
        <v/>
      </c>
      <c r="BC171" s="516">
        <f>FS_Q!BC45</f>
        <v/>
      </c>
      <c r="BD171" s="516">
        <f>FS_Q!BD45</f>
        <v/>
      </c>
      <c r="BE171" s="516">
        <f>FS_Q!BE45</f>
        <v/>
      </c>
      <c r="BF171" s="516">
        <f>FS_Q!BF45</f>
        <v/>
      </c>
      <c r="BG171" s="516">
        <f>FS_Q!BG45</f>
        <v/>
      </c>
      <c r="BH171" s="516">
        <f>FS_Q!BH45</f>
        <v/>
      </c>
      <c r="BI171" s="516">
        <f>FS_Q!BI45</f>
        <v/>
      </c>
      <c r="BJ171" s="516">
        <f>FS_Q!BJ45</f>
        <v/>
      </c>
      <c r="BK171" s="516">
        <f>FS_Q!BK45</f>
        <v/>
      </c>
      <c r="BL171" s="516">
        <f>FS_Q!BL45</f>
        <v/>
      </c>
      <c r="BM171" s="516">
        <f>FS_Q!BM45</f>
        <v/>
      </c>
      <c r="BN171" s="516">
        <f>FS_Q!BN45</f>
        <v/>
      </c>
      <c r="BO171" s="516">
        <f>FS_Q!BO45</f>
        <v/>
      </c>
      <c r="BP171" s="516">
        <f>FS_Q!BP45</f>
        <v/>
      </c>
      <c r="BQ171" s="516">
        <f>FS_Q!BQ45</f>
        <v/>
      </c>
      <c r="BR171" s="516">
        <f>FS_Q!BR45</f>
        <v/>
      </c>
      <c r="BS171" s="517">
        <f>BS172*BS$152*BS$247</f>
        <v/>
      </c>
      <c r="BT171" s="517">
        <f>BT172*BT$152*BT$247</f>
        <v/>
      </c>
      <c r="BU171" s="517">
        <f>BU172*BU$152*BU$247</f>
        <v/>
      </c>
      <c r="BV171" s="517">
        <f>BV172*BV$152*BV$247</f>
        <v/>
      </c>
      <c r="BW171" s="517">
        <f>BW172*BW$152*BW$247</f>
        <v/>
      </c>
      <c r="BX171" s="517">
        <f>BX172*BX$152*BX$247</f>
        <v/>
      </c>
      <c r="BY171" s="517">
        <f>BY172*BY$152*BY$247</f>
        <v/>
      </c>
      <c r="BZ171" s="517">
        <f>BZ172*BZ$152*BZ$247</f>
        <v/>
      </c>
      <c r="CA171" s="517">
        <f>CA172*CA$152*CA$247</f>
        <v/>
      </c>
      <c r="CB171" s="517">
        <f>CB172*CB$152*CB$247</f>
        <v/>
      </c>
      <c r="CC171" s="517">
        <f>CC172*CC$152*CC$247</f>
        <v/>
      </c>
      <c r="CD171" s="517">
        <f>CD172*CD$152*CD$247</f>
        <v/>
      </c>
      <c r="CE171" s="517">
        <f>CE172*CE$152*CE$247</f>
        <v/>
      </c>
      <c r="CF171" s="517">
        <f>CF172*CF$152*CF$247</f>
        <v/>
      </c>
      <c r="CG171" s="517">
        <f>CG172*CG$152*CG$247</f>
        <v/>
      </c>
      <c r="CH171" s="517">
        <f>CH172*CH$152*CH$247</f>
        <v/>
      </c>
      <c r="CI171" s="517">
        <f>CI172*CI$152*CI$247</f>
        <v/>
      </c>
      <c r="CJ171" s="517">
        <f>CJ172*CJ$152*CJ$247</f>
        <v/>
      </c>
      <c r="CK171" s="517">
        <f>CK172*CK$152*CK$247</f>
        <v/>
      </c>
    </row>
    <row r="172">
      <c r="A172" s="920">
        <f>A136</f>
        <v/>
      </c>
      <c r="B172" s="923" t="n"/>
      <c r="C172" s="923" t="n"/>
      <c r="D172" s="923" t="n"/>
      <c r="E172" s="923" t="n"/>
      <c r="F172" s="923" t="n"/>
      <c r="G172" s="923" t="n"/>
      <c r="H172" s="923" t="n"/>
      <c r="I172" s="923" t="n"/>
      <c r="J172" s="923" t="n"/>
      <c r="K172" s="923" t="n"/>
      <c r="L172" s="923" t="n"/>
      <c r="M172" s="923" t="n"/>
      <c r="N172" s="908">
        <f>N171/(N$152*N$247)</f>
        <v/>
      </c>
      <c r="O172" s="908">
        <f>O171/(O$152*O$247)</f>
        <v/>
      </c>
      <c r="P172" s="908">
        <f>P171/(P$152*P$247)</f>
        <v/>
      </c>
      <c r="Q172" s="908">
        <f>Q171/(Q$152*Q$247)</f>
        <v/>
      </c>
      <c r="R172" s="908">
        <f>R171/(R$152*R$247)</f>
        <v/>
      </c>
      <c r="S172" s="908">
        <f>S171/(S$152*S$247)</f>
        <v/>
      </c>
      <c r="T172" s="908">
        <f>T171/(T$152*T$247)</f>
        <v/>
      </c>
      <c r="U172" s="908">
        <f>U171/(U$152*U$247)</f>
        <v/>
      </c>
      <c r="V172" s="908">
        <f>V171/(V$152*V$247)</f>
        <v/>
      </c>
      <c r="W172" s="908">
        <f>W171/(W$152*W$247)</f>
        <v/>
      </c>
      <c r="X172" s="908">
        <f>X171/(X$152*X$247)</f>
        <v/>
      </c>
      <c r="Y172" s="908">
        <f>Y171/(Y$152*Y$247)</f>
        <v/>
      </c>
      <c r="Z172" s="908">
        <f>Z171/(Z$152*Z$247)</f>
        <v/>
      </c>
      <c r="AA172" s="908">
        <f>AA171/(AA$152*AA$247)</f>
        <v/>
      </c>
      <c r="AB172" s="908">
        <f>AB171/(AB$152*AB$247)</f>
        <v/>
      </c>
      <c r="AC172" s="908">
        <f>AC171/(AC$152*AC$247)</f>
        <v/>
      </c>
      <c r="AD172" s="908">
        <f>AD171/(AD$152*AD$247)</f>
        <v/>
      </c>
      <c r="AE172" s="908">
        <f>AE171/(AE$152*AE$247)</f>
        <v/>
      </c>
      <c r="AF172" s="908">
        <f>AF171/(AF$152*AF$247)</f>
        <v/>
      </c>
      <c r="AG172" s="908">
        <f>AG171/(AG$152*AG$247)</f>
        <v/>
      </c>
      <c r="AH172" s="908">
        <f>AH171/(AH$152*AH$247)</f>
        <v/>
      </c>
      <c r="AI172" s="908">
        <f>AI171/(AI$152*AI$247)</f>
        <v/>
      </c>
      <c r="AJ172" s="908">
        <f>AJ171/(AJ$152*AJ$247)</f>
        <v/>
      </c>
      <c r="AK172" s="908">
        <f>AK171/(AK$152*AK$247)</f>
        <v/>
      </c>
      <c r="AL172" s="908">
        <f>AL171/(AL$152*AL$247)</f>
        <v/>
      </c>
      <c r="AM172" s="908">
        <f>AM171/(AM$152*AM$247)</f>
        <v/>
      </c>
      <c r="AN172" s="908">
        <f>AN171/(AN$152*AN$247)</f>
        <v/>
      </c>
      <c r="AO172" s="908">
        <f>AO171/(AO$152*AO$247)</f>
        <v/>
      </c>
      <c r="AP172" s="908">
        <f>AP171/(AP$152*AP$247)</f>
        <v/>
      </c>
      <c r="AQ172" s="908">
        <f>AQ171/(AQ$152*AQ$247)</f>
        <v/>
      </c>
      <c r="AR172" s="908">
        <f>AR171/(AR$152*AR$247)</f>
        <v/>
      </c>
      <c r="AS172" s="908">
        <f>AS171/(AS$152*AS$247)</f>
        <v/>
      </c>
      <c r="AT172" s="908">
        <f>AT171/(AT$152*AT$247)</f>
        <v/>
      </c>
      <c r="AU172" s="908">
        <f>AU171/(AU$152*AU$247)</f>
        <v/>
      </c>
      <c r="AV172" s="908">
        <f>AV171/(AV$152*AV$247)</f>
        <v/>
      </c>
      <c r="AW172" s="908">
        <f>AW171/(AW$152*AW$247)</f>
        <v/>
      </c>
      <c r="AX172" s="908">
        <f>AX171/(AX$152*AX$247)</f>
        <v/>
      </c>
      <c r="AY172" s="908">
        <f>AY171/(AY$152*AY$247)</f>
        <v/>
      </c>
      <c r="AZ172" s="908">
        <f>AZ171/(AZ$152*AZ$247)</f>
        <v/>
      </c>
      <c r="BA172" s="908">
        <f>BA171/(BA$152*BA$247)</f>
        <v/>
      </c>
      <c r="BB172" s="908">
        <f>BB171/(BB$152*BB$247)</f>
        <v/>
      </c>
      <c r="BC172" s="908">
        <f>BC171/(BC$152*BC$247)</f>
        <v/>
      </c>
      <c r="BD172" s="908">
        <f>BD171/(BD$152*BD$247)</f>
        <v/>
      </c>
      <c r="BE172" s="908">
        <f>BE171/(BE$152*BE$247)</f>
        <v/>
      </c>
      <c r="BF172" s="908">
        <f>BF171/(BF$152*BF$247)</f>
        <v/>
      </c>
      <c r="BG172" s="908">
        <f>BG171/(BG$152*BG$247)</f>
        <v/>
      </c>
      <c r="BH172" s="908">
        <f>BH171/(BH$152*BH$247)</f>
        <v/>
      </c>
      <c r="BI172" s="908">
        <f>BI171/(BI$152*BI$247)</f>
        <v/>
      </c>
      <c r="BJ172" s="908">
        <f>BJ171/(BJ$152*BJ$247)</f>
        <v/>
      </c>
      <c r="BK172" s="908">
        <f>BK171/(BK$152*BK$247)</f>
        <v/>
      </c>
      <c r="BL172" s="908">
        <f>BL171/(BL$152*BL$247)</f>
        <v/>
      </c>
      <c r="BM172" s="908">
        <f>BM171/(BM$152*BM$247)</f>
        <v/>
      </c>
      <c r="BN172" s="908">
        <f>BN171/(BN$152*BN$247)</f>
        <v/>
      </c>
      <c r="BO172" s="908">
        <f>BO171/(BO$152*BO$247)</f>
        <v/>
      </c>
      <c r="BP172" s="908">
        <f>BP171/(BP$152*BP$247)</f>
        <v/>
      </c>
      <c r="BQ172" s="908">
        <f>BQ171/(BQ$152*BQ$247)</f>
        <v/>
      </c>
      <c r="BR172" s="908">
        <f>BR171/(BR$152*BR$247)</f>
        <v/>
      </c>
      <c r="BS172" s="909">
        <f>AVERAGE(BO172,BK172)</f>
        <v/>
      </c>
      <c r="BT172" s="909">
        <f>AVERAGE(BP172,BL172)</f>
        <v/>
      </c>
      <c r="BU172" s="909">
        <f>AVERAGE(BQ172,BM172)</f>
        <v/>
      </c>
      <c r="BV172" s="909">
        <f>AVERAGE(BR172,BN172)</f>
        <v/>
      </c>
      <c r="BW172" s="909">
        <f>AVERAGE(BS172,BO172)</f>
        <v/>
      </c>
      <c r="BX172" s="909">
        <f>AVERAGE(BT172,BP172)</f>
        <v/>
      </c>
      <c r="BY172" s="909">
        <f>AVERAGE(BU172,BQ172)</f>
        <v/>
      </c>
      <c r="BZ172" s="909">
        <f>AVERAGE(BV172,BR172)</f>
        <v/>
      </c>
      <c r="CA172" s="909">
        <f>AVERAGE(BW172,BS172)</f>
        <v/>
      </c>
      <c r="CB172" s="909">
        <f>AVERAGE(BX172,BT172)</f>
        <v/>
      </c>
      <c r="CC172" s="909">
        <f>AVERAGE(BY172,BU172)</f>
        <v/>
      </c>
      <c r="CD172" s="909">
        <f>AVERAGE(BZ172,BV172)</f>
        <v/>
      </c>
      <c r="CE172" s="909">
        <f>AVERAGE(CA172,BW172)</f>
        <v/>
      </c>
      <c r="CF172" s="909">
        <f>AVERAGE(CB172,BX172)</f>
        <v/>
      </c>
      <c r="CG172" s="909">
        <f>AVERAGE(CC172,BY172)</f>
        <v/>
      </c>
      <c r="CH172" s="909">
        <f>AVERAGE(CD172,BZ172)</f>
        <v/>
      </c>
      <c r="CI172" s="909">
        <f>AVERAGE(CE172,CA172)</f>
        <v/>
      </c>
      <c r="CJ172" s="909">
        <f>AVERAGE(CF172,CB172)</f>
        <v/>
      </c>
      <c r="CK172" s="909">
        <f>AVERAGE(CG172,CC172)</f>
        <v/>
      </c>
    </row>
    <row r="173">
      <c r="A173" s="410" t="n"/>
      <c r="B173" s="917" t="n"/>
      <c r="C173" s="917" t="n"/>
      <c r="D173" s="917" t="n"/>
      <c r="E173" s="917" t="n"/>
      <c r="F173" s="917" t="n"/>
      <c r="G173" s="917" t="n"/>
      <c r="H173" s="917" t="n"/>
      <c r="I173" s="917" t="n"/>
      <c r="J173" s="917" t="n"/>
      <c r="K173" s="917" t="n"/>
      <c r="L173" s="917" t="n"/>
      <c r="M173" s="917" t="n"/>
    </row>
    <row r="174">
      <c r="A174" s="425" t="inlineStr">
        <is>
          <t>Long-term Assets and Liabilities (in '000 USD)</t>
        </is>
      </c>
    </row>
    <row r="175">
      <c r="G175" s="50" t="n"/>
      <c r="H175" s="50" t="n"/>
      <c r="I175" s="50" t="n"/>
      <c r="J175" s="50" t="n"/>
      <c r="K175" s="50" t="n"/>
      <c r="L175" s="50" t="n"/>
      <c r="M175" s="50" t="n"/>
    </row>
    <row r="176">
      <c r="A176" s="421" t="inlineStr">
        <is>
          <t>Beginning Net PP&amp;E and IA</t>
        </is>
      </c>
      <c r="B176" s="50" t="n"/>
      <c r="C176" s="50" t="n"/>
      <c r="D176" s="50" t="n"/>
      <c r="E176" s="918" t="n"/>
      <c r="F176" s="918" t="n"/>
      <c r="G176" s="918" t="n"/>
      <c r="H176" s="918" t="n"/>
      <c r="I176" s="918" t="n"/>
      <c r="J176" s="918" t="n"/>
      <c r="K176" s="918" t="n"/>
      <c r="L176" s="918" t="n"/>
      <c r="M176" s="918" t="n"/>
      <c r="O176" s="517">
        <f>N180</f>
        <v/>
      </c>
      <c r="P176" s="517">
        <f>O180</f>
        <v/>
      </c>
      <c r="Q176" s="517">
        <f>P180</f>
        <v/>
      </c>
      <c r="R176" s="517">
        <f>Q180</f>
        <v/>
      </c>
      <c r="S176" s="517">
        <f>R180</f>
        <v/>
      </c>
      <c r="T176" s="517">
        <f>S180</f>
        <v/>
      </c>
      <c r="U176" s="517">
        <f>T180</f>
        <v/>
      </c>
      <c r="V176" s="517">
        <f>U180</f>
        <v/>
      </c>
      <c r="W176" s="517">
        <f>V180</f>
        <v/>
      </c>
      <c r="X176" s="517">
        <f>W180</f>
        <v/>
      </c>
      <c r="Y176" s="517">
        <f>X180</f>
        <v/>
      </c>
      <c r="Z176" s="517">
        <f>Y180</f>
        <v/>
      </c>
      <c r="AA176" s="517">
        <f>Z180</f>
        <v/>
      </c>
      <c r="AB176" s="517">
        <f>AA180</f>
        <v/>
      </c>
      <c r="AC176" s="517">
        <f>AB180</f>
        <v/>
      </c>
      <c r="AD176" s="517">
        <f>AC180</f>
        <v/>
      </c>
      <c r="AE176" s="517">
        <f>AD180</f>
        <v/>
      </c>
      <c r="AF176" s="517">
        <f>AE180</f>
        <v/>
      </c>
      <c r="AG176" s="517">
        <f>AF180</f>
        <v/>
      </c>
      <c r="AH176" s="517">
        <f>AG180</f>
        <v/>
      </c>
      <c r="AI176" s="517">
        <f>AH180</f>
        <v/>
      </c>
      <c r="AJ176" s="517">
        <f>AI180</f>
        <v/>
      </c>
      <c r="AK176" s="517">
        <f>AJ180</f>
        <v/>
      </c>
      <c r="AL176" s="517">
        <f>AK180</f>
        <v/>
      </c>
      <c r="AM176" s="517">
        <f>AL180</f>
        <v/>
      </c>
      <c r="AN176" s="517">
        <f>AM180</f>
        <v/>
      </c>
      <c r="AO176" s="517">
        <f>AN180</f>
        <v/>
      </c>
      <c r="AP176" s="517">
        <f>AO180</f>
        <v/>
      </c>
      <c r="AQ176" s="517">
        <f>AP180</f>
        <v/>
      </c>
      <c r="AR176" s="517">
        <f>AQ180</f>
        <v/>
      </c>
      <c r="AS176" s="517">
        <f>AR180</f>
        <v/>
      </c>
      <c r="AT176" s="517">
        <f>AS180</f>
        <v/>
      </c>
      <c r="AU176" s="517">
        <f>AT180</f>
        <v/>
      </c>
      <c r="AV176" s="517">
        <f>AU180</f>
        <v/>
      </c>
      <c r="AW176" s="517">
        <f>AV180</f>
        <v/>
      </c>
      <c r="AX176" s="517">
        <f>AW180</f>
        <v/>
      </c>
      <c r="AY176" s="517">
        <f>AX180</f>
        <v/>
      </c>
      <c r="AZ176" s="517">
        <f>AY180</f>
        <v/>
      </c>
      <c r="BA176" s="517">
        <f>AZ180</f>
        <v/>
      </c>
      <c r="BB176" s="517">
        <f>BA180</f>
        <v/>
      </c>
      <c r="BC176" s="517">
        <f>BB180</f>
        <v/>
      </c>
      <c r="BD176" s="517">
        <f>BC180</f>
        <v/>
      </c>
      <c r="BE176" s="517">
        <f>BD180</f>
        <v/>
      </c>
      <c r="BF176" s="517">
        <f>BE180</f>
        <v/>
      </c>
      <c r="BG176" s="517">
        <f>BF180</f>
        <v/>
      </c>
      <c r="BH176" s="517">
        <f>BG180</f>
        <v/>
      </c>
      <c r="BI176" s="517">
        <f>BH180</f>
        <v/>
      </c>
      <c r="BJ176" s="517">
        <f>BI180</f>
        <v/>
      </c>
      <c r="BK176" s="517">
        <f>BJ180</f>
        <v/>
      </c>
      <c r="BL176" s="517">
        <f>BK180</f>
        <v/>
      </c>
      <c r="BM176" s="517">
        <f>BL180</f>
        <v/>
      </c>
      <c r="BN176" s="517">
        <f>BM180</f>
        <v/>
      </c>
      <c r="BO176" s="517">
        <f>BN180</f>
        <v/>
      </c>
      <c r="BP176" s="517">
        <f>BO180</f>
        <v/>
      </c>
      <c r="BQ176" s="517">
        <f>BP180</f>
        <v/>
      </c>
      <c r="BR176" s="517">
        <f>BQ180</f>
        <v/>
      </c>
      <c r="BS176" s="517">
        <f>BR180</f>
        <v/>
      </c>
      <c r="BT176" s="517">
        <f>BS180</f>
        <v/>
      </c>
      <c r="BU176" s="517">
        <f>BT180</f>
        <v/>
      </c>
      <c r="BV176" s="517">
        <f>BU180</f>
        <v/>
      </c>
      <c r="BW176" s="517">
        <f>BV180</f>
        <v/>
      </c>
      <c r="BX176" s="517">
        <f>BW180</f>
        <v/>
      </c>
      <c r="BY176" s="517">
        <f>BX180</f>
        <v/>
      </c>
      <c r="BZ176" s="517">
        <f>BY180</f>
        <v/>
      </c>
      <c r="CA176" s="517">
        <f>BZ180</f>
        <v/>
      </c>
      <c r="CB176" s="517">
        <f>CA180</f>
        <v/>
      </c>
      <c r="CC176" s="517">
        <f>CB180</f>
        <v/>
      </c>
      <c r="CD176" s="517">
        <f>CC180</f>
        <v/>
      </c>
      <c r="CE176" s="517">
        <f>CD180</f>
        <v/>
      </c>
      <c r="CF176" s="517">
        <f>CE180</f>
        <v/>
      </c>
      <c r="CG176" s="517">
        <f>CF180</f>
        <v/>
      </c>
      <c r="CH176" s="517">
        <f>CG180</f>
        <v/>
      </c>
      <c r="CI176" s="517">
        <f>CH180</f>
        <v/>
      </c>
      <c r="CJ176" s="517">
        <f>CI180</f>
        <v/>
      </c>
      <c r="CK176" s="517">
        <f>CJ180</f>
        <v/>
      </c>
    </row>
    <row r="177">
      <c r="A177" s="419" t="inlineStr">
        <is>
          <t>Capital expenditures on PP&amp;E and IA</t>
        </is>
      </c>
      <c r="B177" s="50" t="n"/>
      <c r="C177" s="50" t="n"/>
      <c r="D177" s="50" t="n"/>
      <c r="E177" s="918" t="n"/>
      <c r="F177" s="918" t="n"/>
      <c r="G177" s="918" t="n"/>
      <c r="H177" s="918" t="n"/>
      <c r="I177" s="918" t="n"/>
      <c r="J177" s="918" t="n"/>
      <c r="K177" s="918" t="n"/>
      <c r="L177" s="918" t="n"/>
      <c r="M177" s="918" t="n"/>
      <c r="N177" s="516">
        <f>-FS_Q!N105</f>
        <v/>
      </c>
      <c r="O177" s="516">
        <f>-FS_Q!O105</f>
        <v/>
      </c>
      <c r="P177" s="516">
        <f>-FS_Q!P105</f>
        <v/>
      </c>
      <c r="Q177" s="516">
        <f>-FS_Q!Q105</f>
        <v/>
      </c>
      <c r="R177" s="516">
        <f>-FS_Q!R105</f>
        <v/>
      </c>
      <c r="S177" s="516">
        <f>-FS_Q!S105</f>
        <v/>
      </c>
      <c r="T177" s="516">
        <f>-FS_Q!T105</f>
        <v/>
      </c>
      <c r="U177" s="516">
        <f>-FS_Q!U105</f>
        <v/>
      </c>
      <c r="V177" s="516">
        <f>-FS_Q!V105</f>
        <v/>
      </c>
      <c r="W177" s="516">
        <f>-FS_Q!W105</f>
        <v/>
      </c>
      <c r="X177" s="516">
        <f>-FS_Q!X105</f>
        <v/>
      </c>
      <c r="Y177" s="516">
        <f>-FS_Q!Y105</f>
        <v/>
      </c>
      <c r="Z177" s="516">
        <f>-FS_Q!Z105</f>
        <v/>
      </c>
      <c r="AA177" s="516">
        <f>-FS_Q!AA105</f>
        <v/>
      </c>
      <c r="AB177" s="516">
        <f>-FS_Q!AB105</f>
        <v/>
      </c>
      <c r="AC177" s="516">
        <f>-FS_Q!AC105</f>
        <v/>
      </c>
      <c r="AD177" s="516">
        <f>-FS_Q!AD105</f>
        <v/>
      </c>
      <c r="AE177" s="516">
        <f>-FS_Q!AE105</f>
        <v/>
      </c>
      <c r="AF177" s="516">
        <f>-FS_Q!AF105</f>
        <v/>
      </c>
      <c r="AG177" s="516">
        <f>-FS_Q!AG105</f>
        <v/>
      </c>
      <c r="AH177" s="516">
        <f>-FS_Q!AH105</f>
        <v/>
      </c>
      <c r="AI177" s="516">
        <f>-FS_Q!AI105</f>
        <v/>
      </c>
      <c r="AJ177" s="516">
        <f>-FS_Q!AJ105</f>
        <v/>
      </c>
      <c r="AK177" s="516">
        <f>-FS_Q!AK105</f>
        <v/>
      </c>
      <c r="AL177" s="516">
        <f>-FS_Q!AL105</f>
        <v/>
      </c>
      <c r="AM177" s="516">
        <f>-FS_Q!AM105</f>
        <v/>
      </c>
      <c r="AN177" s="516">
        <f>-FS_Q!AN105</f>
        <v/>
      </c>
      <c r="AO177" s="516">
        <f>-FS_Q!AO105</f>
        <v/>
      </c>
      <c r="AP177" s="516">
        <f>-FS_Q!AP105</f>
        <v/>
      </c>
      <c r="AQ177" s="516">
        <f>-FS_Q!AQ105</f>
        <v/>
      </c>
      <c r="AR177" s="516">
        <f>-FS_Q!AR105</f>
        <v/>
      </c>
      <c r="AS177" s="516">
        <f>-FS_Q!AS105</f>
        <v/>
      </c>
      <c r="AT177" s="516">
        <f>-FS_Q!AT105</f>
        <v/>
      </c>
      <c r="AU177" s="516">
        <f>-FS_Q!AU105</f>
        <v/>
      </c>
      <c r="AV177" s="516">
        <f>-FS_Q!AV105</f>
        <v/>
      </c>
      <c r="AW177" s="516">
        <f>-FS_Q!AW105</f>
        <v/>
      </c>
      <c r="AX177" s="516">
        <f>-FS_Q!AX105</f>
        <v/>
      </c>
      <c r="AY177" s="516">
        <f>-FS_Q!AY105</f>
        <v/>
      </c>
      <c r="AZ177" s="516">
        <f>-FS_Q!AZ105</f>
        <v/>
      </c>
      <c r="BA177" s="516">
        <f>-FS_Q!BA105</f>
        <v/>
      </c>
      <c r="BB177" s="516">
        <f>-FS_Q!BB105</f>
        <v/>
      </c>
      <c r="BC177" s="516">
        <f>-FS_Q!BC105</f>
        <v/>
      </c>
      <c r="BD177" s="516">
        <f>-FS_Q!BD105</f>
        <v/>
      </c>
      <c r="BE177" s="516">
        <f>-FS_Q!BE105</f>
        <v/>
      </c>
      <c r="BF177" s="516">
        <f>-FS_Q!BF105</f>
        <v/>
      </c>
      <c r="BG177" s="516">
        <f>-FS_Q!BG105</f>
        <v/>
      </c>
      <c r="BH177" s="516">
        <f>-FS_Q!BH105</f>
        <v/>
      </c>
      <c r="BI177" s="516">
        <f>-FS_Q!BI105</f>
        <v/>
      </c>
      <c r="BJ177" s="516">
        <f>-FS_Q!BJ105</f>
        <v/>
      </c>
      <c r="BK177" s="516">
        <f>-FS_Q!BK105</f>
        <v/>
      </c>
      <c r="BL177" s="516">
        <f>-FS_Q!BL105</f>
        <v/>
      </c>
      <c r="BM177" s="516">
        <f>-FS_Q!BM105</f>
        <v/>
      </c>
      <c r="BN177" s="516">
        <f>-FS_Q!BN105</f>
        <v/>
      </c>
      <c r="BO177" s="516">
        <f>-FS_Q!BO105</f>
        <v/>
      </c>
      <c r="BP177" s="516">
        <f>-FS_Q!BP105</f>
        <v/>
      </c>
      <c r="BQ177" s="516">
        <f>-FS_Q!BQ105</f>
        <v/>
      </c>
      <c r="BR177" s="516">
        <f>-FS_Q!BR105</f>
        <v/>
      </c>
      <c r="BS177" s="517">
        <f>BS187</f>
        <v/>
      </c>
      <c r="BT177" s="517">
        <f>BT187</f>
        <v/>
      </c>
      <c r="BU177" s="517">
        <f>BU187</f>
        <v/>
      </c>
      <c r="BV177" s="517">
        <f>BV187</f>
        <v/>
      </c>
      <c r="BW177" s="517">
        <f>BW187</f>
        <v/>
      </c>
      <c r="BX177" s="517">
        <f>BX187</f>
        <v/>
      </c>
      <c r="BY177" s="517">
        <f>BY187</f>
        <v/>
      </c>
      <c r="BZ177" s="517">
        <f>BZ187</f>
        <v/>
      </c>
      <c r="CA177" s="517">
        <f>CA187</f>
        <v/>
      </c>
      <c r="CB177" s="517">
        <f>CB187</f>
        <v/>
      </c>
      <c r="CC177" s="517">
        <f>CC187</f>
        <v/>
      </c>
      <c r="CD177" s="517">
        <f>CD187</f>
        <v/>
      </c>
      <c r="CE177" s="517">
        <f>CE187</f>
        <v/>
      </c>
      <c r="CF177" s="517">
        <f>CF187</f>
        <v/>
      </c>
      <c r="CG177" s="517">
        <f>CG187</f>
        <v/>
      </c>
      <c r="CH177" s="517">
        <f>CH187</f>
        <v/>
      </c>
      <c r="CI177" s="517">
        <f>CI187</f>
        <v/>
      </c>
      <c r="CJ177" s="517">
        <f>CJ187</f>
        <v/>
      </c>
      <c r="CK177" s="517">
        <f>CK187</f>
        <v/>
      </c>
    </row>
    <row r="178">
      <c r="A178" s="419" t="inlineStr">
        <is>
          <t>Depreciation and amortization</t>
        </is>
      </c>
      <c r="B178" s="50" t="n"/>
      <c r="C178" s="50" t="n"/>
      <c r="D178" s="50" t="n"/>
      <c r="E178" s="918" t="n"/>
      <c r="F178" s="918" t="n"/>
      <c r="G178" s="918" t="n"/>
      <c r="H178" s="918" t="n"/>
      <c r="I178" s="918" t="n"/>
      <c r="J178" s="918" t="n"/>
      <c r="K178" s="918" t="n"/>
      <c r="L178" s="918" t="n"/>
      <c r="M178" s="918" t="n"/>
      <c r="N178" s="516">
        <f>FS_Q!N93</f>
        <v/>
      </c>
      <c r="O178" s="516">
        <f>FS_Q!O93</f>
        <v/>
      </c>
      <c r="P178" s="516">
        <f>FS_Q!P93</f>
        <v/>
      </c>
      <c r="Q178" s="516">
        <f>FS_Q!Q93</f>
        <v/>
      </c>
      <c r="R178" s="516">
        <f>FS_Q!R93</f>
        <v/>
      </c>
      <c r="S178" s="516">
        <f>FS_Q!S93</f>
        <v/>
      </c>
      <c r="T178" s="516">
        <f>FS_Q!T93</f>
        <v/>
      </c>
      <c r="U178" s="516">
        <f>FS_Q!U93</f>
        <v/>
      </c>
      <c r="V178" s="516">
        <f>FS_Q!V93</f>
        <v/>
      </c>
      <c r="W178" s="516">
        <f>FS_Q!W93</f>
        <v/>
      </c>
      <c r="X178" s="516">
        <f>FS_Q!X93</f>
        <v/>
      </c>
      <c r="Y178" s="516">
        <f>FS_Q!Y93</f>
        <v/>
      </c>
      <c r="Z178" s="516">
        <f>FS_Q!Z93</f>
        <v/>
      </c>
      <c r="AA178" s="516">
        <f>FS_Q!AA93</f>
        <v/>
      </c>
      <c r="AB178" s="516">
        <f>FS_Q!AB93</f>
        <v/>
      </c>
      <c r="AC178" s="516">
        <f>FS_Q!AC93</f>
        <v/>
      </c>
      <c r="AD178" s="516">
        <f>FS_Q!AD93</f>
        <v/>
      </c>
      <c r="AE178" s="516">
        <f>FS_Q!AE93</f>
        <v/>
      </c>
      <c r="AF178" s="516">
        <f>FS_Q!AF93</f>
        <v/>
      </c>
      <c r="AG178" s="516">
        <f>FS_Q!AG93</f>
        <v/>
      </c>
      <c r="AH178" s="516">
        <f>FS_Q!AH93</f>
        <v/>
      </c>
      <c r="AI178" s="516">
        <f>FS_Q!AI93</f>
        <v/>
      </c>
      <c r="AJ178" s="516">
        <f>FS_Q!AJ93</f>
        <v/>
      </c>
      <c r="AK178" s="516">
        <f>FS_Q!AK93</f>
        <v/>
      </c>
      <c r="AL178" s="516">
        <f>FS_Q!AL93</f>
        <v/>
      </c>
      <c r="AM178" s="516">
        <f>FS_Q!AM93</f>
        <v/>
      </c>
      <c r="AN178" s="516">
        <f>FS_Q!AN93</f>
        <v/>
      </c>
      <c r="AO178" s="516">
        <f>FS_Q!AO93</f>
        <v/>
      </c>
      <c r="AP178" s="516">
        <f>FS_Q!AP93</f>
        <v/>
      </c>
      <c r="AQ178" s="516">
        <f>FS_Q!AQ93</f>
        <v/>
      </c>
      <c r="AR178" s="516">
        <f>FS_Q!AR93</f>
        <v/>
      </c>
      <c r="AS178" s="516">
        <f>FS_Q!AS93</f>
        <v/>
      </c>
      <c r="AT178" s="516">
        <f>FS_Q!AT93</f>
        <v/>
      </c>
      <c r="AU178" s="516">
        <f>FS_Q!AU93</f>
        <v/>
      </c>
      <c r="AV178" s="516">
        <f>FS_Q!AV93</f>
        <v/>
      </c>
      <c r="AW178" s="516">
        <f>FS_Q!AW93</f>
        <v/>
      </c>
      <c r="AX178" s="516">
        <f>FS_Q!AX93</f>
        <v/>
      </c>
      <c r="AY178" s="516">
        <f>FS_Q!AY93</f>
        <v/>
      </c>
      <c r="AZ178" s="516">
        <f>FS_Q!AZ93</f>
        <v/>
      </c>
      <c r="BA178" s="516">
        <f>FS_Q!BA93</f>
        <v/>
      </c>
      <c r="BB178" s="516">
        <f>FS_Q!BB93</f>
        <v/>
      </c>
      <c r="BC178" s="516">
        <f>FS_Q!BC93</f>
        <v/>
      </c>
      <c r="BD178" s="516">
        <f>FS_Q!BD93</f>
        <v/>
      </c>
      <c r="BE178" s="516">
        <f>FS_Q!BE93</f>
        <v/>
      </c>
      <c r="BF178" s="516">
        <f>FS_Q!BF93</f>
        <v/>
      </c>
      <c r="BG178" s="516">
        <f>FS_Q!BG93</f>
        <v/>
      </c>
      <c r="BH178" s="516">
        <f>FS_Q!BH93</f>
        <v/>
      </c>
      <c r="BI178" s="516">
        <f>FS_Q!BI93</f>
        <v/>
      </c>
      <c r="BJ178" s="516">
        <f>FS_Q!BJ93</f>
        <v/>
      </c>
      <c r="BK178" s="516">
        <f>FS_Q!BK93</f>
        <v/>
      </c>
      <c r="BL178" s="516">
        <f>FS_Q!BL93</f>
        <v/>
      </c>
      <c r="BM178" s="516">
        <f>FS_Q!BM93</f>
        <v/>
      </c>
      <c r="BN178" s="516">
        <f>FS_Q!BN93</f>
        <v/>
      </c>
      <c r="BO178" s="516">
        <f>FS_Q!BO93</f>
        <v/>
      </c>
      <c r="BP178" s="516">
        <f>FS_Q!BP93</f>
        <v/>
      </c>
      <c r="BQ178" s="516">
        <f>FS_Q!BQ93</f>
        <v/>
      </c>
      <c r="BR178" s="516">
        <f>FS_Q!BR93</f>
        <v/>
      </c>
      <c r="BS178" s="517">
        <f>BS182</f>
        <v/>
      </c>
      <c r="BT178" s="517">
        <f>BT182</f>
        <v/>
      </c>
      <c r="BU178" s="517">
        <f>BU182</f>
        <v/>
      </c>
      <c r="BV178" s="517">
        <f>BV182</f>
        <v/>
      </c>
      <c r="BW178" s="517">
        <f>BW182</f>
        <v/>
      </c>
      <c r="BX178" s="517">
        <f>BX182</f>
        <v/>
      </c>
      <c r="BY178" s="517">
        <f>BY182</f>
        <v/>
      </c>
      <c r="BZ178" s="517">
        <f>BZ182</f>
        <v/>
      </c>
      <c r="CA178" s="517">
        <f>CA182</f>
        <v/>
      </c>
      <c r="CB178" s="517">
        <f>CB182</f>
        <v/>
      </c>
      <c r="CC178" s="517">
        <f>CC182</f>
        <v/>
      </c>
      <c r="CD178" s="517">
        <f>CD182</f>
        <v/>
      </c>
      <c r="CE178" s="517">
        <f>CE182</f>
        <v/>
      </c>
      <c r="CF178" s="517">
        <f>CF182</f>
        <v/>
      </c>
      <c r="CG178" s="517">
        <f>CG182</f>
        <v/>
      </c>
      <c r="CH178" s="517">
        <f>CH182</f>
        <v/>
      </c>
      <c r="CI178" s="517">
        <f>CI182</f>
        <v/>
      </c>
      <c r="CJ178" s="517">
        <f>CJ182</f>
        <v/>
      </c>
      <c r="CK178" s="517">
        <f>CK182</f>
        <v/>
      </c>
    </row>
    <row r="179">
      <c r="A179" s="420" t="inlineStr">
        <is>
          <t>Adjustments for historical (disposal, M&amp;A etc.)</t>
        </is>
      </c>
      <c r="B179" s="851" t="n"/>
      <c r="C179" s="851" t="n"/>
      <c r="D179" s="851" t="n"/>
      <c r="E179" s="851" t="n"/>
      <c r="F179" s="851" t="n"/>
      <c r="G179" s="851" t="n"/>
      <c r="H179" s="851" t="n"/>
      <c r="I179" s="851" t="n"/>
      <c r="J179" s="851" t="n"/>
      <c r="K179" s="851" t="n"/>
      <c r="L179" s="851" t="n"/>
      <c r="M179" s="851" t="n"/>
      <c r="O179" s="517">
        <f>O180-O176-O177+O178</f>
        <v/>
      </c>
      <c r="P179" s="517">
        <f>P180-P176-P177+P178</f>
        <v/>
      </c>
      <c r="Q179" s="517">
        <f>Q180-Q176-Q177+Q178</f>
        <v/>
      </c>
      <c r="R179" s="517">
        <f>R180-R176-R177+R178</f>
        <v/>
      </c>
      <c r="S179" s="517">
        <f>S180-S176-S177+S178</f>
        <v/>
      </c>
      <c r="T179" s="517">
        <f>T180-T176-T177+T178</f>
        <v/>
      </c>
      <c r="U179" s="517">
        <f>U180-U176-U177+U178</f>
        <v/>
      </c>
      <c r="V179" s="517">
        <f>V180-V176-V177+V178</f>
        <v/>
      </c>
      <c r="W179" s="517">
        <f>W180-W176-W177+W178</f>
        <v/>
      </c>
      <c r="X179" s="517">
        <f>X180-X176-X177+X178</f>
        <v/>
      </c>
      <c r="Y179" s="517">
        <f>Y180-Y176-Y177+Y178</f>
        <v/>
      </c>
      <c r="Z179" s="517">
        <f>Z180-Z176-Z177+Z178</f>
        <v/>
      </c>
      <c r="AA179" s="517">
        <f>AA180-AA176-AA177+AA178</f>
        <v/>
      </c>
      <c r="AB179" s="517">
        <f>AB180-AB176-AB177+AB178</f>
        <v/>
      </c>
      <c r="AC179" s="517">
        <f>AC180-AC176-AC177+AC178</f>
        <v/>
      </c>
      <c r="AD179" s="517">
        <f>AD180-AD176-AD177+AD178</f>
        <v/>
      </c>
      <c r="AE179" s="517">
        <f>AE180-AE176-AE177+AE178</f>
        <v/>
      </c>
      <c r="AF179" s="517">
        <f>AF180-AF176-AF177+AF178</f>
        <v/>
      </c>
      <c r="AG179" s="517">
        <f>AG180-AG176-AG177+AG178</f>
        <v/>
      </c>
      <c r="AH179" s="517">
        <f>AH180-AH176-AH177+AH178</f>
        <v/>
      </c>
      <c r="AI179" s="517">
        <f>AI180-AI176-AI177+AI178</f>
        <v/>
      </c>
      <c r="AJ179" s="517">
        <f>AJ180-AJ176-AJ177+AJ178</f>
        <v/>
      </c>
      <c r="AK179" s="517">
        <f>AK180-AK176-AK177+AK178</f>
        <v/>
      </c>
      <c r="AL179" s="517">
        <f>AL180-AL176-AL177+AL178</f>
        <v/>
      </c>
      <c r="AM179" s="517">
        <f>AM180-AM176-AM177+AM178</f>
        <v/>
      </c>
      <c r="AN179" s="517">
        <f>AN180-AN176-AN177+AN178</f>
        <v/>
      </c>
      <c r="AO179" s="517">
        <f>AO180-AO176-AO177+AO178</f>
        <v/>
      </c>
      <c r="AP179" s="517">
        <f>AP180-AP176-AP177+AP178</f>
        <v/>
      </c>
      <c r="AQ179" s="517">
        <f>AQ180-AQ176-AQ177+AQ178</f>
        <v/>
      </c>
      <c r="AR179" s="517">
        <f>AR180-AR176-AR177+AR178</f>
        <v/>
      </c>
      <c r="AS179" s="517">
        <f>AS180-AS176-AS177+AS178</f>
        <v/>
      </c>
      <c r="AT179" s="517">
        <f>AT180-AT176-AT177+AT178</f>
        <v/>
      </c>
      <c r="AU179" s="517">
        <f>AU180-AU176-AU177+AU178</f>
        <v/>
      </c>
      <c r="AV179" s="517">
        <f>AV180-AV176-AV177+AV178</f>
        <v/>
      </c>
      <c r="AW179" s="517">
        <f>AW180-AW176-AW177+AW178</f>
        <v/>
      </c>
      <c r="AX179" s="517">
        <f>AX180-AX176-AX177+AX178</f>
        <v/>
      </c>
      <c r="AY179" s="517">
        <f>AY180-AY176-AY177+AY178</f>
        <v/>
      </c>
      <c r="AZ179" s="517">
        <f>AZ180-AZ176-AZ177+AZ178</f>
        <v/>
      </c>
      <c r="BA179" s="517">
        <f>BA180-BA176-BA177+BA178</f>
        <v/>
      </c>
      <c r="BB179" s="517">
        <f>BB180-BB176-BB177+BB178</f>
        <v/>
      </c>
      <c r="BC179" s="517">
        <f>BC180-BC176-BC177+BC178</f>
        <v/>
      </c>
      <c r="BD179" s="517">
        <f>BD180-BD176-BD177+BD178</f>
        <v/>
      </c>
      <c r="BE179" s="517">
        <f>BE180-BE176-BE177+BE178</f>
        <v/>
      </c>
      <c r="BF179" s="517">
        <f>BF180-BF176-BF177+BF178</f>
        <v/>
      </c>
      <c r="BG179" s="517">
        <f>BG180-BG176-BG177+BG178</f>
        <v/>
      </c>
      <c r="BH179" s="517">
        <f>BH180-BH176-BH177+BH178</f>
        <v/>
      </c>
      <c r="BI179" s="517">
        <f>BI180-BI176-BI177+BI178</f>
        <v/>
      </c>
      <c r="BJ179" s="517">
        <f>BJ180-BJ176-BJ177+BJ178</f>
        <v/>
      </c>
      <c r="BK179" s="517">
        <f>BK180-BK176-BK177+BK178</f>
        <v/>
      </c>
      <c r="BL179" s="517">
        <f>BL180-BL176-BL177+BL178</f>
        <v/>
      </c>
      <c r="BM179" s="517">
        <f>BM180-BM176-BM177+BM178</f>
        <v/>
      </c>
      <c r="BN179" s="517">
        <f>BN180-BN176-BN177+BN178</f>
        <v/>
      </c>
      <c r="BO179" s="517">
        <f>BO180-BO176-BO177+BO178</f>
        <v/>
      </c>
      <c r="BP179" s="517">
        <f>BP180-BP176-BP177+BP178</f>
        <v/>
      </c>
      <c r="BQ179" s="517">
        <f>BQ180-BQ176-BQ177+BQ178</f>
        <v/>
      </c>
      <c r="BR179" s="517">
        <f>BR180-BR176-BR177+BR178</f>
        <v/>
      </c>
      <c r="BS179" s="515" t="n"/>
      <c r="BT179" s="515" t="n"/>
      <c r="BU179" s="515" t="n"/>
      <c r="BV179" s="515" t="n"/>
      <c r="BW179" s="515" t="n"/>
      <c r="BX179" s="515" t="n"/>
      <c r="BY179" s="515" t="n"/>
      <c r="BZ179" s="515" t="n"/>
      <c r="CA179" s="515" t="n"/>
      <c r="CB179" s="515" t="n"/>
      <c r="CC179" s="515" t="n"/>
      <c r="CD179" s="515" t="n"/>
      <c r="CE179" s="515" t="n"/>
      <c r="CF179" s="515" t="n"/>
      <c r="CG179" s="515" t="n"/>
      <c r="CH179" s="515" t="n"/>
      <c r="CI179" s="515" t="n"/>
      <c r="CJ179" s="515" t="n"/>
      <c r="CK179" s="515" t="n"/>
    </row>
    <row r="180">
      <c r="A180" s="421" t="inlineStr">
        <is>
          <t>Ending Net PP&amp;E and IA</t>
        </is>
      </c>
      <c r="B180" s="926" t="n"/>
      <c r="C180" s="926" t="n"/>
      <c r="D180" s="926" t="n"/>
      <c r="E180" s="926" t="n"/>
      <c r="F180" s="926" t="n"/>
      <c r="G180" s="926" t="n"/>
      <c r="H180" s="926" t="n"/>
      <c r="I180" s="926" t="n"/>
      <c r="J180" s="926" t="n"/>
      <c r="K180" s="926" t="n"/>
      <c r="L180" s="926" t="n"/>
      <c r="M180" s="926" t="n"/>
      <c r="N180" s="516">
        <f>FS_Q!N54</f>
        <v/>
      </c>
      <c r="O180" s="516">
        <f>FS_Q!O54</f>
        <v/>
      </c>
      <c r="P180" s="516">
        <f>FS_Q!P54</f>
        <v/>
      </c>
      <c r="Q180" s="516">
        <f>FS_Q!Q54</f>
        <v/>
      </c>
      <c r="R180" s="516">
        <f>FS_Q!R54</f>
        <v/>
      </c>
      <c r="S180" s="516">
        <f>FS_Q!S54</f>
        <v/>
      </c>
      <c r="T180" s="516">
        <f>FS_Q!T54</f>
        <v/>
      </c>
      <c r="U180" s="516">
        <f>FS_Q!U54</f>
        <v/>
      </c>
      <c r="V180" s="516">
        <f>FS_Q!V54</f>
        <v/>
      </c>
      <c r="W180" s="516">
        <f>FS_Q!W54</f>
        <v/>
      </c>
      <c r="X180" s="516">
        <f>FS_Q!X54</f>
        <v/>
      </c>
      <c r="Y180" s="516">
        <f>FS_Q!Y54</f>
        <v/>
      </c>
      <c r="Z180" s="516">
        <f>FS_Q!Z54</f>
        <v/>
      </c>
      <c r="AA180" s="516">
        <f>FS_Q!AA54</f>
        <v/>
      </c>
      <c r="AB180" s="516">
        <f>FS_Q!AB54</f>
        <v/>
      </c>
      <c r="AC180" s="516">
        <f>FS_Q!AC54</f>
        <v/>
      </c>
      <c r="AD180" s="516">
        <f>FS_Q!AD54</f>
        <v/>
      </c>
      <c r="AE180" s="516">
        <f>FS_Q!AE54</f>
        <v/>
      </c>
      <c r="AF180" s="516">
        <f>FS_Q!AF54</f>
        <v/>
      </c>
      <c r="AG180" s="516">
        <f>FS_Q!AG54</f>
        <v/>
      </c>
      <c r="AH180" s="516">
        <f>FS_Q!AH54</f>
        <v/>
      </c>
      <c r="AI180" s="516">
        <f>FS_Q!AI54</f>
        <v/>
      </c>
      <c r="AJ180" s="516">
        <f>FS_Q!AJ54</f>
        <v/>
      </c>
      <c r="AK180" s="516">
        <f>FS_Q!AK54</f>
        <v/>
      </c>
      <c r="AL180" s="516">
        <f>FS_Q!AL54</f>
        <v/>
      </c>
      <c r="AM180" s="516">
        <f>FS_Q!AM54</f>
        <v/>
      </c>
      <c r="AN180" s="516">
        <f>FS_Q!AN54</f>
        <v/>
      </c>
      <c r="AO180" s="516">
        <f>FS_Q!AO54</f>
        <v/>
      </c>
      <c r="AP180" s="516">
        <f>FS_Q!AP54</f>
        <v/>
      </c>
      <c r="AQ180" s="516">
        <f>FS_Q!AQ54</f>
        <v/>
      </c>
      <c r="AR180" s="516">
        <f>FS_Q!AR54</f>
        <v/>
      </c>
      <c r="AS180" s="516">
        <f>FS_Q!AS54</f>
        <v/>
      </c>
      <c r="AT180" s="516">
        <f>FS_Q!AT54</f>
        <v/>
      </c>
      <c r="AU180" s="516">
        <f>FS_Q!AU54</f>
        <v/>
      </c>
      <c r="AV180" s="516">
        <f>FS_Q!AV54</f>
        <v/>
      </c>
      <c r="AW180" s="516">
        <f>FS_Q!AW54</f>
        <v/>
      </c>
      <c r="AX180" s="516">
        <f>FS_Q!AX54</f>
        <v/>
      </c>
      <c r="AY180" s="516">
        <f>FS_Q!AY54</f>
        <v/>
      </c>
      <c r="AZ180" s="516">
        <f>FS_Q!AZ54</f>
        <v/>
      </c>
      <c r="BA180" s="516">
        <f>FS_Q!BA54</f>
        <v/>
      </c>
      <c r="BB180" s="516">
        <f>FS_Q!BB54</f>
        <v/>
      </c>
      <c r="BC180" s="516">
        <f>FS_Q!BC54</f>
        <v/>
      </c>
      <c r="BD180" s="516">
        <f>FS_Q!BD54</f>
        <v/>
      </c>
      <c r="BE180" s="516">
        <f>FS_Q!BE54</f>
        <v/>
      </c>
      <c r="BF180" s="516">
        <f>FS_Q!BF54</f>
        <v/>
      </c>
      <c r="BG180" s="516">
        <f>FS_Q!BG54</f>
        <v/>
      </c>
      <c r="BH180" s="516">
        <f>FS_Q!BH54</f>
        <v/>
      </c>
      <c r="BI180" s="516">
        <f>FS_Q!BI54</f>
        <v/>
      </c>
      <c r="BJ180" s="516">
        <f>FS_Q!BJ54</f>
        <v/>
      </c>
      <c r="BK180" s="516">
        <f>FS_Q!BK54</f>
        <v/>
      </c>
      <c r="BL180" s="516">
        <f>FS_Q!BL54</f>
        <v/>
      </c>
      <c r="BM180" s="516">
        <f>FS_Q!BM54</f>
        <v/>
      </c>
      <c r="BN180" s="516">
        <f>FS_Q!BN54</f>
        <v/>
      </c>
      <c r="BO180" s="516">
        <f>FS_Q!BO54</f>
        <v/>
      </c>
      <c r="BP180" s="516">
        <f>FS_Q!BP54</f>
        <v/>
      </c>
      <c r="BQ180" s="516">
        <f>FS_Q!BQ54</f>
        <v/>
      </c>
      <c r="BR180" s="516">
        <f>FS_Q!BR54</f>
        <v/>
      </c>
      <c r="BS180" s="517">
        <f>BS176+BS177-BS178</f>
        <v/>
      </c>
      <c r="BT180" s="517">
        <f>BT176+BT177-BT178</f>
        <v/>
      </c>
      <c r="BU180" s="517">
        <f>BU176+BU177-BU178</f>
        <v/>
      </c>
      <c r="BV180" s="517">
        <f>BV176+BV177-BV178</f>
        <v/>
      </c>
      <c r="BW180" s="517">
        <f>BW176+BW177-BW178</f>
        <v/>
      </c>
      <c r="BX180" s="517">
        <f>BX176+BX177-BX178</f>
        <v/>
      </c>
      <c r="BY180" s="517">
        <f>BY176+BY177-BY178</f>
        <v/>
      </c>
      <c r="BZ180" s="517">
        <f>BZ176+BZ177-BZ178</f>
        <v/>
      </c>
      <c r="CA180" s="517">
        <f>CA176+CA177-CA178</f>
        <v/>
      </c>
      <c r="CB180" s="517">
        <f>CB176+CB177-CB178</f>
        <v/>
      </c>
      <c r="CC180" s="517">
        <f>CC176+CC177-CC178</f>
        <v/>
      </c>
      <c r="CD180" s="517">
        <f>CD176+CD177-CD178</f>
        <v/>
      </c>
      <c r="CE180" s="517">
        <f>CE176+CE177-CE178</f>
        <v/>
      </c>
      <c r="CF180" s="517">
        <f>CF176+CF177-CF178</f>
        <v/>
      </c>
      <c r="CG180" s="517">
        <f>CG176+CG177-CG178</f>
        <v/>
      </c>
      <c r="CH180" s="517">
        <f>CH176+CH177-CH178</f>
        <v/>
      </c>
      <c r="CI180" s="517">
        <f>CI176+CI177-CI178</f>
        <v/>
      </c>
      <c r="CJ180" s="517">
        <f>CJ176+CJ177-CJ178</f>
        <v/>
      </c>
      <c r="CK180" s="517">
        <f>CK176+CK177-CK178</f>
        <v/>
      </c>
    </row>
    <row r="181">
      <c r="B181" s="50" t="n"/>
      <c r="C181" s="50" t="n"/>
      <c r="D181" s="50" t="n"/>
      <c r="E181" s="50" t="n"/>
      <c r="F181" s="50" t="n"/>
      <c r="G181" s="50" t="n"/>
      <c r="H181" s="50" t="n"/>
      <c r="I181" s="50" t="n"/>
      <c r="J181" s="50" t="n"/>
      <c r="K181" s="50" t="n"/>
      <c r="L181" s="50" t="n"/>
      <c r="M181" s="50" t="n"/>
    </row>
    <row r="182">
      <c r="A182" s="415" t="inlineStr">
        <is>
          <t>D&amp;A - Reported</t>
        </is>
      </c>
      <c r="B182" s="851" t="n"/>
      <c r="C182" s="851" t="n"/>
      <c r="D182" s="851" t="n"/>
      <c r="E182" s="851" t="n"/>
      <c r="F182" s="851" t="n"/>
      <c r="G182" s="851" t="n"/>
      <c r="H182" s="851" t="n"/>
      <c r="I182" s="851" t="n"/>
      <c r="J182" s="851" t="n"/>
      <c r="K182" s="851" t="n"/>
      <c r="L182" s="851" t="n"/>
      <c r="M182" s="851" t="n"/>
      <c r="N182" s="516">
        <f>FS_Q!N93</f>
        <v/>
      </c>
      <c r="O182" s="516">
        <f>FS_Q!O93</f>
        <v/>
      </c>
      <c r="P182" s="516">
        <f>FS_Q!P93</f>
        <v/>
      </c>
      <c r="Q182" s="516">
        <f>FS_Q!Q93</f>
        <v/>
      </c>
      <c r="R182" s="516">
        <f>FS_Q!R93</f>
        <v/>
      </c>
      <c r="S182" s="516">
        <f>FS_Q!S93</f>
        <v/>
      </c>
      <c r="T182" s="516">
        <f>FS_Q!T93</f>
        <v/>
      </c>
      <c r="U182" s="516">
        <f>FS_Q!U93</f>
        <v/>
      </c>
      <c r="V182" s="516">
        <f>FS_Q!V93</f>
        <v/>
      </c>
      <c r="W182" s="516">
        <f>FS_Q!W93</f>
        <v/>
      </c>
      <c r="X182" s="516">
        <f>FS_Q!X93</f>
        <v/>
      </c>
      <c r="Y182" s="516">
        <f>FS_Q!Y93</f>
        <v/>
      </c>
      <c r="Z182" s="516">
        <f>FS_Q!Z93</f>
        <v/>
      </c>
      <c r="AA182" s="516">
        <f>FS_Q!AA93</f>
        <v/>
      </c>
      <c r="AB182" s="516">
        <f>FS_Q!AB93</f>
        <v/>
      </c>
      <c r="AC182" s="516">
        <f>FS_Q!AC93</f>
        <v/>
      </c>
      <c r="AD182" s="516">
        <f>FS_Q!AD93</f>
        <v/>
      </c>
      <c r="AE182" s="516">
        <f>FS_Q!AE93</f>
        <v/>
      </c>
      <c r="AF182" s="516">
        <f>FS_Q!AF93</f>
        <v/>
      </c>
      <c r="AG182" s="516">
        <f>FS_Q!AG93</f>
        <v/>
      </c>
      <c r="AH182" s="516">
        <f>FS_Q!AH93</f>
        <v/>
      </c>
      <c r="AI182" s="516">
        <f>FS_Q!AI93</f>
        <v/>
      </c>
      <c r="AJ182" s="516">
        <f>FS_Q!AJ93</f>
        <v/>
      </c>
      <c r="AK182" s="516">
        <f>FS_Q!AK93</f>
        <v/>
      </c>
      <c r="AL182" s="516">
        <f>FS_Q!AL93</f>
        <v/>
      </c>
      <c r="AM182" s="516">
        <f>FS_Q!AM93</f>
        <v/>
      </c>
      <c r="AN182" s="516">
        <f>FS_Q!AN93</f>
        <v/>
      </c>
      <c r="AO182" s="516">
        <f>FS_Q!AO93</f>
        <v/>
      </c>
      <c r="AP182" s="516">
        <f>FS_Q!AP93</f>
        <v/>
      </c>
      <c r="AQ182" s="516">
        <f>FS_Q!AQ93</f>
        <v/>
      </c>
      <c r="AR182" s="516">
        <f>FS_Q!AR93</f>
        <v/>
      </c>
      <c r="AS182" s="516">
        <f>FS_Q!AS93</f>
        <v/>
      </c>
      <c r="AT182" s="516">
        <f>FS_Q!AT93</f>
        <v/>
      </c>
      <c r="AU182" s="516">
        <f>FS_Q!AU93</f>
        <v/>
      </c>
      <c r="AV182" s="516">
        <f>FS_Q!AV93</f>
        <v/>
      </c>
      <c r="AW182" s="516">
        <f>FS_Q!AW93</f>
        <v/>
      </c>
      <c r="AX182" s="516">
        <f>FS_Q!AX93</f>
        <v/>
      </c>
      <c r="AY182" s="516">
        <f>FS_Q!AY93</f>
        <v/>
      </c>
      <c r="AZ182" s="516">
        <f>FS_Q!AZ93</f>
        <v/>
      </c>
      <c r="BA182" s="516">
        <f>FS_Q!BA93</f>
        <v/>
      </c>
      <c r="BB182" s="516">
        <f>FS_Q!BB93</f>
        <v/>
      </c>
      <c r="BC182" s="516">
        <f>FS_Q!BC93</f>
        <v/>
      </c>
      <c r="BD182" s="516">
        <f>FS_Q!BD93</f>
        <v/>
      </c>
      <c r="BE182" s="516">
        <f>FS_Q!BE93</f>
        <v/>
      </c>
      <c r="BF182" s="516">
        <f>FS_Q!BF93</f>
        <v/>
      </c>
      <c r="BG182" s="516">
        <f>FS_Q!BG93</f>
        <v/>
      </c>
      <c r="BH182" s="516">
        <f>FS_Q!BH93</f>
        <v/>
      </c>
      <c r="BI182" s="516">
        <f>FS_Q!BI93</f>
        <v/>
      </c>
      <c r="BJ182" s="516">
        <f>FS_Q!BJ93</f>
        <v/>
      </c>
      <c r="BK182" s="516">
        <f>FS_Q!BK93</f>
        <v/>
      </c>
      <c r="BL182" s="516">
        <f>FS_Q!BL93</f>
        <v/>
      </c>
      <c r="BM182" s="516">
        <f>FS_Q!BM93</f>
        <v/>
      </c>
      <c r="BN182" s="516">
        <f>FS_Q!BN93</f>
        <v/>
      </c>
      <c r="BO182" s="516">
        <f>FS_Q!BO93</f>
        <v/>
      </c>
      <c r="BP182" s="516">
        <f>FS_Q!BP93</f>
        <v/>
      </c>
      <c r="BQ182" s="516">
        <f>FS_Q!BQ93</f>
        <v/>
      </c>
      <c r="BR182" s="516">
        <f>FS_Q!BR93</f>
        <v/>
      </c>
      <c r="BS182" s="517">
        <f>BS176*BS183</f>
        <v/>
      </c>
      <c r="BT182" s="517">
        <f>BT176*BT183</f>
        <v/>
      </c>
      <c r="BU182" s="517">
        <f>BU176*BU183</f>
        <v/>
      </c>
      <c r="BV182" s="517">
        <f>BV176*BV183</f>
        <v/>
      </c>
      <c r="BW182" s="517">
        <f>BW176*BW183</f>
        <v/>
      </c>
      <c r="BX182" s="517">
        <f>BX176*BX183</f>
        <v/>
      </c>
      <c r="BY182" s="517">
        <f>BY176*BY183</f>
        <v/>
      </c>
      <c r="BZ182" s="517">
        <f>BZ176*BZ183</f>
        <v/>
      </c>
      <c r="CA182" s="517">
        <f>CA176*CA183</f>
        <v/>
      </c>
      <c r="CB182" s="517">
        <f>CB176*CB183</f>
        <v/>
      </c>
      <c r="CC182" s="517">
        <f>CC176*CC183</f>
        <v/>
      </c>
      <c r="CD182" s="517">
        <f>CD176*CD183</f>
        <v/>
      </c>
      <c r="CE182" s="517">
        <f>CE176*CE183</f>
        <v/>
      </c>
      <c r="CF182" s="517">
        <f>CF176*CF183</f>
        <v/>
      </c>
      <c r="CG182" s="517">
        <f>CG176*CG183</f>
        <v/>
      </c>
      <c r="CH182" s="517">
        <f>CH176*CH183</f>
        <v/>
      </c>
      <c r="CI182" s="517">
        <f>CI176*CI183</f>
        <v/>
      </c>
      <c r="CJ182" s="517">
        <f>CJ176*CJ183</f>
        <v/>
      </c>
      <c r="CK182" s="517">
        <f>CK176*CK183</f>
        <v/>
      </c>
    </row>
    <row r="183">
      <c r="A183" s="415" t="inlineStr">
        <is>
          <t>D&amp;A as % of PP&amp;E and IA</t>
        </is>
      </c>
      <c r="B183" s="890" t="n"/>
      <c r="C183" s="890" t="n"/>
      <c r="D183" s="890" t="n"/>
      <c r="E183" s="890" t="n"/>
      <c r="F183" s="890" t="n"/>
      <c r="G183" s="890" t="n"/>
      <c r="H183" s="890" t="n"/>
      <c r="I183" s="890" t="n"/>
      <c r="J183" s="890" t="n"/>
      <c r="K183" s="890" t="n"/>
      <c r="L183" s="890" t="n"/>
      <c r="M183" s="890" t="n"/>
      <c r="O183" s="908">
        <f>O182/O176</f>
        <v/>
      </c>
      <c r="P183" s="908">
        <f>P182/P176</f>
        <v/>
      </c>
      <c r="Q183" s="908">
        <f>Q182/Q176</f>
        <v/>
      </c>
      <c r="R183" s="908">
        <f>R182/R176</f>
        <v/>
      </c>
      <c r="S183" s="908">
        <f>S182/S176</f>
        <v/>
      </c>
      <c r="T183" s="908">
        <f>T182/T176</f>
        <v/>
      </c>
      <c r="U183" s="908">
        <f>U182/U176</f>
        <v/>
      </c>
      <c r="V183" s="908">
        <f>V182/V176</f>
        <v/>
      </c>
      <c r="W183" s="908">
        <f>W182/W176</f>
        <v/>
      </c>
      <c r="X183" s="908">
        <f>X182/X176</f>
        <v/>
      </c>
      <c r="Y183" s="908">
        <f>Y182/Y176</f>
        <v/>
      </c>
      <c r="Z183" s="908">
        <f>Z182/Z176</f>
        <v/>
      </c>
      <c r="AA183" s="908">
        <f>AA182/AA176</f>
        <v/>
      </c>
      <c r="AB183" s="908">
        <f>AB182/AB176</f>
        <v/>
      </c>
      <c r="AC183" s="908">
        <f>AC182/AC176</f>
        <v/>
      </c>
      <c r="AD183" s="908">
        <f>AD182/AD176</f>
        <v/>
      </c>
      <c r="AE183" s="908">
        <f>AE182/AE176</f>
        <v/>
      </c>
      <c r="AF183" s="908">
        <f>AF182/AF176</f>
        <v/>
      </c>
      <c r="AG183" s="908">
        <f>AG182/AG176</f>
        <v/>
      </c>
      <c r="AH183" s="908">
        <f>AH182/AH176</f>
        <v/>
      </c>
      <c r="AI183" s="908">
        <f>AI182/AI176</f>
        <v/>
      </c>
      <c r="AJ183" s="908">
        <f>AJ182/AJ176</f>
        <v/>
      </c>
      <c r="AK183" s="908">
        <f>AK182/AK176</f>
        <v/>
      </c>
      <c r="AL183" s="908">
        <f>AL182/AL176</f>
        <v/>
      </c>
      <c r="AM183" s="908">
        <f>AM182/AM176</f>
        <v/>
      </c>
      <c r="AN183" s="908">
        <f>AN182/AN176</f>
        <v/>
      </c>
      <c r="AO183" s="908">
        <f>AO182/AO176</f>
        <v/>
      </c>
      <c r="AP183" s="908">
        <f>AP182/AP176</f>
        <v/>
      </c>
      <c r="AQ183" s="908">
        <f>AQ182/AQ176</f>
        <v/>
      </c>
      <c r="AR183" s="908">
        <f>AR182/AR176</f>
        <v/>
      </c>
      <c r="AS183" s="908">
        <f>AS182/AS176</f>
        <v/>
      </c>
      <c r="AT183" s="908">
        <f>AT182/AT176</f>
        <v/>
      </c>
      <c r="AU183" s="908">
        <f>AU182/AU176</f>
        <v/>
      </c>
      <c r="AV183" s="908">
        <f>AV182/AV176</f>
        <v/>
      </c>
      <c r="AW183" s="908">
        <f>AW182/AW176</f>
        <v/>
      </c>
      <c r="AX183" s="908">
        <f>AX182/AX176</f>
        <v/>
      </c>
      <c r="AY183" s="908">
        <f>AY182/AY176</f>
        <v/>
      </c>
      <c r="AZ183" s="908">
        <f>AZ182/AZ176</f>
        <v/>
      </c>
      <c r="BA183" s="908">
        <f>BA182/BA176</f>
        <v/>
      </c>
      <c r="BB183" s="908">
        <f>BB182/BB176</f>
        <v/>
      </c>
      <c r="BC183" s="908">
        <f>BC182/BC176</f>
        <v/>
      </c>
      <c r="BD183" s="908">
        <f>BD182/BD176</f>
        <v/>
      </c>
      <c r="BE183" s="908">
        <f>BE182/BE176</f>
        <v/>
      </c>
      <c r="BF183" s="908">
        <f>BF182/BF176</f>
        <v/>
      </c>
      <c r="BG183" s="908">
        <f>BG182/BG176</f>
        <v/>
      </c>
      <c r="BH183" s="908">
        <f>BH182/BH176</f>
        <v/>
      </c>
      <c r="BI183" s="908">
        <f>BI182/BI176</f>
        <v/>
      </c>
      <c r="BJ183" s="908">
        <f>BJ182/BJ176</f>
        <v/>
      </c>
      <c r="BK183" s="908">
        <f>BK182/BK176</f>
        <v/>
      </c>
      <c r="BL183" s="908">
        <f>BL182/BL176</f>
        <v/>
      </c>
      <c r="BM183" s="908">
        <f>BM182/BM176</f>
        <v/>
      </c>
      <c r="BN183" s="908">
        <f>BN182/BN176</f>
        <v/>
      </c>
      <c r="BO183" s="908">
        <f>BO182/BO176</f>
        <v/>
      </c>
      <c r="BP183" s="908">
        <f>BP182/BP176</f>
        <v/>
      </c>
      <c r="BQ183" s="908">
        <f>BQ182/BQ176</f>
        <v/>
      </c>
      <c r="BR183" s="908">
        <f>BR182/BR176</f>
        <v/>
      </c>
      <c r="BS183" s="909">
        <f>AVERAGE(BO183,BK183,BG183)</f>
        <v/>
      </c>
      <c r="BT183" s="909">
        <f>AVERAGE(BP183,BL183,BH183)</f>
        <v/>
      </c>
      <c r="BU183" s="909">
        <f>AVERAGE(BQ183,BM183,BI183)</f>
        <v/>
      </c>
      <c r="BV183" s="909">
        <f>AVERAGE(BR183,BN183,BJ183)</f>
        <v/>
      </c>
      <c r="BW183" s="909">
        <f>AVERAGE(BS183,BO183,BK183)</f>
        <v/>
      </c>
      <c r="BX183" s="909">
        <f>AVERAGE(BT183,BP183,BL183)</f>
        <v/>
      </c>
      <c r="BY183" s="909">
        <f>AVERAGE(BU183,BQ183,BM183)</f>
        <v/>
      </c>
      <c r="BZ183" s="909">
        <f>AVERAGE(BV183,BR183,BN183)</f>
        <v/>
      </c>
      <c r="CA183" s="909">
        <f>AVERAGE(BW183,BS183,BO183)</f>
        <v/>
      </c>
      <c r="CB183" s="909">
        <f>AVERAGE(BX183,BT183,BP183)</f>
        <v/>
      </c>
      <c r="CC183" s="909">
        <f>AVERAGE(BY183,BU183,BQ183)</f>
        <v/>
      </c>
      <c r="CD183" s="909">
        <f>AVERAGE(BZ183,BV183,BR183)</f>
        <v/>
      </c>
      <c r="CE183" s="909">
        <f>AVERAGE(CA183,BW183,BS183)</f>
        <v/>
      </c>
      <c r="CF183" s="909">
        <f>AVERAGE(CB183,BX183,BT183)</f>
        <v/>
      </c>
      <c r="CG183" s="909">
        <f>AVERAGE(CC183,BY183,BU183)</f>
        <v/>
      </c>
      <c r="CH183" s="909">
        <f>AVERAGE(CD183,BZ183,BV183)</f>
        <v/>
      </c>
      <c r="CI183" s="909">
        <f>AVERAGE(CE183,CA183,BW183)</f>
        <v/>
      </c>
      <c r="CJ183" s="909">
        <f>AVERAGE(CF183,CB183,BX183)</f>
        <v/>
      </c>
      <c r="CK183" s="909">
        <f>AVERAGE(CG183,CC183,BY183)</f>
        <v/>
      </c>
    </row>
    <row r="184">
      <c r="A184" s="415" t="inlineStr">
        <is>
          <t>D&amp;A as % of CAPEX</t>
        </is>
      </c>
      <c r="B184" s="883" t="n"/>
      <c r="C184" s="883" t="n"/>
      <c r="D184" s="883" t="n"/>
      <c r="E184" s="883" t="n"/>
      <c r="F184" s="883" t="n"/>
      <c r="G184" s="883" t="n"/>
      <c r="H184" s="883" t="n"/>
      <c r="I184" s="883" t="n"/>
      <c r="J184" s="883" t="n"/>
      <c r="K184" s="883" t="n"/>
      <c r="L184" s="883" t="n"/>
      <c r="M184" s="883" t="n"/>
      <c r="O184" s="908">
        <f>O182/O177</f>
        <v/>
      </c>
      <c r="P184" s="908">
        <f>P182/P177</f>
        <v/>
      </c>
      <c r="Q184" s="908">
        <f>Q182/Q177</f>
        <v/>
      </c>
      <c r="R184" s="908">
        <f>R182/R177</f>
        <v/>
      </c>
      <c r="S184" s="908">
        <f>S182/S177</f>
        <v/>
      </c>
      <c r="T184" s="908">
        <f>T182/T177</f>
        <v/>
      </c>
      <c r="U184" s="908">
        <f>U182/U177</f>
        <v/>
      </c>
      <c r="V184" s="908">
        <f>V182/V177</f>
        <v/>
      </c>
      <c r="W184" s="908">
        <f>W182/W177</f>
        <v/>
      </c>
      <c r="X184" s="908">
        <f>X182/X177</f>
        <v/>
      </c>
      <c r="Y184" s="908">
        <f>Y182/Y177</f>
        <v/>
      </c>
      <c r="Z184" s="908">
        <f>Z182/Z177</f>
        <v/>
      </c>
      <c r="AA184" s="908">
        <f>AA182/AA177</f>
        <v/>
      </c>
      <c r="AB184" s="908">
        <f>AB182/AB177</f>
        <v/>
      </c>
      <c r="AC184" s="908">
        <f>AC182/AC177</f>
        <v/>
      </c>
      <c r="AD184" s="908">
        <f>AD182/AD177</f>
        <v/>
      </c>
      <c r="AE184" s="908">
        <f>AE182/AE177</f>
        <v/>
      </c>
      <c r="AF184" s="908">
        <f>AF182/AF177</f>
        <v/>
      </c>
      <c r="AG184" s="908">
        <f>AG182/AG177</f>
        <v/>
      </c>
      <c r="AH184" s="908">
        <f>AH182/AH177</f>
        <v/>
      </c>
      <c r="AI184" s="908">
        <f>AI182/AI177</f>
        <v/>
      </c>
      <c r="AJ184" s="908">
        <f>AJ182/AJ177</f>
        <v/>
      </c>
      <c r="AK184" s="908">
        <f>AK182/AK177</f>
        <v/>
      </c>
      <c r="AL184" s="908">
        <f>AL182/AL177</f>
        <v/>
      </c>
      <c r="AM184" s="908">
        <f>AM182/AM177</f>
        <v/>
      </c>
      <c r="AN184" s="908">
        <f>AN182/AN177</f>
        <v/>
      </c>
      <c r="AO184" s="908">
        <f>AO182/AO177</f>
        <v/>
      </c>
      <c r="AP184" s="908">
        <f>AP182/AP177</f>
        <v/>
      </c>
      <c r="AQ184" s="908">
        <f>AQ182/AQ177</f>
        <v/>
      </c>
      <c r="AR184" s="908">
        <f>AR182/AR177</f>
        <v/>
      </c>
      <c r="AS184" s="908">
        <f>AS182/AS177</f>
        <v/>
      </c>
      <c r="AT184" s="908">
        <f>AT182/AT177</f>
        <v/>
      </c>
      <c r="AU184" s="908">
        <f>AU182/AU177</f>
        <v/>
      </c>
      <c r="AV184" s="908">
        <f>AV182/AV177</f>
        <v/>
      </c>
      <c r="AW184" s="908">
        <f>AW182/AW177</f>
        <v/>
      </c>
      <c r="AX184" s="908">
        <f>AX182/AX177</f>
        <v/>
      </c>
      <c r="AY184" s="908">
        <f>AY182/AY177</f>
        <v/>
      </c>
      <c r="AZ184" s="908">
        <f>AZ182/AZ177</f>
        <v/>
      </c>
      <c r="BA184" s="908">
        <f>BA182/BA177</f>
        <v/>
      </c>
      <c r="BB184" s="908">
        <f>BB182/BB177</f>
        <v/>
      </c>
      <c r="BC184" s="908">
        <f>BC182/BC177</f>
        <v/>
      </c>
      <c r="BD184" s="908">
        <f>BD182/BD177</f>
        <v/>
      </c>
      <c r="BE184" s="908">
        <f>BE182/BE177</f>
        <v/>
      </c>
      <c r="BF184" s="908">
        <f>BF182/BF177</f>
        <v/>
      </c>
      <c r="BG184" s="908">
        <f>BG182/BG177</f>
        <v/>
      </c>
      <c r="BH184" s="908">
        <f>BH182/BH177</f>
        <v/>
      </c>
      <c r="BI184" s="908">
        <f>BI182/BI177</f>
        <v/>
      </c>
      <c r="BJ184" s="908">
        <f>BJ182/BJ177</f>
        <v/>
      </c>
      <c r="BK184" s="908">
        <f>BK182/BK177</f>
        <v/>
      </c>
      <c r="BL184" s="908">
        <f>BL182/BL177</f>
        <v/>
      </c>
      <c r="BM184" s="908">
        <f>BM182/BM177</f>
        <v/>
      </c>
      <c r="BN184" s="908">
        <f>BN182/BN177</f>
        <v/>
      </c>
      <c r="BO184" s="908">
        <f>BO182/BO177</f>
        <v/>
      </c>
      <c r="BP184" s="908">
        <f>BP182/BP177</f>
        <v/>
      </c>
      <c r="BQ184" s="908">
        <f>BQ182/BQ177</f>
        <v/>
      </c>
      <c r="BR184" s="908">
        <f>BR182/BR177</f>
        <v/>
      </c>
      <c r="BS184" s="908">
        <f>BS182/BS177</f>
        <v/>
      </c>
      <c r="BT184" s="908">
        <f>BT182/BT177</f>
        <v/>
      </c>
      <c r="BU184" s="908">
        <f>BU182/BU177</f>
        <v/>
      </c>
      <c r="BV184" s="908">
        <f>BV182/BV177</f>
        <v/>
      </c>
      <c r="BW184" s="908">
        <f>BW182/BW177</f>
        <v/>
      </c>
      <c r="BX184" s="908">
        <f>BX182/BX177</f>
        <v/>
      </c>
      <c r="BY184" s="908">
        <f>BY182/BY177</f>
        <v/>
      </c>
      <c r="BZ184" s="908">
        <f>BZ182/BZ177</f>
        <v/>
      </c>
      <c r="CA184" s="908">
        <f>CA182/CA177</f>
        <v/>
      </c>
      <c r="CB184" s="908">
        <f>CB182/CB177</f>
        <v/>
      </c>
      <c r="CC184" s="908">
        <f>CC182/CC177</f>
        <v/>
      </c>
      <c r="CD184" s="908">
        <f>CD182/CD177</f>
        <v/>
      </c>
      <c r="CE184" s="908">
        <f>CE182/CE177</f>
        <v/>
      </c>
      <c r="CF184" s="908">
        <f>CF182/CF177</f>
        <v/>
      </c>
      <c r="CG184" s="908">
        <f>CG182/CG177</f>
        <v/>
      </c>
      <c r="CH184" s="908">
        <f>CH182/CH177</f>
        <v/>
      </c>
      <c r="CI184" s="908">
        <f>CI182/CI177</f>
        <v/>
      </c>
      <c r="CJ184" s="908">
        <f>CJ182/CJ177</f>
        <v/>
      </c>
      <c r="CK184" s="908">
        <f>CK182/CK177</f>
        <v/>
      </c>
    </row>
    <row r="185">
      <c r="A185" s="415" t="inlineStr">
        <is>
          <t xml:space="preserve">Avg. years of Remaining Asset Life (annualized) </t>
        </is>
      </c>
      <c r="B185" s="927" t="n"/>
      <c r="C185" s="927" t="n"/>
      <c r="D185" s="927" t="n"/>
      <c r="E185" s="927" t="n"/>
      <c r="F185" s="927" t="n"/>
      <c r="G185" s="927" t="n"/>
      <c r="H185" s="927" t="n"/>
      <c r="I185" s="927" t="n"/>
      <c r="J185" s="927" t="n"/>
      <c r="K185" s="927" t="n"/>
      <c r="L185" s="927" t="n"/>
      <c r="M185" s="927" t="n"/>
      <c r="O185" s="928">
        <f>O180/O182</f>
        <v/>
      </c>
      <c r="P185" s="928">
        <f>P180/P182</f>
        <v/>
      </c>
      <c r="Q185" s="928">
        <f>Q180/Q182</f>
        <v/>
      </c>
      <c r="R185" s="928">
        <f>R180/R182</f>
        <v/>
      </c>
      <c r="S185" s="928">
        <f>S180/S182</f>
        <v/>
      </c>
      <c r="T185" s="928">
        <f>T180/T182</f>
        <v/>
      </c>
      <c r="U185" s="928">
        <f>U180/U182</f>
        <v/>
      </c>
      <c r="V185" s="928">
        <f>V180/V182</f>
        <v/>
      </c>
      <c r="W185" s="928">
        <f>W180/W182</f>
        <v/>
      </c>
      <c r="X185" s="928">
        <f>X180/X182</f>
        <v/>
      </c>
      <c r="Y185" s="928">
        <f>Y180/Y182</f>
        <v/>
      </c>
      <c r="Z185" s="928">
        <f>Z180/Z182</f>
        <v/>
      </c>
      <c r="AA185" s="928">
        <f>AA180/AA182</f>
        <v/>
      </c>
      <c r="AB185" s="928">
        <f>AB180/AB182</f>
        <v/>
      </c>
      <c r="AC185" s="928">
        <f>AC180/AC182</f>
        <v/>
      </c>
      <c r="AD185" s="928">
        <f>AD180/AD182</f>
        <v/>
      </c>
      <c r="AE185" s="928">
        <f>AE180/AE182</f>
        <v/>
      </c>
      <c r="AF185" s="928">
        <f>AF180/AF182</f>
        <v/>
      </c>
      <c r="AG185" s="928">
        <f>AG180/AG182</f>
        <v/>
      </c>
      <c r="AH185" s="928">
        <f>AH180/AH182</f>
        <v/>
      </c>
      <c r="AI185" s="928">
        <f>AI180/AI182</f>
        <v/>
      </c>
      <c r="AJ185" s="928">
        <f>AJ180/AJ182</f>
        <v/>
      </c>
      <c r="AK185" s="928">
        <f>AK180/AK182</f>
        <v/>
      </c>
      <c r="AL185" s="928">
        <f>AL180/AL182</f>
        <v/>
      </c>
      <c r="AM185" s="928">
        <f>AM180/AM182</f>
        <v/>
      </c>
      <c r="AN185" s="928">
        <f>AN180/AN182</f>
        <v/>
      </c>
      <c r="AO185" s="928">
        <f>AO180/AO182</f>
        <v/>
      </c>
      <c r="AP185" s="928">
        <f>AP180/AP182</f>
        <v/>
      </c>
      <c r="AQ185" s="928">
        <f>AQ180/AQ182</f>
        <v/>
      </c>
      <c r="AR185" s="928">
        <f>AR180/AR182</f>
        <v/>
      </c>
      <c r="AS185" s="928">
        <f>AS180/AS182</f>
        <v/>
      </c>
      <c r="AT185" s="928">
        <f>AT180/AT182</f>
        <v/>
      </c>
      <c r="AU185" s="928">
        <f>AU180/AU182</f>
        <v/>
      </c>
      <c r="AV185" s="928">
        <f>AV180/AV182</f>
        <v/>
      </c>
      <c r="AW185" s="928">
        <f>AW180/AW182</f>
        <v/>
      </c>
      <c r="AX185" s="928">
        <f>AX180/AX182</f>
        <v/>
      </c>
      <c r="AY185" s="928">
        <f>AY180/AY182</f>
        <v/>
      </c>
      <c r="AZ185" s="928">
        <f>AZ180/AZ182</f>
        <v/>
      </c>
      <c r="BA185" s="928">
        <f>BA180/BA182</f>
        <v/>
      </c>
      <c r="BB185" s="928">
        <f>BB180/BB182</f>
        <v/>
      </c>
      <c r="BC185" s="928">
        <f>BC180/BC182</f>
        <v/>
      </c>
      <c r="BD185" s="928">
        <f>BD180/BD182</f>
        <v/>
      </c>
      <c r="BE185" s="928">
        <f>BE180/BE182</f>
        <v/>
      </c>
      <c r="BF185" s="928">
        <f>BF180/BF182</f>
        <v/>
      </c>
      <c r="BG185" s="928">
        <f>BG180/BG182</f>
        <v/>
      </c>
      <c r="BH185" s="928">
        <f>BH180/BH182</f>
        <v/>
      </c>
      <c r="BI185" s="928">
        <f>BI180/BI182</f>
        <v/>
      </c>
      <c r="BJ185" s="928">
        <f>BJ180/BJ182</f>
        <v/>
      </c>
      <c r="BK185" s="928">
        <f>BK180/BK182</f>
        <v/>
      </c>
      <c r="BL185" s="928">
        <f>BL180/BL182</f>
        <v/>
      </c>
      <c r="BM185" s="928">
        <f>BM180/BM182</f>
        <v/>
      </c>
      <c r="BN185" s="928">
        <f>BN180/BN182</f>
        <v/>
      </c>
      <c r="BO185" s="928">
        <f>BO180/BO182</f>
        <v/>
      </c>
      <c r="BP185" s="928">
        <f>BP180/BP182</f>
        <v/>
      </c>
      <c r="BQ185" s="928">
        <f>BQ180/BQ182</f>
        <v/>
      </c>
      <c r="BR185" s="928">
        <f>BR180/BR182</f>
        <v/>
      </c>
      <c r="BS185" s="928">
        <f>BS180/BS182</f>
        <v/>
      </c>
      <c r="BT185" s="928">
        <f>BT180/BT182</f>
        <v/>
      </c>
      <c r="BU185" s="928">
        <f>BU180/BU182</f>
        <v/>
      </c>
      <c r="BV185" s="928">
        <f>BV180/BV182</f>
        <v/>
      </c>
      <c r="BW185" s="928">
        <f>BW180/BW182</f>
        <v/>
      </c>
      <c r="BX185" s="928">
        <f>BX180/BX182</f>
        <v/>
      </c>
      <c r="BY185" s="928">
        <f>BY180/BY182</f>
        <v/>
      </c>
      <c r="BZ185" s="928">
        <f>BZ180/BZ182</f>
        <v/>
      </c>
      <c r="CA185" s="928">
        <f>CA180/CA182</f>
        <v/>
      </c>
      <c r="CB185" s="928">
        <f>CB180/CB182</f>
        <v/>
      </c>
      <c r="CC185" s="928">
        <f>CC180/CC182</f>
        <v/>
      </c>
      <c r="CD185" s="928">
        <f>CD180/CD182</f>
        <v/>
      </c>
      <c r="CE185" s="928">
        <f>CE180/CE182</f>
        <v/>
      </c>
      <c r="CF185" s="928">
        <f>CF180/CF182</f>
        <v/>
      </c>
      <c r="CG185" s="928">
        <f>CG180/CG182</f>
        <v/>
      </c>
      <c r="CH185" s="928">
        <f>CH180/CH182</f>
        <v/>
      </c>
      <c r="CI185" s="928">
        <f>CI180/CI182</f>
        <v/>
      </c>
      <c r="CJ185" s="928">
        <f>CJ180/CJ182</f>
        <v/>
      </c>
      <c r="CK185" s="928">
        <f>CK180/CK182</f>
        <v/>
      </c>
    </row>
    <row r="186">
      <c r="B186" s="140" t="n"/>
      <c r="C186" s="140" t="n"/>
      <c r="D186" s="140" t="n"/>
      <c r="E186" s="140" t="n"/>
      <c r="F186" s="140" t="n"/>
      <c r="G186" s="50" t="n"/>
      <c r="H186" s="140" t="n"/>
      <c r="I186" s="50" t="n"/>
      <c r="J186" s="140" t="n"/>
      <c r="K186" s="140" t="n"/>
      <c r="L186" s="140" t="n"/>
      <c r="M186" s="140" t="n"/>
      <c r="BM186" s="517">
        <f>SUM(BJ187:BM187)</f>
        <v/>
      </c>
      <c r="BQ186" s="517">
        <f>SUM(BN187:BQ187)</f>
        <v/>
      </c>
      <c r="BU186" s="517">
        <f>SUM(BR187:BU187)</f>
        <v/>
      </c>
      <c r="BY186" s="517">
        <f>SUM(BV187:BY187)</f>
        <v/>
      </c>
      <c r="CC186" s="517" t="n"/>
    </row>
    <row r="187">
      <c r="A187" s="415" t="inlineStr">
        <is>
          <t>CAPEX</t>
        </is>
      </c>
      <c r="B187" s="140" t="n"/>
      <c r="C187" s="140" t="n"/>
      <c r="D187" s="140" t="n"/>
      <c r="E187" s="140" t="n"/>
      <c r="F187" s="140" t="n"/>
      <c r="G187" s="140" t="n"/>
      <c r="H187" s="140" t="n"/>
      <c r="I187" s="140" t="n"/>
      <c r="J187" s="140" t="n"/>
      <c r="K187" s="140" t="n"/>
      <c r="L187" s="140" t="n"/>
      <c r="M187" s="140" t="n"/>
      <c r="N187" s="516">
        <f>-FS_Q!N105</f>
        <v/>
      </c>
      <c r="O187" s="516">
        <f>-FS_Q!O105</f>
        <v/>
      </c>
      <c r="P187" s="516">
        <f>-FS_Q!P105</f>
        <v/>
      </c>
      <c r="Q187" s="516">
        <f>-FS_Q!Q105</f>
        <v/>
      </c>
      <c r="R187" s="516">
        <f>-FS_Q!R105</f>
        <v/>
      </c>
      <c r="S187" s="516">
        <f>-FS_Q!S105</f>
        <v/>
      </c>
      <c r="T187" s="516">
        <f>-FS_Q!T105</f>
        <v/>
      </c>
      <c r="U187" s="516">
        <f>-FS_Q!U105</f>
        <v/>
      </c>
      <c r="V187" s="516">
        <f>-FS_Q!V105</f>
        <v/>
      </c>
      <c r="W187" s="516">
        <f>-FS_Q!W105</f>
        <v/>
      </c>
      <c r="X187" s="516">
        <f>-FS_Q!X105</f>
        <v/>
      </c>
      <c r="Y187" s="516">
        <f>-FS_Q!Y105</f>
        <v/>
      </c>
      <c r="Z187" s="516">
        <f>-FS_Q!Z105</f>
        <v/>
      </c>
      <c r="AA187" s="516">
        <f>-FS_Q!AA105</f>
        <v/>
      </c>
      <c r="AB187" s="516">
        <f>-FS_Q!AB105</f>
        <v/>
      </c>
      <c r="AC187" s="516">
        <f>-FS_Q!AC105</f>
        <v/>
      </c>
      <c r="AD187" s="516">
        <f>-FS_Q!AD105</f>
        <v/>
      </c>
      <c r="AE187" s="516">
        <f>-FS_Q!AE105</f>
        <v/>
      </c>
      <c r="AF187" s="516">
        <f>-FS_Q!AF105</f>
        <v/>
      </c>
      <c r="AG187" s="516">
        <f>-FS_Q!AG105</f>
        <v/>
      </c>
      <c r="AH187" s="516">
        <f>-FS_Q!AH105</f>
        <v/>
      </c>
      <c r="AI187" s="516">
        <f>-FS_Q!AI105</f>
        <v/>
      </c>
      <c r="AJ187" s="516">
        <f>-FS_Q!AJ105</f>
        <v/>
      </c>
      <c r="AK187" s="516">
        <f>-FS_Q!AK105</f>
        <v/>
      </c>
      <c r="AL187" s="516">
        <f>-FS_Q!AL105</f>
        <v/>
      </c>
      <c r="AM187" s="516">
        <f>-FS_Q!AM105</f>
        <v/>
      </c>
      <c r="AN187" s="516">
        <f>-FS_Q!AN105</f>
        <v/>
      </c>
      <c r="AO187" s="516">
        <f>-FS_Q!AO105</f>
        <v/>
      </c>
      <c r="AP187" s="516">
        <f>-FS_Q!AP105</f>
        <v/>
      </c>
      <c r="AQ187" s="516">
        <f>-FS_Q!AQ105</f>
        <v/>
      </c>
      <c r="AR187" s="516">
        <f>-FS_Q!AR105</f>
        <v/>
      </c>
      <c r="AS187" s="516">
        <f>-FS_Q!AS105</f>
        <v/>
      </c>
      <c r="AT187" s="516">
        <f>-FS_Q!AT105</f>
        <v/>
      </c>
      <c r="AU187" s="516">
        <f>-FS_Q!AU105</f>
        <v/>
      </c>
      <c r="AV187" s="516">
        <f>-FS_Q!AV105</f>
        <v/>
      </c>
      <c r="AW187" s="516">
        <f>-FS_Q!AW105</f>
        <v/>
      </c>
      <c r="AX187" s="667">
        <f>-FS_Q!AX105</f>
        <v/>
      </c>
      <c r="AY187" s="667">
        <f>-FS_Q!AY105</f>
        <v/>
      </c>
      <c r="AZ187" s="667">
        <f>-FS_Q!AZ105</f>
        <v/>
      </c>
      <c r="BA187" s="667">
        <f>-FS_Q!BA105</f>
        <v/>
      </c>
      <c r="BB187" s="667">
        <f>-FS_Q!BB105</f>
        <v/>
      </c>
      <c r="BC187" s="667">
        <f>-FS_Q!BC105</f>
        <v/>
      </c>
      <c r="BD187" s="667">
        <f>-FS_Q!BD105</f>
        <v/>
      </c>
      <c r="BE187" s="667">
        <f>-FS_Q!BE105</f>
        <v/>
      </c>
      <c r="BF187" s="667">
        <f>-FS_Q!BF105</f>
        <v/>
      </c>
      <c r="BG187" s="667">
        <f>-FS_Q!BG105</f>
        <v/>
      </c>
      <c r="BH187" s="667">
        <f>-FS_Q!BH105</f>
        <v/>
      </c>
      <c r="BI187" s="667">
        <f>-FS_Q!BI105</f>
        <v/>
      </c>
      <c r="BJ187" s="667">
        <f>-FS_Q!BJ105</f>
        <v/>
      </c>
      <c r="BK187" s="667">
        <f>-FS_Q!BK105</f>
        <v/>
      </c>
      <c r="BL187" s="667">
        <f>-FS_Q!BL105</f>
        <v/>
      </c>
      <c r="BM187" s="667">
        <f>-FS_Q!BM105</f>
        <v/>
      </c>
      <c r="BN187" s="667">
        <f>-FS_Q!BN105</f>
        <v/>
      </c>
      <c r="BO187" s="667">
        <f>-FS_Q!BO105</f>
        <v/>
      </c>
      <c r="BP187" s="667">
        <f>-FS_Q!BP105</f>
        <v/>
      </c>
      <c r="BQ187" s="667">
        <f>-FS_Q!BQ105</f>
        <v/>
      </c>
      <c r="BR187" s="667">
        <f>-FS_Q!BR105</f>
        <v/>
      </c>
      <c r="BS187" s="517">
        <f>BS$152*BS188</f>
        <v/>
      </c>
      <c r="BT187" s="517">
        <f>BT$152*BT188</f>
        <v/>
      </c>
      <c r="BU187" s="517">
        <f>BU$152*BU188</f>
        <v/>
      </c>
      <c r="BV187" s="517">
        <f>BV$152*BV188</f>
        <v/>
      </c>
      <c r="BW187" s="517">
        <f>BW$152*BW188</f>
        <v/>
      </c>
      <c r="BX187" s="517">
        <f>BX$152*BX188</f>
        <v/>
      </c>
      <c r="BY187" s="517">
        <f>BY$152*BY188</f>
        <v/>
      </c>
      <c r="BZ187" s="517">
        <f>BZ$152*BZ188</f>
        <v/>
      </c>
      <c r="CA187" s="517">
        <f>CA$152*CA188</f>
        <v/>
      </c>
      <c r="CB187" s="517">
        <f>CB$152*CB188</f>
        <v/>
      </c>
      <c r="CC187" s="517">
        <f>CC$152*CC188</f>
        <v/>
      </c>
      <c r="CD187" s="517">
        <f>CD$152*CD188</f>
        <v/>
      </c>
      <c r="CE187" s="517">
        <f>CE$152*CE188</f>
        <v/>
      </c>
      <c r="CF187" s="517">
        <f>CF$152*CF188</f>
        <v/>
      </c>
      <c r="CG187" s="517">
        <f>CG$152*CG188</f>
        <v/>
      </c>
      <c r="CH187" s="517">
        <f>CH$152*CH188</f>
        <v/>
      </c>
      <c r="CI187" s="517">
        <f>CI$152*CI188</f>
        <v/>
      </c>
      <c r="CJ187" s="517">
        <f>CJ$152*CJ188</f>
        <v/>
      </c>
      <c r="CK187" s="517">
        <f>CK$152*CK188</f>
        <v/>
      </c>
    </row>
    <row r="188">
      <c r="A188" s="415" t="inlineStr">
        <is>
          <t>CAPEX as % of sales</t>
        </is>
      </c>
      <c r="B188" s="929" t="n"/>
      <c r="C188" s="929" t="n"/>
      <c r="D188" s="929" t="n"/>
      <c r="E188" s="929" t="n"/>
      <c r="F188" s="929" t="n"/>
      <c r="G188" s="929" t="n"/>
      <c r="H188" s="929" t="n"/>
      <c r="I188" s="929" t="n"/>
      <c r="J188" s="857" t="n"/>
      <c r="K188" s="857" t="n"/>
      <c r="L188" s="857" t="n"/>
      <c r="M188" s="857" t="n"/>
      <c r="N188" s="908">
        <f>N187/N152</f>
        <v/>
      </c>
      <c r="O188" s="908">
        <f>O187/O152</f>
        <v/>
      </c>
      <c r="P188" s="908">
        <f>P187/P152</f>
        <v/>
      </c>
      <c r="Q188" s="908">
        <f>Q187/Q152</f>
        <v/>
      </c>
      <c r="R188" s="908">
        <f>R187/R152</f>
        <v/>
      </c>
      <c r="S188" s="908">
        <f>S187/S152</f>
        <v/>
      </c>
      <c r="T188" s="908">
        <f>T187/T152</f>
        <v/>
      </c>
      <c r="U188" s="908">
        <f>U187/U152</f>
        <v/>
      </c>
      <c r="V188" s="908">
        <f>V187/V152</f>
        <v/>
      </c>
      <c r="W188" s="908">
        <f>W187/W152</f>
        <v/>
      </c>
      <c r="X188" s="908">
        <f>X187/X152</f>
        <v/>
      </c>
      <c r="Y188" s="908">
        <f>Y187/Y152</f>
        <v/>
      </c>
      <c r="Z188" s="908">
        <f>Z187/Z152</f>
        <v/>
      </c>
      <c r="AA188" s="908">
        <f>AA187/AA152</f>
        <v/>
      </c>
      <c r="AB188" s="908">
        <f>AB187/AB152</f>
        <v/>
      </c>
      <c r="AC188" s="908">
        <f>AC187/AC152</f>
        <v/>
      </c>
      <c r="AD188" s="908">
        <f>AD187/AD152</f>
        <v/>
      </c>
      <c r="AE188" s="908">
        <f>AE187/AE152</f>
        <v/>
      </c>
      <c r="AF188" s="908">
        <f>AF187/AF152</f>
        <v/>
      </c>
      <c r="AG188" s="908">
        <f>AG187/AG152</f>
        <v/>
      </c>
      <c r="AH188" s="908">
        <f>AH187/AH152</f>
        <v/>
      </c>
      <c r="AI188" s="908">
        <f>AI187/AI152</f>
        <v/>
      </c>
      <c r="AJ188" s="908">
        <f>AJ187/AJ152</f>
        <v/>
      </c>
      <c r="AK188" s="908">
        <f>AK187/AK152</f>
        <v/>
      </c>
      <c r="AL188" s="908">
        <f>AL187/AL152</f>
        <v/>
      </c>
      <c r="AM188" s="908">
        <f>AM187/AM152</f>
        <v/>
      </c>
      <c r="AN188" s="908">
        <f>AN187/AN152</f>
        <v/>
      </c>
      <c r="AO188" s="908">
        <f>AO187/AO152</f>
        <v/>
      </c>
      <c r="AP188" s="908">
        <f>AP187/AP152</f>
        <v/>
      </c>
      <c r="AQ188" s="908">
        <f>AQ187/AQ152</f>
        <v/>
      </c>
      <c r="AR188" s="908">
        <f>AR187/AR152</f>
        <v/>
      </c>
      <c r="AS188" s="908">
        <f>AS187/AS152</f>
        <v/>
      </c>
      <c r="AT188" s="908">
        <f>AT187/AT152</f>
        <v/>
      </c>
      <c r="AU188" s="908">
        <f>AU187/AU152</f>
        <v/>
      </c>
      <c r="AV188" s="908">
        <f>AV187/AV152</f>
        <v/>
      </c>
      <c r="AW188" s="908">
        <f>AW187/AW152</f>
        <v/>
      </c>
      <c r="AX188" s="908">
        <f>AX187/AX152</f>
        <v/>
      </c>
      <c r="AY188" s="908">
        <f>AY187/AY152</f>
        <v/>
      </c>
      <c r="AZ188" s="908">
        <f>AZ187/AZ152</f>
        <v/>
      </c>
      <c r="BA188" s="908">
        <f>BA187/BA152</f>
        <v/>
      </c>
      <c r="BB188" s="908">
        <f>BB187/BB152</f>
        <v/>
      </c>
      <c r="BC188" s="908">
        <f>BC187/BC152</f>
        <v/>
      </c>
      <c r="BD188" s="908">
        <f>BD187/BD152</f>
        <v/>
      </c>
      <c r="BE188" s="908">
        <f>BE187/BE152</f>
        <v/>
      </c>
      <c r="BF188" s="908">
        <f>BF187/BF152</f>
        <v/>
      </c>
      <c r="BG188" s="908">
        <f>BG187/BG152</f>
        <v/>
      </c>
      <c r="BH188" s="908">
        <f>BH187/BH152</f>
        <v/>
      </c>
      <c r="BI188" s="908">
        <f>BI187/BI152</f>
        <v/>
      </c>
      <c r="BJ188" s="908">
        <f>BJ187/BJ152</f>
        <v/>
      </c>
      <c r="BK188" s="908">
        <f>BK187/BK152</f>
        <v/>
      </c>
      <c r="BL188" s="908">
        <f>BL187/BL152</f>
        <v/>
      </c>
      <c r="BM188" s="908">
        <f>BM187/BM152</f>
        <v/>
      </c>
      <c r="BN188" s="908">
        <f>BN187/BN152</f>
        <v/>
      </c>
      <c r="BO188" s="908">
        <f>BO187/BO152</f>
        <v/>
      </c>
      <c r="BP188" s="908">
        <f>BP187/BP152</f>
        <v/>
      </c>
      <c r="BQ188" s="908">
        <f>BQ187/BQ152</f>
        <v/>
      </c>
      <c r="BR188" s="908">
        <f>BR187/BR152</f>
        <v/>
      </c>
      <c r="BS188" s="915" t="n">
        <v>0.11</v>
      </c>
      <c r="BT188" s="915" t="n">
        <v>0.105</v>
      </c>
      <c r="BU188" s="915" t="n">
        <v>0.105</v>
      </c>
      <c r="BV188" s="909" t="n">
        <v>0.075</v>
      </c>
      <c r="BW188" s="909" t="n">
        <v>0.07000000000000001</v>
      </c>
      <c r="BX188" s="909" t="n">
        <v>0.06</v>
      </c>
      <c r="BY188" s="909" t="n">
        <v>0.06</v>
      </c>
      <c r="BZ188" s="909" t="n">
        <v>0.06</v>
      </c>
      <c r="CA188" s="909" t="n">
        <v>0.06</v>
      </c>
      <c r="CB188" s="909" t="n">
        <v>0.06</v>
      </c>
      <c r="CC188" s="909" t="n">
        <v>0.06</v>
      </c>
      <c r="CD188" s="909" t="n">
        <v>0.065</v>
      </c>
      <c r="CE188" s="909" t="n">
        <v>0.065</v>
      </c>
      <c r="CF188" s="909" t="n">
        <v>0.065</v>
      </c>
      <c r="CG188" s="909" t="n">
        <v>0.065</v>
      </c>
      <c r="CH188" s="909" t="n">
        <v>0.06</v>
      </c>
      <c r="CI188" s="909" t="n">
        <v>0.06</v>
      </c>
      <c r="CJ188" s="909" t="n">
        <v>0.06</v>
      </c>
      <c r="CK188" s="909" t="n">
        <v>0.06</v>
      </c>
    </row>
    <row r="189">
      <c r="A189" s="415" t="inlineStr">
        <is>
          <t>CAPEX % of D&amp;A</t>
        </is>
      </c>
      <c r="B189" s="883" t="n"/>
      <c r="C189" s="883" t="n"/>
      <c r="D189" s="883" t="n"/>
      <c r="E189" s="883" t="n"/>
      <c r="F189" s="883" t="n"/>
      <c r="G189" s="883" t="n"/>
      <c r="H189" s="883" t="n"/>
      <c r="I189" s="883" t="n"/>
      <c r="J189" s="883" t="n"/>
      <c r="K189" s="883" t="n"/>
      <c r="L189" s="883" t="n"/>
      <c r="M189" s="883" t="n"/>
      <c r="N189" s="908">
        <f>N187/N182</f>
        <v/>
      </c>
      <c r="O189" s="908">
        <f>O187/O182</f>
        <v/>
      </c>
      <c r="P189" s="908">
        <f>P187/P182</f>
        <v/>
      </c>
      <c r="Q189" s="908">
        <f>Q187/Q182</f>
        <v/>
      </c>
      <c r="R189" s="908">
        <f>R187/R182</f>
        <v/>
      </c>
      <c r="S189" s="908">
        <f>S187/S182</f>
        <v/>
      </c>
      <c r="T189" s="908">
        <f>T187/T182</f>
        <v/>
      </c>
      <c r="U189" s="908">
        <f>U187/U182</f>
        <v/>
      </c>
      <c r="V189" s="908">
        <f>V187/V182</f>
        <v/>
      </c>
      <c r="W189" s="908">
        <f>W187/W182</f>
        <v/>
      </c>
      <c r="X189" s="908">
        <f>X187/X182</f>
        <v/>
      </c>
      <c r="Y189" s="908">
        <f>Y187/Y182</f>
        <v/>
      </c>
      <c r="Z189" s="908">
        <f>Z187/Z182</f>
        <v/>
      </c>
      <c r="AA189" s="908">
        <f>AA187/AA182</f>
        <v/>
      </c>
      <c r="AB189" s="908">
        <f>AB187/AB182</f>
        <v/>
      </c>
      <c r="AC189" s="908">
        <f>AC187/AC182</f>
        <v/>
      </c>
      <c r="AD189" s="908">
        <f>AD187/AD182</f>
        <v/>
      </c>
      <c r="AE189" s="908">
        <f>AE187/AE182</f>
        <v/>
      </c>
      <c r="AF189" s="908">
        <f>AF187/AF182</f>
        <v/>
      </c>
      <c r="AG189" s="908">
        <f>AG187/AG182</f>
        <v/>
      </c>
      <c r="AH189" s="908">
        <f>AH187/AH182</f>
        <v/>
      </c>
      <c r="AI189" s="908">
        <f>AI187/AI182</f>
        <v/>
      </c>
      <c r="AJ189" s="908">
        <f>AJ187/AJ182</f>
        <v/>
      </c>
      <c r="AK189" s="908">
        <f>AK187/AK182</f>
        <v/>
      </c>
      <c r="AL189" s="908">
        <f>AL187/AL182</f>
        <v/>
      </c>
      <c r="AM189" s="908">
        <f>AM187/AM182</f>
        <v/>
      </c>
      <c r="AN189" s="908">
        <f>AN187/AN182</f>
        <v/>
      </c>
      <c r="AO189" s="908">
        <f>AO187/AO182</f>
        <v/>
      </c>
      <c r="AP189" s="908">
        <f>AP187/AP182</f>
        <v/>
      </c>
      <c r="AQ189" s="908">
        <f>AQ187/AQ182</f>
        <v/>
      </c>
      <c r="AR189" s="908">
        <f>AR187/AR182</f>
        <v/>
      </c>
      <c r="AS189" s="908">
        <f>AS187/AS182</f>
        <v/>
      </c>
      <c r="AT189" s="908">
        <f>AT187/AT182</f>
        <v/>
      </c>
      <c r="AU189" s="908">
        <f>AU187/AU182</f>
        <v/>
      </c>
      <c r="AV189" s="908">
        <f>AV187/AV182</f>
        <v/>
      </c>
      <c r="AW189" s="908">
        <f>AW187/AW182</f>
        <v/>
      </c>
      <c r="AX189" s="908">
        <f>AX187/AX182</f>
        <v/>
      </c>
      <c r="AY189" s="908">
        <f>AY187/AY182</f>
        <v/>
      </c>
      <c r="AZ189" s="908">
        <f>AZ187/AZ182</f>
        <v/>
      </c>
      <c r="BA189" s="908">
        <f>BA187/BA182</f>
        <v/>
      </c>
      <c r="BB189" s="908">
        <f>BB187/BB182</f>
        <v/>
      </c>
      <c r="BC189" s="908">
        <f>BC187/BC182</f>
        <v/>
      </c>
      <c r="BD189" s="908">
        <f>BD187/BD182</f>
        <v/>
      </c>
      <c r="BE189" s="908">
        <f>BE187/BE182</f>
        <v/>
      </c>
      <c r="BF189" s="908">
        <f>BF187/BF182</f>
        <v/>
      </c>
      <c r="BG189" s="908">
        <f>BG187/BG182</f>
        <v/>
      </c>
      <c r="BH189" s="908">
        <f>BH187/BH182</f>
        <v/>
      </c>
      <c r="BI189" s="908">
        <f>BI187/BI182</f>
        <v/>
      </c>
      <c r="BJ189" s="908">
        <f>BJ187/BJ182</f>
        <v/>
      </c>
      <c r="BK189" s="908">
        <f>BK187/BK182</f>
        <v/>
      </c>
      <c r="BL189" s="908">
        <f>BL187/BL182</f>
        <v/>
      </c>
      <c r="BM189" s="908">
        <f>BM187/BM182</f>
        <v/>
      </c>
      <c r="BN189" s="908">
        <f>BN187/BN182</f>
        <v/>
      </c>
      <c r="BO189" s="908">
        <f>BO187/BO182</f>
        <v/>
      </c>
      <c r="BP189" s="908">
        <f>BP187/BP182</f>
        <v/>
      </c>
      <c r="BQ189" s="908">
        <f>BQ187/BQ182</f>
        <v/>
      </c>
      <c r="BR189" s="908">
        <f>BR187/BR182</f>
        <v/>
      </c>
      <c r="BS189" s="908">
        <f>BS187/BS182</f>
        <v/>
      </c>
      <c r="BT189" s="908">
        <f>BT187/BT182</f>
        <v/>
      </c>
      <c r="BU189" s="908">
        <f>BU187/BU182</f>
        <v/>
      </c>
      <c r="BV189" s="908">
        <f>BV187/BV182</f>
        <v/>
      </c>
      <c r="BW189" s="908">
        <f>BW187/BW182</f>
        <v/>
      </c>
      <c r="BX189" s="908">
        <f>BX187/BX182</f>
        <v/>
      </c>
      <c r="BY189" s="908">
        <f>BY187/BY182</f>
        <v/>
      </c>
      <c r="BZ189" s="908">
        <f>BZ187/BZ182</f>
        <v/>
      </c>
      <c r="CA189" s="908">
        <f>CA187/CA182</f>
        <v/>
      </c>
      <c r="CB189" s="908">
        <f>CB187/CB182</f>
        <v/>
      </c>
      <c r="CC189" s="908">
        <f>CC187/CC182</f>
        <v/>
      </c>
      <c r="CD189" s="908">
        <f>CD187/CD182</f>
        <v/>
      </c>
      <c r="CE189" s="908">
        <f>CE187/CE182</f>
        <v/>
      </c>
      <c r="CF189" s="908">
        <f>CF187/CF182</f>
        <v/>
      </c>
      <c r="CG189" s="908">
        <f>CG187/CG182</f>
        <v/>
      </c>
      <c r="CH189" s="908">
        <f>CH187/CH182</f>
        <v/>
      </c>
      <c r="CI189" s="908">
        <f>CI187/CI182</f>
        <v/>
      </c>
      <c r="CJ189" s="908">
        <f>CJ187/CJ182</f>
        <v/>
      </c>
      <c r="CK189" s="908">
        <f>CK187/CK182</f>
        <v/>
      </c>
    </row>
    <row r="190"/>
    <row r="191">
      <c r="A191" s="530" t="inlineStr">
        <is>
          <t>Deferred income taxes, net</t>
        </is>
      </c>
      <c r="B191" s="152" t="n"/>
      <c r="C191" s="152" t="n"/>
      <c r="D191" s="152" t="n"/>
      <c r="E191" s="152" t="n"/>
      <c r="F191" s="152" t="n"/>
      <c r="G191" s="152" t="n"/>
      <c r="H191" s="152" t="n"/>
      <c r="I191" s="152" t="n"/>
      <c r="J191" s="152" t="n"/>
      <c r="K191" s="152" t="n"/>
      <c r="L191" s="152" t="n"/>
      <c r="M191" s="152" t="n"/>
      <c r="N191" s="516">
        <f>FS_Q!N52</f>
        <v/>
      </c>
      <c r="O191" s="516">
        <f>FS_Q!O52</f>
        <v/>
      </c>
      <c r="P191" s="516">
        <f>FS_Q!P52</f>
        <v/>
      </c>
      <c r="Q191" s="516">
        <f>FS_Q!Q52</f>
        <v/>
      </c>
      <c r="R191" s="516">
        <f>FS_Q!R52</f>
        <v/>
      </c>
      <c r="S191" s="516">
        <f>FS_Q!S52</f>
        <v/>
      </c>
      <c r="T191" s="516">
        <f>FS_Q!T52</f>
        <v/>
      </c>
      <c r="U191" s="516">
        <f>FS_Q!U52</f>
        <v/>
      </c>
      <c r="V191" s="516">
        <f>FS_Q!V52</f>
        <v/>
      </c>
      <c r="W191" s="516">
        <f>FS_Q!W52</f>
        <v/>
      </c>
      <c r="X191" s="516">
        <f>FS_Q!X52</f>
        <v/>
      </c>
      <c r="Y191" s="516">
        <f>FS_Q!Y52</f>
        <v/>
      </c>
      <c r="Z191" s="516">
        <f>FS_Q!Z52</f>
        <v/>
      </c>
      <c r="AA191" s="516">
        <f>FS_Q!AA52</f>
        <v/>
      </c>
      <c r="AB191" s="516">
        <f>FS_Q!AB52</f>
        <v/>
      </c>
      <c r="AC191" s="516">
        <f>FS_Q!AC52</f>
        <v/>
      </c>
      <c r="AD191" s="516">
        <f>FS_Q!AD52</f>
        <v/>
      </c>
      <c r="AE191" s="516">
        <f>FS_Q!AE52</f>
        <v/>
      </c>
      <c r="AF191" s="516">
        <f>FS_Q!AF52</f>
        <v/>
      </c>
      <c r="AG191" s="516">
        <f>FS_Q!AG52</f>
        <v/>
      </c>
      <c r="AH191" s="516">
        <f>FS_Q!AH52</f>
        <v/>
      </c>
      <c r="AI191" s="516">
        <f>FS_Q!AI52</f>
        <v/>
      </c>
      <c r="AJ191" s="516">
        <f>FS_Q!AJ52</f>
        <v/>
      </c>
      <c r="AK191" s="516">
        <f>FS_Q!AK52</f>
        <v/>
      </c>
      <c r="AL191" s="516">
        <f>FS_Q!AL52</f>
        <v/>
      </c>
      <c r="AM191" s="516">
        <f>FS_Q!AM52</f>
        <v/>
      </c>
      <c r="AN191" s="516">
        <f>FS_Q!AN52</f>
        <v/>
      </c>
      <c r="AO191" s="516">
        <f>FS_Q!AO52</f>
        <v/>
      </c>
      <c r="AP191" s="516">
        <f>FS_Q!AP52</f>
        <v/>
      </c>
      <c r="AQ191" s="516">
        <f>FS_Q!AQ52</f>
        <v/>
      </c>
      <c r="AR191" s="516">
        <f>FS_Q!AR52</f>
        <v/>
      </c>
      <c r="AS191" s="516">
        <f>FS_Q!AS52</f>
        <v/>
      </c>
      <c r="AT191" s="516">
        <f>FS_Q!AT52</f>
        <v/>
      </c>
      <c r="AU191" s="516">
        <f>FS_Q!AU52</f>
        <v/>
      </c>
      <c r="AV191" s="516">
        <f>FS_Q!AV52</f>
        <v/>
      </c>
      <c r="AW191" s="516">
        <f>FS_Q!AW52</f>
        <v/>
      </c>
      <c r="AX191" s="516">
        <f>FS_Q!AX52</f>
        <v/>
      </c>
      <c r="AY191" s="516">
        <f>FS_Q!AY52</f>
        <v/>
      </c>
      <c r="AZ191" s="516">
        <f>FS_Q!AZ52</f>
        <v/>
      </c>
      <c r="BA191" s="516">
        <f>FS_Q!BA52</f>
        <v/>
      </c>
      <c r="BB191" s="516">
        <f>FS_Q!BB52</f>
        <v/>
      </c>
      <c r="BC191" s="516">
        <f>FS_Q!BC52</f>
        <v/>
      </c>
      <c r="BD191" s="516">
        <f>FS_Q!BD52</f>
        <v/>
      </c>
      <c r="BE191" s="516">
        <f>FS_Q!BE52</f>
        <v/>
      </c>
      <c r="BF191" s="516">
        <f>FS_Q!BF52</f>
        <v/>
      </c>
      <c r="BG191" s="516">
        <f>FS_Q!BG52</f>
        <v/>
      </c>
      <c r="BH191" s="516">
        <f>FS_Q!BH52</f>
        <v/>
      </c>
      <c r="BI191" s="516">
        <f>FS_Q!BI52</f>
        <v/>
      </c>
      <c r="BJ191" s="516">
        <f>FS_Q!BJ52</f>
        <v/>
      </c>
      <c r="BK191" s="516">
        <f>FS_Q!BK52</f>
        <v/>
      </c>
      <c r="BL191" s="516">
        <f>FS_Q!BL52</f>
        <v/>
      </c>
      <c r="BM191" s="516">
        <f>FS_Q!BM52</f>
        <v/>
      </c>
      <c r="BN191" s="516">
        <f>FS_Q!BN52</f>
        <v/>
      </c>
      <c r="BO191" s="516">
        <f>FS_Q!BO52</f>
        <v/>
      </c>
      <c r="BP191" s="516">
        <f>FS_Q!BP52</f>
        <v/>
      </c>
      <c r="BQ191" s="516">
        <f>FS_Q!BQ52</f>
        <v/>
      </c>
      <c r="BR191" s="516">
        <f>FS_Q!BR52</f>
        <v/>
      </c>
      <c r="BS191" s="517">
        <f>BS192*BS$155*BS$247</f>
        <v/>
      </c>
      <c r="BT191" s="517">
        <f>BT192*BT$155*BT$247</f>
        <v/>
      </c>
      <c r="BU191" s="517">
        <f>BU192*BU$155*BU$247</f>
        <v/>
      </c>
      <c r="BV191" s="517">
        <f>BV192*BV$155*BV$247</f>
        <v/>
      </c>
      <c r="BW191" s="517">
        <f>BW192*BW$155*BW$247</f>
        <v/>
      </c>
      <c r="BX191" s="517">
        <f>BX192*BX$155*BX$247</f>
        <v/>
      </c>
      <c r="BY191" s="517">
        <f>BY192*BY$155*BY$247</f>
        <v/>
      </c>
      <c r="BZ191" s="517">
        <f>BZ192*BZ$155*BZ$247</f>
        <v/>
      </c>
      <c r="CA191" s="517">
        <f>CA192*CA$155*CA$247</f>
        <v/>
      </c>
      <c r="CB191" s="517">
        <f>CB192*CB$155*CB$247</f>
        <v/>
      </c>
      <c r="CC191" s="517">
        <f>CC192*CC$155*CC$247</f>
        <v/>
      </c>
      <c r="CD191" s="517">
        <f>CD192*CD$155*CD$247</f>
        <v/>
      </c>
      <c r="CE191" s="517">
        <f>CE192*CE$155*CE$247</f>
        <v/>
      </c>
      <c r="CF191" s="517">
        <f>CF192*CF$155*CF$247</f>
        <v/>
      </c>
      <c r="CG191" s="517">
        <f>CG192*CG$155*CG$247</f>
        <v/>
      </c>
      <c r="CH191" s="517">
        <f>CH192*CH$155*CH$247</f>
        <v/>
      </c>
      <c r="CI191" s="517">
        <f>CI192*CI$155*CI$247</f>
        <v/>
      </c>
      <c r="CJ191" s="517">
        <f>CJ192*CJ$155*CJ$247</f>
        <v/>
      </c>
      <c r="CK191" s="517">
        <f>CK192*CK$155*CK$247</f>
        <v/>
      </c>
    </row>
    <row r="192">
      <c r="A192" s="525">
        <f>A146</f>
        <v/>
      </c>
      <c r="B192" s="152" t="n"/>
      <c r="C192" s="152" t="n"/>
      <c r="D192" s="152" t="n"/>
      <c r="E192" s="152" t="n"/>
      <c r="F192" s="152" t="n"/>
      <c r="G192" s="152" t="n"/>
      <c r="H192" s="152" t="n"/>
      <c r="I192" s="152" t="n"/>
      <c r="J192" s="152" t="n"/>
      <c r="K192" s="152" t="n"/>
      <c r="L192" s="152" t="n"/>
      <c r="M192" s="152" t="n"/>
      <c r="N192" s="908">
        <f>N191/(N$155*N$247)</f>
        <v/>
      </c>
      <c r="O192" s="908">
        <f>O191/(O$155*O$247)</f>
        <v/>
      </c>
      <c r="P192" s="908">
        <f>P191/(P$155*P$247)</f>
        <v/>
      </c>
      <c r="Q192" s="908">
        <f>Q191/(Q$155*Q$247)</f>
        <v/>
      </c>
      <c r="R192" s="908">
        <f>R191/(R$155*R$247)</f>
        <v/>
      </c>
      <c r="S192" s="908">
        <f>S191/(S$155*S$247)</f>
        <v/>
      </c>
      <c r="T192" s="908">
        <f>T191/(T$155*T$247)</f>
        <v/>
      </c>
      <c r="U192" s="908">
        <f>U191/(U$155*U$247)</f>
        <v/>
      </c>
      <c r="V192" s="908">
        <f>V191/(V$155*V$247)</f>
        <v/>
      </c>
      <c r="W192" s="908">
        <f>W191/(W$155*W$247)</f>
        <v/>
      </c>
      <c r="X192" s="908">
        <f>X191/(X$155*X$247)</f>
        <v/>
      </c>
      <c r="Y192" s="908">
        <f>Y191/(Y$155*Y$247)</f>
        <v/>
      </c>
      <c r="Z192" s="908">
        <f>Z191/(Z$155*Z$247)</f>
        <v/>
      </c>
      <c r="AA192" s="908">
        <f>AA191/(AA$155*AA$247)</f>
        <v/>
      </c>
      <c r="AB192" s="908">
        <f>AB191/(AB$155*AB$247)</f>
        <v/>
      </c>
      <c r="AC192" s="908">
        <f>AC191/(AC$155*AC$247)</f>
        <v/>
      </c>
      <c r="AD192" s="908">
        <f>AD191/(AD$155*AD$247)</f>
        <v/>
      </c>
      <c r="AE192" s="908">
        <f>AE191/(AE$155*AE$247)</f>
        <v/>
      </c>
      <c r="AF192" s="908">
        <f>AF191/(AF$155*AF$247)</f>
        <v/>
      </c>
      <c r="AG192" s="908">
        <f>AG191/(AG$155*AG$247)</f>
        <v/>
      </c>
      <c r="AH192" s="908">
        <f>AH191/(AH$155*AH$247)</f>
        <v/>
      </c>
      <c r="AI192" s="908">
        <f>AI191/(AI$155*AI$247)</f>
        <v/>
      </c>
      <c r="AJ192" s="908">
        <f>AJ191/(AJ$155*AJ$247)</f>
        <v/>
      </c>
      <c r="AK192" s="908">
        <f>AK191/(AK$155*AK$247)</f>
        <v/>
      </c>
      <c r="AL192" s="908">
        <f>AL191/(AL$155*AL$247)</f>
        <v/>
      </c>
      <c r="AM192" s="908">
        <f>AM191/(AM$155*AM$247)</f>
        <v/>
      </c>
      <c r="AN192" s="908">
        <f>AN191/(AN$155*AN$247)</f>
        <v/>
      </c>
      <c r="AO192" s="908">
        <f>AO191/(AO$155*AO$247)</f>
        <v/>
      </c>
      <c r="AP192" s="908">
        <f>AP191/(AP$155*AP$247)</f>
        <v/>
      </c>
      <c r="AQ192" s="908">
        <f>AQ191/(AQ$155*AQ$247)</f>
        <v/>
      </c>
      <c r="AR192" s="908">
        <f>AR191/(AR$155*AR$247)</f>
        <v/>
      </c>
      <c r="AS192" s="908">
        <f>AS191/(AS$155*AS$247)</f>
        <v/>
      </c>
      <c r="AT192" s="908">
        <f>AT191/(AT$155*AT$247)</f>
        <v/>
      </c>
      <c r="AU192" s="908">
        <f>AU191/(AU$155*AU$247)</f>
        <v/>
      </c>
      <c r="AV192" s="908">
        <f>AV191/(AV$155*AV$247)</f>
        <v/>
      </c>
      <c r="AW192" s="908">
        <f>AW191/(AW$155*AW$247)</f>
        <v/>
      </c>
      <c r="AX192" s="908">
        <f>AX191/(AX$155*AX$247)</f>
        <v/>
      </c>
      <c r="AY192" s="908">
        <f>AY191/(AY$155*AY$247)</f>
        <v/>
      </c>
      <c r="AZ192" s="908">
        <f>AZ191/(AZ$155*AZ$247)</f>
        <v/>
      </c>
      <c r="BA192" s="908">
        <f>BA191/(BA$155*BA$247)</f>
        <v/>
      </c>
      <c r="BB192" s="908">
        <f>BB191/(BB$155*BB$247)</f>
        <v/>
      </c>
      <c r="BC192" s="908">
        <f>BC191/(BC$155*BC$247)</f>
        <v/>
      </c>
      <c r="BD192" s="908">
        <f>BD191/(BD$155*BD$247)</f>
        <v/>
      </c>
      <c r="BE192" s="908">
        <f>BE191/(BE$155*BE$247)</f>
        <v/>
      </c>
      <c r="BF192" s="908">
        <f>BF191/(BF$155*BF$247)</f>
        <v/>
      </c>
      <c r="BG192" s="908">
        <f>BG191/(BG$155*BG$247)</f>
        <v/>
      </c>
      <c r="BH192" s="908">
        <f>BH191/(BH$155*BH$247)</f>
        <v/>
      </c>
      <c r="BI192" s="908">
        <f>BI191/(BI$155*BI$247)</f>
        <v/>
      </c>
      <c r="BJ192" s="908">
        <f>BJ191/(BJ$155*BJ$247)</f>
        <v/>
      </c>
      <c r="BK192" s="908">
        <f>BK191/(BK$155*BK$247)</f>
        <v/>
      </c>
      <c r="BL192" s="908">
        <f>BL191/(BL$155*BL$247)</f>
        <v/>
      </c>
      <c r="BM192" s="908">
        <f>BM191/(BM$155*BM$247)</f>
        <v/>
      </c>
      <c r="BN192" s="908">
        <f>BN191/(BN$155*BN$247)</f>
        <v/>
      </c>
      <c r="BO192" s="908">
        <f>BO191/(BO$155*BO$247)</f>
        <v/>
      </c>
      <c r="BP192" s="908">
        <f>BP191/(BP$155*BP$247)</f>
        <v/>
      </c>
      <c r="BQ192" s="908">
        <f>BQ191/(BQ$155*BQ$247)</f>
        <v/>
      </c>
      <c r="BR192" s="908">
        <f>BR191/(BR$155*BR$247)</f>
        <v/>
      </c>
      <c r="BS192" s="909">
        <f>AVERAGE(BO192,BK192,BG192)</f>
        <v/>
      </c>
      <c r="BT192" s="909">
        <f>AVERAGE(BP192,BL192,BH192)</f>
        <v/>
      </c>
      <c r="BU192" s="909">
        <f>AVERAGE(BM192,BI192)</f>
        <v/>
      </c>
      <c r="BV192" s="909">
        <f>AVERAGE(BR192,BN192,BJ192)</f>
        <v/>
      </c>
      <c r="BW192" s="909">
        <f>AVERAGE(BS192,BO192,BK192)</f>
        <v/>
      </c>
      <c r="BX192" s="909">
        <f>AVERAGE(BT192,BP192,BL192)</f>
        <v/>
      </c>
      <c r="BY192" s="909">
        <f>AVERAGE(BU192,BM192)</f>
        <v/>
      </c>
      <c r="BZ192" s="909">
        <f>AVERAGE(BV192,BR192,BN192)</f>
        <v/>
      </c>
      <c r="CA192" s="909">
        <f>AVERAGE(BW192,BS192,BO192)</f>
        <v/>
      </c>
      <c r="CB192" s="909">
        <f>AVERAGE(BX192,BT192,BP192)</f>
        <v/>
      </c>
      <c r="CC192" s="909">
        <f>AVERAGE(BY192,BU192)</f>
        <v/>
      </c>
      <c r="CD192" s="909">
        <f>AVERAGE(BZ192,BV192,BR192)</f>
        <v/>
      </c>
      <c r="CE192" s="909">
        <f>AVERAGE(CA192,BW192,BS192)</f>
        <v/>
      </c>
      <c r="CF192" s="909">
        <f>AVERAGE(CB192,BX192,BT192)</f>
        <v/>
      </c>
      <c r="CG192" s="909">
        <f>AVERAGE(CC192,BY192,BU192)</f>
        <v/>
      </c>
      <c r="CH192" s="909">
        <f>AVERAGE(CD192,BZ192,BV192)</f>
        <v/>
      </c>
      <c r="CI192" s="909">
        <f>AVERAGE(CE192,CA192,BW192)</f>
        <v/>
      </c>
      <c r="CJ192" s="909">
        <f>AVERAGE(CF192,CB192,BX192)</f>
        <v/>
      </c>
      <c r="CK192" s="909">
        <f>AVERAGE(CG192,CC192,BY192)</f>
        <v/>
      </c>
    </row>
    <row r="193">
      <c r="A193" s="413" t="n"/>
      <c r="B193" s="883" t="n"/>
      <c r="C193" s="883" t="n"/>
      <c r="D193" s="883" t="n"/>
      <c r="E193" s="883" t="n"/>
      <c r="F193" s="883" t="n"/>
      <c r="G193" s="883" t="n"/>
      <c r="H193" s="883" t="n"/>
      <c r="I193" s="883" t="n"/>
      <c r="J193" s="883" t="n"/>
      <c r="K193" s="883" t="n"/>
      <c r="L193" s="883" t="n"/>
      <c r="M193" s="883" t="n"/>
    </row>
    <row r="194">
      <c r="A194" s="524">
        <f>FS_Q!A53</f>
        <v/>
      </c>
      <c r="N194" s="516">
        <f>FS_Q!N53</f>
        <v/>
      </c>
      <c r="O194" s="516">
        <f>FS_Q!O53</f>
        <v/>
      </c>
      <c r="P194" s="516">
        <f>FS_Q!P53</f>
        <v/>
      </c>
      <c r="Q194" s="516">
        <f>FS_Q!Q53</f>
        <v/>
      </c>
      <c r="R194" s="516">
        <f>FS_Q!R53</f>
        <v/>
      </c>
      <c r="S194" s="516">
        <f>FS_Q!S53</f>
        <v/>
      </c>
      <c r="T194" s="516">
        <f>FS_Q!T53</f>
        <v/>
      </c>
      <c r="U194" s="516">
        <f>FS_Q!U53</f>
        <v/>
      </c>
      <c r="V194" s="516">
        <f>FS_Q!V53</f>
        <v/>
      </c>
      <c r="W194" s="516">
        <f>FS_Q!W53</f>
        <v/>
      </c>
      <c r="X194" s="516">
        <f>FS_Q!X53</f>
        <v/>
      </c>
      <c r="Y194" s="516">
        <f>FS_Q!Y53</f>
        <v/>
      </c>
      <c r="Z194" s="516">
        <f>FS_Q!Z53</f>
        <v/>
      </c>
      <c r="AA194" s="516">
        <f>FS_Q!AA53</f>
        <v/>
      </c>
      <c r="AB194" s="516">
        <f>FS_Q!AB53</f>
        <v/>
      </c>
      <c r="AC194" s="516">
        <f>FS_Q!AC53</f>
        <v/>
      </c>
      <c r="AD194" s="516">
        <f>FS_Q!AD53</f>
        <v/>
      </c>
      <c r="AE194" s="516">
        <f>FS_Q!AE53</f>
        <v/>
      </c>
      <c r="AF194" s="516">
        <f>FS_Q!AF53</f>
        <v/>
      </c>
      <c r="AG194" s="516">
        <f>FS_Q!AG53</f>
        <v/>
      </c>
      <c r="AH194" s="516">
        <f>FS_Q!AH53</f>
        <v/>
      </c>
      <c r="AI194" s="516">
        <f>FS_Q!AI53</f>
        <v/>
      </c>
      <c r="AJ194" s="516">
        <f>FS_Q!AJ53</f>
        <v/>
      </c>
      <c r="AK194" s="516">
        <f>FS_Q!AK53</f>
        <v/>
      </c>
      <c r="AL194" s="516">
        <f>FS_Q!AL53</f>
        <v/>
      </c>
      <c r="AM194" s="516">
        <f>FS_Q!AM53</f>
        <v/>
      </c>
      <c r="AN194" s="516">
        <f>FS_Q!AN53</f>
        <v/>
      </c>
      <c r="AO194" s="516">
        <f>FS_Q!AO53</f>
        <v/>
      </c>
      <c r="AP194" s="516">
        <f>FS_Q!AP53</f>
        <v/>
      </c>
      <c r="AQ194" s="516">
        <f>FS_Q!AQ53</f>
        <v/>
      </c>
      <c r="AR194" s="516">
        <f>FS_Q!AR53</f>
        <v/>
      </c>
      <c r="AS194" s="516">
        <f>FS_Q!AS53</f>
        <v/>
      </c>
      <c r="AT194" s="516">
        <f>FS_Q!AT53</f>
        <v/>
      </c>
      <c r="AU194" s="516">
        <f>FS_Q!AU53</f>
        <v/>
      </c>
      <c r="AV194" s="516">
        <f>FS_Q!AV53</f>
        <v/>
      </c>
      <c r="AW194" s="516">
        <f>FS_Q!AW53</f>
        <v/>
      </c>
      <c r="AX194" s="516">
        <f>FS_Q!AX53</f>
        <v/>
      </c>
      <c r="AY194" s="516">
        <f>FS_Q!AY53</f>
        <v/>
      </c>
      <c r="AZ194" s="516">
        <f>FS_Q!AZ53</f>
        <v/>
      </c>
      <c r="BA194" s="516">
        <f>FS_Q!BA53</f>
        <v/>
      </c>
      <c r="BB194" s="516">
        <f>FS_Q!BB53</f>
        <v/>
      </c>
      <c r="BC194" s="516">
        <f>FS_Q!BC53</f>
        <v/>
      </c>
      <c r="BD194" s="516">
        <f>FS_Q!BD53</f>
        <v/>
      </c>
      <c r="BE194" s="516">
        <f>FS_Q!BE53</f>
        <v/>
      </c>
      <c r="BF194" s="516">
        <f>FS_Q!BF53</f>
        <v/>
      </c>
      <c r="BG194" s="516">
        <f>FS_Q!BG53</f>
        <v/>
      </c>
      <c r="BH194" s="516">
        <f>FS_Q!BH53</f>
        <v/>
      </c>
      <c r="BI194" s="516">
        <f>FS_Q!BI53</f>
        <v/>
      </c>
      <c r="BJ194" s="516">
        <f>FS_Q!BJ53</f>
        <v/>
      </c>
      <c r="BK194" s="516">
        <f>FS_Q!BK53</f>
        <v/>
      </c>
      <c r="BL194" s="516">
        <f>FS_Q!BL53</f>
        <v/>
      </c>
      <c r="BM194" s="516">
        <f>FS_Q!BM53</f>
        <v/>
      </c>
      <c r="BN194" s="516">
        <f>FS_Q!BN53</f>
        <v/>
      </c>
      <c r="BO194" s="516">
        <f>FS_Q!BO53</f>
        <v/>
      </c>
      <c r="BP194" s="516">
        <f>FS_Q!BP53</f>
        <v/>
      </c>
      <c r="BQ194" s="516">
        <f>FS_Q!BQ53</f>
        <v/>
      </c>
      <c r="BR194" s="516">
        <f>FS_Q!BR53</f>
        <v/>
      </c>
      <c r="BS194" s="517">
        <f>BR194</f>
        <v/>
      </c>
      <c r="BT194" s="517">
        <f>BS194</f>
        <v/>
      </c>
      <c r="BU194" s="517">
        <f>BT194</f>
        <v/>
      </c>
      <c r="BV194" s="517">
        <f>BU194</f>
        <v/>
      </c>
      <c r="BW194" s="517">
        <f>BV194</f>
        <v/>
      </c>
      <c r="BX194" s="517">
        <f>BW194</f>
        <v/>
      </c>
      <c r="BY194" s="517">
        <f>BX194</f>
        <v/>
      </c>
      <c r="BZ194" s="517">
        <f>BY194</f>
        <v/>
      </c>
      <c r="CA194" s="517">
        <f>BZ194</f>
        <v/>
      </c>
      <c r="CB194" s="517">
        <f>CA194</f>
        <v/>
      </c>
      <c r="CC194" s="517">
        <f>CB194</f>
        <v/>
      </c>
      <c r="CD194" s="517">
        <f>CC194</f>
        <v/>
      </c>
      <c r="CE194" s="517">
        <f>CD194</f>
        <v/>
      </c>
      <c r="CF194" s="517">
        <f>CE194</f>
        <v/>
      </c>
      <c r="CG194" s="517">
        <f>CF194</f>
        <v/>
      </c>
      <c r="CH194" s="517">
        <f>CG194</f>
        <v/>
      </c>
      <c r="CI194" s="517">
        <f>CH194</f>
        <v/>
      </c>
      <c r="CJ194" s="517">
        <f>CI194</f>
        <v/>
      </c>
      <c r="CK194" s="517">
        <f>CJ194</f>
        <v/>
      </c>
    </row>
    <row r="195">
      <c r="A195" s="524">
        <f>FS_Q!A55</f>
        <v/>
      </c>
      <c r="B195" s="79" t="n"/>
      <c r="C195" s="79" t="n"/>
      <c r="D195" s="79" t="n"/>
      <c r="E195" s="140" t="n"/>
      <c r="F195" s="140" t="n"/>
      <c r="G195" s="140" t="n"/>
      <c r="H195" s="140" t="n"/>
      <c r="I195" s="140" t="n"/>
      <c r="J195" s="140" t="n"/>
      <c r="K195" s="140" t="n"/>
      <c r="L195" s="140" t="n"/>
      <c r="M195" s="140" t="n"/>
      <c r="N195" s="516">
        <f>FS_Q!N55</f>
        <v/>
      </c>
      <c r="O195" s="516">
        <f>FS_Q!O55</f>
        <v/>
      </c>
      <c r="P195" s="516">
        <f>FS_Q!P55</f>
        <v/>
      </c>
      <c r="Q195" s="516">
        <f>FS_Q!Q55</f>
        <v/>
      </c>
      <c r="R195" s="516">
        <f>FS_Q!R55</f>
        <v/>
      </c>
      <c r="S195" s="516">
        <f>FS_Q!S55</f>
        <v/>
      </c>
      <c r="T195" s="516">
        <f>FS_Q!T55</f>
        <v/>
      </c>
      <c r="U195" s="516">
        <f>FS_Q!U55</f>
        <v/>
      </c>
      <c r="V195" s="516">
        <f>FS_Q!V55</f>
        <v/>
      </c>
      <c r="W195" s="516">
        <f>FS_Q!W55</f>
        <v/>
      </c>
      <c r="X195" s="516">
        <f>FS_Q!X55</f>
        <v/>
      </c>
      <c r="Y195" s="516">
        <f>FS_Q!Y55</f>
        <v/>
      </c>
      <c r="Z195" s="516">
        <f>FS_Q!Z55</f>
        <v/>
      </c>
      <c r="AA195" s="516">
        <f>FS_Q!AA55</f>
        <v/>
      </c>
      <c r="AB195" s="516">
        <f>FS_Q!AB55</f>
        <v/>
      </c>
      <c r="AC195" s="516">
        <f>FS_Q!AC55</f>
        <v/>
      </c>
      <c r="AD195" s="516">
        <f>FS_Q!AD55</f>
        <v/>
      </c>
      <c r="AE195" s="516">
        <f>FS_Q!AE55</f>
        <v/>
      </c>
      <c r="AF195" s="516">
        <f>FS_Q!AF55</f>
        <v/>
      </c>
      <c r="AG195" s="516">
        <f>FS_Q!AG55</f>
        <v/>
      </c>
      <c r="AH195" s="516">
        <f>FS_Q!AH55</f>
        <v/>
      </c>
      <c r="AI195" s="516">
        <f>FS_Q!AI55</f>
        <v/>
      </c>
      <c r="AJ195" s="516">
        <f>FS_Q!AJ55</f>
        <v/>
      </c>
      <c r="AK195" s="516">
        <f>FS_Q!AK55</f>
        <v/>
      </c>
      <c r="AL195" s="516">
        <f>FS_Q!AL55</f>
        <v/>
      </c>
      <c r="AM195" s="516">
        <f>FS_Q!AM55</f>
        <v/>
      </c>
      <c r="AN195" s="516">
        <f>FS_Q!AN55</f>
        <v/>
      </c>
      <c r="AO195" s="516">
        <f>FS_Q!AO55</f>
        <v/>
      </c>
      <c r="AP195" s="516">
        <f>FS_Q!AP55</f>
        <v/>
      </c>
      <c r="AQ195" s="516">
        <f>FS_Q!AQ55</f>
        <v/>
      </c>
      <c r="AR195" s="516">
        <f>FS_Q!AR55</f>
        <v/>
      </c>
      <c r="AS195" s="516">
        <f>FS_Q!AS55</f>
        <v/>
      </c>
      <c r="AT195" s="516">
        <f>FS_Q!AT55</f>
        <v/>
      </c>
      <c r="AU195" s="516">
        <f>FS_Q!AU55</f>
        <v/>
      </c>
      <c r="AV195" s="516">
        <f>FS_Q!AV55</f>
        <v/>
      </c>
      <c r="AW195" s="516">
        <f>FS_Q!AW55</f>
        <v/>
      </c>
      <c r="AX195" s="516">
        <f>FS_Q!AX55</f>
        <v/>
      </c>
      <c r="AY195" s="516">
        <f>FS_Q!AY55</f>
        <v/>
      </c>
      <c r="AZ195" s="516">
        <f>FS_Q!AZ55</f>
        <v/>
      </c>
      <c r="BA195" s="516">
        <f>FS_Q!BA55</f>
        <v/>
      </c>
      <c r="BB195" s="516">
        <f>FS_Q!BB55</f>
        <v/>
      </c>
      <c r="BC195" s="516">
        <f>FS_Q!BC55</f>
        <v/>
      </c>
      <c r="BD195" s="516">
        <f>FS_Q!BD55</f>
        <v/>
      </c>
      <c r="BE195" s="516">
        <f>FS_Q!BE55</f>
        <v/>
      </c>
      <c r="BF195" s="516">
        <f>FS_Q!BF55</f>
        <v/>
      </c>
      <c r="BG195" s="516">
        <f>FS_Q!BG55</f>
        <v/>
      </c>
      <c r="BH195" s="516">
        <f>FS_Q!BH55</f>
        <v/>
      </c>
      <c r="BI195" s="516">
        <f>FS_Q!BI55</f>
        <v/>
      </c>
      <c r="BJ195" s="516">
        <f>FS_Q!BJ55</f>
        <v/>
      </c>
      <c r="BK195" s="516">
        <f>FS_Q!BK55</f>
        <v/>
      </c>
      <c r="BL195" s="516">
        <f>FS_Q!BL55</f>
        <v/>
      </c>
      <c r="BM195" s="516">
        <f>FS_Q!BM55</f>
        <v/>
      </c>
      <c r="BN195" s="516">
        <f>FS_Q!BN55</f>
        <v/>
      </c>
      <c r="BO195" s="516">
        <f>FS_Q!BO55</f>
        <v/>
      </c>
      <c r="BP195" s="516">
        <f>FS_Q!BP55</f>
        <v/>
      </c>
      <c r="BQ195" s="516">
        <f>FS_Q!BQ55</f>
        <v/>
      </c>
      <c r="BR195" s="516">
        <f>FS_Q!BR55</f>
        <v/>
      </c>
      <c r="BS195" s="517">
        <f>BS196*BS$152*BS$247</f>
        <v/>
      </c>
      <c r="BT195" s="517">
        <f>BT196*BT$152*BT$247</f>
        <v/>
      </c>
      <c r="BU195" s="517">
        <f>BU196*BU$152*BU$247</f>
        <v/>
      </c>
      <c r="BV195" s="517">
        <f>BV196*BV$152*BV$247</f>
        <v/>
      </c>
      <c r="BW195" s="517">
        <f>BW196*BW$152*BW$247</f>
        <v/>
      </c>
      <c r="BX195" s="517">
        <f>BX196*BX$152*BX$247</f>
        <v/>
      </c>
      <c r="BY195" s="517">
        <f>BY196*BY$152*BY$247</f>
        <v/>
      </c>
      <c r="BZ195" s="517">
        <f>BZ196*BZ$152*BZ$247</f>
        <v/>
      </c>
      <c r="CA195" s="517">
        <f>CA196*CA$152*CA$247</f>
        <v/>
      </c>
      <c r="CB195" s="517">
        <f>CB196*CB$152*CB$247</f>
        <v/>
      </c>
      <c r="CC195" s="517">
        <f>CC196*CC$152*CC$247</f>
        <v/>
      </c>
      <c r="CD195" s="517">
        <f>CD196*CD$152*CD$247</f>
        <v/>
      </c>
      <c r="CE195" s="517">
        <f>CE196*CE$152*CE$247</f>
        <v/>
      </c>
      <c r="CF195" s="517">
        <f>CF196*CF$152*CF$247</f>
        <v/>
      </c>
      <c r="CG195" s="517">
        <f>CG196*CG$152*CG$247</f>
        <v/>
      </c>
      <c r="CH195" s="517">
        <f>CH196*CH$152*CH$247</f>
        <v/>
      </c>
      <c r="CI195" s="517">
        <f>CI196*CI$152*CI$247</f>
        <v/>
      </c>
      <c r="CJ195" s="517">
        <f>CJ196*CJ$152*CJ$247</f>
        <v/>
      </c>
      <c r="CK195" s="517">
        <f>CK196*CK$152*CK$247</f>
        <v/>
      </c>
    </row>
    <row r="196">
      <c r="A196" s="525">
        <f>A136</f>
        <v/>
      </c>
      <c r="B196" s="883" t="n"/>
      <c r="C196" s="883" t="n"/>
      <c r="D196" s="883" t="n"/>
      <c r="E196" s="883" t="n"/>
      <c r="F196" s="883" t="n"/>
      <c r="G196" s="883" t="n"/>
      <c r="H196" s="883" t="n"/>
      <c r="I196" s="883" t="n"/>
      <c r="J196" s="883" t="n"/>
      <c r="K196" s="883" t="n"/>
      <c r="L196" s="883" t="n"/>
      <c r="M196" s="883" t="n"/>
      <c r="N196" s="908">
        <f>N195/(N$152*N$247)</f>
        <v/>
      </c>
      <c r="O196" s="908">
        <f>O195/(O$152*O$247)</f>
        <v/>
      </c>
      <c r="P196" s="908">
        <f>P195/(P$152*P$247)</f>
        <v/>
      </c>
      <c r="Q196" s="908">
        <f>Q195/(Q$152*Q$247)</f>
        <v/>
      </c>
      <c r="R196" s="908">
        <f>R195/(R$152*R$247)</f>
        <v/>
      </c>
      <c r="S196" s="908">
        <f>S195/(S$152*S$247)</f>
        <v/>
      </c>
      <c r="T196" s="908">
        <f>T195/(T$152*T$247)</f>
        <v/>
      </c>
      <c r="U196" s="908">
        <f>U195/(U$152*U$247)</f>
        <v/>
      </c>
      <c r="V196" s="908">
        <f>V195/(V$152*V$247)</f>
        <v/>
      </c>
      <c r="W196" s="908">
        <f>W195/(W$152*W$247)</f>
        <v/>
      </c>
      <c r="X196" s="908">
        <f>X195/(X$152*X$247)</f>
        <v/>
      </c>
      <c r="Y196" s="908">
        <f>Y195/(Y$152*Y$247)</f>
        <v/>
      </c>
      <c r="Z196" s="908">
        <f>Z195/(Z$152*Z$247)</f>
        <v/>
      </c>
      <c r="AA196" s="908">
        <f>AA195/(AA$152*AA$247)</f>
        <v/>
      </c>
      <c r="AB196" s="908">
        <f>AB195/(AB$152*AB$247)</f>
        <v/>
      </c>
      <c r="AC196" s="908">
        <f>AC195/(AC$152*AC$247)</f>
        <v/>
      </c>
      <c r="AD196" s="908">
        <f>AD195/(AD$152*AD$247)</f>
        <v/>
      </c>
      <c r="AE196" s="908">
        <f>AE195/(AE$152*AE$247)</f>
        <v/>
      </c>
      <c r="AF196" s="908">
        <f>AF195/(AF$152*AF$247)</f>
        <v/>
      </c>
      <c r="AG196" s="908">
        <f>AG195/(AG$152*AG$247)</f>
        <v/>
      </c>
      <c r="AH196" s="908">
        <f>AH195/(AH$152*AH$247)</f>
        <v/>
      </c>
      <c r="AI196" s="908">
        <f>AI195/(AI$152*AI$247)</f>
        <v/>
      </c>
      <c r="AJ196" s="908">
        <f>AJ195/(AJ$152*AJ$247)</f>
        <v/>
      </c>
      <c r="AK196" s="908">
        <f>AK195/(AK$152*AK$247)</f>
        <v/>
      </c>
      <c r="AL196" s="908">
        <f>AL195/(AL$152*AL$247)</f>
        <v/>
      </c>
      <c r="AM196" s="908">
        <f>AM195/(AM$152*AM$247)</f>
        <v/>
      </c>
      <c r="AN196" s="908">
        <f>AN195/(AN$152*AN$247)</f>
        <v/>
      </c>
      <c r="AO196" s="908">
        <f>AO195/(AO$152*AO$247)</f>
        <v/>
      </c>
      <c r="AP196" s="908">
        <f>AP195/(AP$152*AP$247)</f>
        <v/>
      </c>
      <c r="AQ196" s="908">
        <f>AQ195/(AQ$152*AQ$247)</f>
        <v/>
      </c>
      <c r="AR196" s="908">
        <f>AR195/(AR$152*AR$247)</f>
        <v/>
      </c>
      <c r="AS196" s="908">
        <f>AS195/(AS$152*AS$247)</f>
        <v/>
      </c>
      <c r="AT196" s="908">
        <f>AT195/(AT$152*AT$247)</f>
        <v/>
      </c>
      <c r="AU196" s="908">
        <f>AU195/(AU$152*AU$247)</f>
        <v/>
      </c>
      <c r="AV196" s="908">
        <f>AV195/(AV$152*AV$247)</f>
        <v/>
      </c>
      <c r="AW196" s="908">
        <f>AW195/(AW$152*AW$247)</f>
        <v/>
      </c>
      <c r="AX196" s="908">
        <f>AX195/(AX$152*AX$247)</f>
        <v/>
      </c>
      <c r="AY196" s="908">
        <f>AY195/(AY$152*AY$247)</f>
        <v/>
      </c>
      <c r="AZ196" s="908">
        <f>AZ195/(AZ$152*AZ$247)</f>
        <v/>
      </c>
      <c r="BA196" s="908">
        <f>BA195/(BA$152*BA$247)</f>
        <v/>
      </c>
      <c r="BB196" s="908">
        <f>BB195/(BB$152*BB$247)</f>
        <v/>
      </c>
      <c r="BC196" s="908">
        <f>BC195/(BC$152*BC$247)</f>
        <v/>
      </c>
      <c r="BD196" s="908">
        <f>BD195/(BD$152*BD$247)</f>
        <v/>
      </c>
      <c r="BE196" s="908">
        <f>BE195/(BE$152*BE$247)</f>
        <v/>
      </c>
      <c r="BF196" s="908">
        <f>BF195/(BF$152*BF$247)</f>
        <v/>
      </c>
      <c r="BG196" s="908">
        <f>BG195/(BG$152*BG$247)</f>
        <v/>
      </c>
      <c r="BH196" s="908">
        <f>BH195/(BH$152*BH$247)</f>
        <v/>
      </c>
      <c r="BI196" s="908">
        <f>BI195/(BI$152*BI$247)</f>
        <v/>
      </c>
      <c r="BJ196" s="908">
        <f>BJ195/(BJ$152*BJ$247)</f>
        <v/>
      </c>
      <c r="BK196" s="908">
        <f>BK195/(BK$152*BK$247)</f>
        <v/>
      </c>
      <c r="BL196" s="908">
        <f>BL195/(BL$152*BL$247)</f>
        <v/>
      </c>
      <c r="BM196" s="908">
        <f>BM195/(BM$152*BM$247)</f>
        <v/>
      </c>
      <c r="BN196" s="908">
        <f>BN195/(BN$152*BN$247)</f>
        <v/>
      </c>
      <c r="BO196" s="908">
        <f>BO195/(BO$152*BO$247)</f>
        <v/>
      </c>
      <c r="BP196" s="908">
        <f>BP195/(BP$152*BP$247)</f>
        <v/>
      </c>
      <c r="BQ196" s="908">
        <f>BQ195/(BQ$152*BQ$247)</f>
        <v/>
      </c>
      <c r="BR196" s="908">
        <f>BR195/(BR$152*BR$247)</f>
        <v/>
      </c>
      <c r="BS196" s="909">
        <f>BR196</f>
        <v/>
      </c>
      <c r="BT196" s="909">
        <f>BS196</f>
        <v/>
      </c>
      <c r="BU196" s="909">
        <f>BT196</f>
        <v/>
      </c>
      <c r="BV196" s="909">
        <f>BU196</f>
        <v/>
      </c>
      <c r="BW196" s="909">
        <f>BV196</f>
        <v/>
      </c>
      <c r="BX196" s="909">
        <f>BW196</f>
        <v/>
      </c>
      <c r="BY196" s="909">
        <f>BX196</f>
        <v/>
      </c>
      <c r="BZ196" s="909">
        <f>BY196</f>
        <v/>
      </c>
      <c r="CA196" s="909">
        <f>BZ196</f>
        <v/>
      </c>
      <c r="CB196" s="909">
        <f>CA196</f>
        <v/>
      </c>
      <c r="CC196" s="909">
        <f>CB196</f>
        <v/>
      </c>
      <c r="CD196" s="909">
        <f>CC196</f>
        <v/>
      </c>
      <c r="CE196" s="909">
        <f>CD196</f>
        <v/>
      </c>
      <c r="CF196" s="909">
        <f>CE196</f>
        <v/>
      </c>
      <c r="CG196" s="909">
        <f>CF196</f>
        <v/>
      </c>
      <c r="CH196" s="909">
        <f>CG196</f>
        <v/>
      </c>
      <c r="CI196" s="909">
        <f>CH196</f>
        <v/>
      </c>
      <c r="CJ196" s="909">
        <f>CI196</f>
        <v/>
      </c>
      <c r="CK196" s="909">
        <f>CJ196</f>
        <v/>
      </c>
    </row>
    <row r="197" ht="14" customHeight="1" thickBot="1">
      <c r="A197" s="531" t="n"/>
    </row>
    <row r="198">
      <c r="A198" s="412" t="n"/>
    </row>
    <row r="199">
      <c r="A199" s="411">
        <f>FS_Q!A64</f>
        <v/>
      </c>
      <c r="B199" s="140" t="n"/>
      <c r="C199" s="140" t="n"/>
      <c r="D199" s="140" t="n"/>
      <c r="E199" s="140" t="n"/>
      <c r="F199" s="140" t="n"/>
      <c r="G199" s="426" t="n"/>
      <c r="H199" s="426" t="n"/>
      <c r="I199" s="426" t="n"/>
      <c r="J199" s="426" t="n"/>
      <c r="K199" s="426" t="n"/>
      <c r="L199" s="426" t="n"/>
      <c r="M199" s="426" t="n"/>
      <c r="N199" s="516">
        <f>FS_Q!N64</f>
        <v/>
      </c>
      <c r="O199" s="516">
        <f>FS_Q!O64</f>
        <v/>
      </c>
      <c r="P199" s="516">
        <f>FS_Q!P64</f>
        <v/>
      </c>
      <c r="Q199" s="516">
        <f>FS_Q!Q64</f>
        <v/>
      </c>
      <c r="R199" s="516">
        <f>FS_Q!R64</f>
        <v/>
      </c>
      <c r="S199" s="516">
        <f>FS_Q!S64</f>
        <v/>
      </c>
      <c r="T199" s="516">
        <f>FS_Q!T64</f>
        <v/>
      </c>
      <c r="U199" s="516">
        <f>FS_Q!U64</f>
        <v/>
      </c>
      <c r="V199" s="516">
        <f>FS_Q!V64</f>
        <v/>
      </c>
      <c r="W199" s="516">
        <f>FS_Q!W64</f>
        <v/>
      </c>
      <c r="X199" s="516">
        <f>FS_Q!X64</f>
        <v/>
      </c>
      <c r="Y199" s="516">
        <f>FS_Q!Y64</f>
        <v/>
      </c>
      <c r="Z199" s="516">
        <f>FS_Q!Z64</f>
        <v/>
      </c>
      <c r="AA199" s="516">
        <f>FS_Q!AA64</f>
        <v/>
      </c>
      <c r="AB199" s="516">
        <f>FS_Q!AB64</f>
        <v/>
      </c>
      <c r="AC199" s="516">
        <f>FS_Q!AC64</f>
        <v/>
      </c>
      <c r="AD199" s="516">
        <f>FS_Q!AD64</f>
        <v/>
      </c>
      <c r="AE199" s="516">
        <f>FS_Q!AE64</f>
        <v/>
      </c>
      <c r="AF199" s="516">
        <f>FS_Q!AF64</f>
        <v/>
      </c>
      <c r="AG199" s="516">
        <f>FS_Q!AG64</f>
        <v/>
      </c>
      <c r="AH199" s="516">
        <f>FS_Q!AH64</f>
        <v/>
      </c>
      <c r="AI199" s="516">
        <f>FS_Q!AI64</f>
        <v/>
      </c>
      <c r="AJ199" s="516">
        <f>FS_Q!AJ64</f>
        <v/>
      </c>
      <c r="AK199" s="516">
        <f>FS_Q!AK64</f>
        <v/>
      </c>
      <c r="AL199" s="516">
        <f>FS_Q!AL64</f>
        <v/>
      </c>
      <c r="AM199" s="516">
        <f>FS_Q!AM64</f>
        <v/>
      </c>
      <c r="AN199" s="516">
        <f>FS_Q!AN64</f>
        <v/>
      </c>
      <c r="AO199" s="516">
        <f>FS_Q!AO64</f>
        <v/>
      </c>
      <c r="AP199" s="516">
        <f>FS_Q!AP64</f>
        <v/>
      </c>
      <c r="AQ199" s="516">
        <f>FS_Q!AQ64</f>
        <v/>
      </c>
      <c r="AR199" s="516">
        <f>FS_Q!AR64</f>
        <v/>
      </c>
      <c r="AS199" s="516">
        <f>FS_Q!AS64</f>
        <v/>
      </c>
      <c r="AT199" s="516">
        <f>FS_Q!AT64</f>
        <v/>
      </c>
      <c r="AU199" s="516">
        <f>FS_Q!AU64</f>
        <v/>
      </c>
      <c r="AV199" s="516">
        <f>FS_Q!AV64</f>
        <v/>
      </c>
      <c r="AW199" s="516">
        <f>FS_Q!AW64</f>
        <v/>
      </c>
      <c r="AX199" s="516">
        <f>FS_Q!AX64</f>
        <v/>
      </c>
      <c r="AY199" s="516">
        <f>FS_Q!AY64</f>
        <v/>
      </c>
      <c r="AZ199" s="516">
        <f>FS_Q!AZ64</f>
        <v/>
      </c>
      <c r="BA199" s="516">
        <f>FS_Q!BA64</f>
        <v/>
      </c>
      <c r="BB199" s="516">
        <f>FS_Q!BB64</f>
        <v/>
      </c>
      <c r="BC199" s="516">
        <f>FS_Q!BC64</f>
        <v/>
      </c>
      <c r="BD199" s="516">
        <f>FS_Q!BD64</f>
        <v/>
      </c>
      <c r="BE199" s="516">
        <f>FS_Q!BE64</f>
        <v/>
      </c>
      <c r="BF199" s="516">
        <f>FS_Q!BF64</f>
        <v/>
      </c>
      <c r="BG199" s="516">
        <f>FS_Q!BG64</f>
        <v/>
      </c>
      <c r="BH199" s="516">
        <f>FS_Q!BH64</f>
        <v/>
      </c>
      <c r="BI199" s="516">
        <f>FS_Q!BI64</f>
        <v/>
      </c>
      <c r="BJ199" s="516">
        <f>FS_Q!BJ64</f>
        <v/>
      </c>
      <c r="BK199" s="516">
        <f>FS_Q!BK64</f>
        <v/>
      </c>
      <c r="BL199" s="516">
        <f>FS_Q!BL64</f>
        <v/>
      </c>
      <c r="BM199" s="516">
        <f>FS_Q!BM64</f>
        <v/>
      </c>
      <c r="BN199" s="516">
        <f>FS_Q!BN64</f>
        <v/>
      </c>
      <c r="BO199" s="516">
        <f>FS_Q!BO64</f>
        <v/>
      </c>
      <c r="BP199" s="516">
        <f>FS_Q!BP64</f>
        <v/>
      </c>
      <c r="BQ199" s="516">
        <f>FS_Q!BQ64</f>
        <v/>
      </c>
      <c r="BR199" s="516">
        <f>FS_Q!BR64</f>
        <v/>
      </c>
      <c r="BS199" s="517">
        <f>BS200*BS$152*BS$247</f>
        <v/>
      </c>
      <c r="BT199" s="517">
        <f>BT200*BT$152*BT$247</f>
        <v/>
      </c>
      <c r="BU199" s="517">
        <f>BU200*BU$152*BU$247</f>
        <v/>
      </c>
      <c r="BV199" s="517">
        <f>BV200*BV$152*BV$247</f>
        <v/>
      </c>
      <c r="BW199" s="517">
        <f>BW200*BW$152*BW$247</f>
        <v/>
      </c>
      <c r="BX199" s="517">
        <f>BX200*BX$152*BX$247</f>
        <v/>
      </c>
      <c r="BY199" s="517">
        <f>BY200*BY$152*BY$247</f>
        <v/>
      </c>
      <c r="BZ199" s="517">
        <f>BZ200*BZ$152*BZ$247</f>
        <v/>
      </c>
      <c r="CA199" s="517">
        <f>CA200*CA$152*CA$247</f>
        <v/>
      </c>
      <c r="CB199" s="517">
        <f>CB200*CB$152*CB$247</f>
        <v/>
      </c>
      <c r="CC199" s="517">
        <f>CC200*CC$152*CC$247</f>
        <v/>
      </c>
      <c r="CD199" s="517">
        <f>CD200*CD$152*CD$247</f>
        <v/>
      </c>
      <c r="CE199" s="517">
        <f>CE200*CE$152*CE$247</f>
        <v/>
      </c>
      <c r="CF199" s="517">
        <f>CF200*CF$152*CF$247</f>
        <v/>
      </c>
      <c r="CG199" s="517">
        <f>CG200*CG$152*CG$247</f>
        <v/>
      </c>
      <c r="CH199" s="517">
        <f>CH200*CH$152*CH$247</f>
        <v/>
      </c>
      <c r="CI199" s="517">
        <f>CI200*CI$152*CI$247</f>
        <v/>
      </c>
      <c r="CJ199" s="517">
        <f>CJ200*CJ$152*CJ$247</f>
        <v/>
      </c>
      <c r="CK199" s="517">
        <f>CK200*CK$152*CK$247</f>
        <v/>
      </c>
    </row>
    <row r="200">
      <c r="A200" s="525">
        <f>A196</f>
        <v/>
      </c>
      <c r="B200" s="140" t="n"/>
      <c r="C200" s="140" t="n"/>
      <c r="D200" s="140" t="n"/>
      <c r="E200" s="140" t="n"/>
      <c r="F200" s="140" t="n"/>
      <c r="G200" s="140" t="n"/>
      <c r="H200" s="140" t="n"/>
      <c r="I200" s="140" t="n"/>
      <c r="J200" s="140" t="n"/>
      <c r="K200" s="140" t="n"/>
      <c r="L200" s="140" t="n"/>
      <c r="M200" s="140" t="n"/>
      <c r="N200" s="908">
        <f>N199/(N$152*N$247)</f>
        <v/>
      </c>
      <c r="O200" s="908">
        <f>O199/(O$152*O$247)</f>
        <v/>
      </c>
      <c r="P200" s="908">
        <f>P199/(P$152*P$247)</f>
        <v/>
      </c>
      <c r="Q200" s="908">
        <f>Q199/(Q$152*Q$247)</f>
        <v/>
      </c>
      <c r="R200" s="908">
        <f>R199/(R$152*R$247)</f>
        <v/>
      </c>
      <c r="S200" s="908">
        <f>S199/(S$152*S$247)</f>
        <v/>
      </c>
      <c r="T200" s="908">
        <f>T199/(T$152*T$247)</f>
        <v/>
      </c>
      <c r="U200" s="908">
        <f>U199/(U$152*U$247)</f>
        <v/>
      </c>
      <c r="V200" s="908">
        <f>V199/(V$152*V$247)</f>
        <v/>
      </c>
      <c r="W200" s="908">
        <f>W199/(W$152*W$247)</f>
        <v/>
      </c>
      <c r="X200" s="908">
        <f>X199/(X$152*X$247)</f>
        <v/>
      </c>
      <c r="Y200" s="908">
        <f>Y199/(Y$152*Y$247)</f>
        <v/>
      </c>
      <c r="Z200" s="908">
        <f>Z199/(Z$152*Z$247)</f>
        <v/>
      </c>
      <c r="AA200" s="908">
        <f>AA199/(AA$152*AA$247)</f>
        <v/>
      </c>
      <c r="AB200" s="908">
        <f>AB199/(AB$152*AB$247)</f>
        <v/>
      </c>
      <c r="AC200" s="908">
        <f>AC199/(AC$152*AC$247)</f>
        <v/>
      </c>
      <c r="AD200" s="908">
        <f>AD199/(AD$152*AD$247)</f>
        <v/>
      </c>
      <c r="AE200" s="908">
        <f>AE199/(AE$152*AE$247)</f>
        <v/>
      </c>
      <c r="AF200" s="908">
        <f>AF199/(AF$152*AF$247)</f>
        <v/>
      </c>
      <c r="AG200" s="908">
        <f>AG199/(AG$152*AG$247)</f>
        <v/>
      </c>
      <c r="AH200" s="908">
        <f>AH199/(AH$152*AH$247)</f>
        <v/>
      </c>
      <c r="AI200" s="908">
        <f>AI199/(AI$152*AI$247)</f>
        <v/>
      </c>
      <c r="AJ200" s="908">
        <f>AJ199/(AJ$152*AJ$247)</f>
        <v/>
      </c>
      <c r="AK200" s="908">
        <f>AK199/(AK$152*AK$247)</f>
        <v/>
      </c>
      <c r="AL200" s="908">
        <f>AL199/(AL$152*AL$247)</f>
        <v/>
      </c>
      <c r="AM200" s="908">
        <f>AM199/(AM$152*AM$247)</f>
        <v/>
      </c>
      <c r="AN200" s="908">
        <f>AN199/(AN$152*AN$247)</f>
        <v/>
      </c>
      <c r="AO200" s="908">
        <f>AO199/(AO$152*AO$247)</f>
        <v/>
      </c>
      <c r="AP200" s="908">
        <f>AP199/(AP$152*AP$247)</f>
        <v/>
      </c>
      <c r="AQ200" s="908">
        <f>AQ199/(AQ$152*AQ$247)</f>
        <v/>
      </c>
      <c r="AR200" s="908">
        <f>AR199/(AR$152*AR$247)</f>
        <v/>
      </c>
      <c r="AS200" s="908">
        <f>AS199/(AS$152*AS$247)</f>
        <v/>
      </c>
      <c r="AT200" s="908">
        <f>AT199/(AT$152*AT$247)</f>
        <v/>
      </c>
      <c r="AU200" s="908">
        <f>AU199/(AU$152*AU$247)</f>
        <v/>
      </c>
      <c r="AV200" s="908">
        <f>AV199/(AV$152*AV$247)</f>
        <v/>
      </c>
      <c r="AW200" s="908">
        <f>AW199/(AW$152*AW$247)</f>
        <v/>
      </c>
      <c r="AX200" s="908">
        <f>AX199/(AX$152*AX$247)</f>
        <v/>
      </c>
      <c r="AY200" s="908">
        <f>AY199/(AY$152*AY$247)</f>
        <v/>
      </c>
      <c r="AZ200" s="908">
        <f>AZ199/(AZ$152*AZ$247)</f>
        <v/>
      </c>
      <c r="BA200" s="908">
        <f>BA199/(BA$152*BA$247)</f>
        <v/>
      </c>
      <c r="BB200" s="908">
        <f>BB199/(BB$152*BB$247)</f>
        <v/>
      </c>
      <c r="BC200" s="908">
        <f>BC199/(BC$152*BC$247)</f>
        <v/>
      </c>
      <c r="BD200" s="908">
        <f>BD199/(BD$152*BD$247)</f>
        <v/>
      </c>
      <c r="BE200" s="908">
        <f>BE199/(BE$152*BE$247)</f>
        <v/>
      </c>
      <c r="BF200" s="908">
        <f>BF199/(BF$152*BF$247)</f>
        <v/>
      </c>
      <c r="BG200" s="908">
        <f>BG199/(BG$152*BG$247)</f>
        <v/>
      </c>
      <c r="BH200" s="908">
        <f>BH199/(BH$152*BH$247)</f>
        <v/>
      </c>
      <c r="BI200" s="908">
        <f>BI199/(BI$152*BI$247)</f>
        <v/>
      </c>
      <c r="BJ200" s="908">
        <f>BJ199/(BJ$152*BJ$247)</f>
        <v/>
      </c>
      <c r="BK200" s="908">
        <f>BK199/(BK$152*BK$247)</f>
        <v/>
      </c>
      <c r="BL200" s="908">
        <f>BL199/(BL$152*BL$247)</f>
        <v/>
      </c>
      <c r="BM200" s="908">
        <f>BM199/(BM$152*BM$247)</f>
        <v/>
      </c>
      <c r="BN200" s="908">
        <f>BN199/(BN$152*BN$247)</f>
        <v/>
      </c>
      <c r="BO200" s="908">
        <f>BO199/(BO$152*BO$247)</f>
        <v/>
      </c>
      <c r="BP200" s="908">
        <f>BP199/(BP$152*BP$247)</f>
        <v/>
      </c>
      <c r="BQ200" s="908">
        <f>BQ199/(BQ$152*BQ$247)</f>
        <v/>
      </c>
      <c r="BR200" s="908">
        <f>BR199/(BR$152*BR$247)</f>
        <v/>
      </c>
      <c r="BS200" s="909">
        <f>AVERAGE(BO200,BK200,BG200)</f>
        <v/>
      </c>
      <c r="BT200" s="909">
        <f>AVERAGE(BP200,BL200,BH200)</f>
        <v/>
      </c>
      <c r="BU200" s="909">
        <f>AVERAGE(BQ200,BM200,BI200)</f>
        <v/>
      </c>
      <c r="BV200" s="909">
        <f>AVERAGE(BR200,BN200,BJ200)</f>
        <v/>
      </c>
      <c r="BW200" s="909">
        <f>AVERAGE(BS200,BO200,BK200)</f>
        <v/>
      </c>
      <c r="BX200" s="909">
        <f>AVERAGE(BT200,BP200,BL200)</f>
        <v/>
      </c>
      <c r="BY200" s="909">
        <f>AVERAGE(BU200,BQ200,BM200)</f>
        <v/>
      </c>
      <c r="BZ200" s="909">
        <f>AVERAGE(BV200,BR200,BN200)</f>
        <v/>
      </c>
      <c r="CA200" s="909">
        <f>AVERAGE(BW200,BS200,BO200)</f>
        <v/>
      </c>
      <c r="CB200" s="909">
        <f>AVERAGE(BX200,BT200,BP200)</f>
        <v/>
      </c>
      <c r="CC200" s="909">
        <f>AVERAGE(BY200,BU200,BQ200)</f>
        <v/>
      </c>
      <c r="CD200" s="909">
        <f>AVERAGE(BZ200,BV200,BR200)</f>
        <v/>
      </c>
      <c r="CE200" s="909">
        <f>AVERAGE(CA200,BW200,BS200)</f>
        <v/>
      </c>
      <c r="CF200" s="909">
        <f>AVERAGE(CB200,BX200,BT200)</f>
        <v/>
      </c>
      <c r="CG200" s="909">
        <f>AVERAGE(CC200,BY200,BU200)</f>
        <v/>
      </c>
      <c r="CH200" s="909">
        <f>AVERAGE(CD200,BZ200,BV200)</f>
        <v/>
      </c>
      <c r="CI200" s="909">
        <f>AVERAGE(CE200,CA200,BW200)</f>
        <v/>
      </c>
      <c r="CJ200" s="909">
        <f>AVERAGE(CF200,CB200,BX200)</f>
        <v/>
      </c>
      <c r="CK200" s="909">
        <f>AVERAGE(CG200,CC200,BY200)</f>
        <v/>
      </c>
    </row>
    <row r="201">
      <c r="B201" s="31" t="n"/>
      <c r="C201" s="31" t="n"/>
      <c r="D201" s="31" t="n"/>
      <c r="E201" s="31" t="n"/>
      <c r="F201" s="31" t="n"/>
      <c r="G201" s="31" t="n"/>
      <c r="H201" s="31" t="n"/>
      <c r="I201" s="31" t="n"/>
      <c r="J201" s="31" t="n"/>
      <c r="K201" s="31" t="n"/>
      <c r="L201" s="31" t="n"/>
      <c r="M201" s="31" t="n"/>
    </row>
    <row r="202">
      <c r="A202" s="411" t="inlineStr">
        <is>
          <t>Borrowings</t>
        </is>
      </c>
      <c r="B202" s="31" t="n"/>
      <c r="C202" s="31" t="n"/>
      <c r="D202" s="31" t="n"/>
      <c r="E202" s="31" t="n"/>
      <c r="F202" s="31" t="n"/>
    </row>
    <row r="203">
      <c r="A203" s="105" t="inlineStr">
        <is>
          <t>Current</t>
        </is>
      </c>
      <c r="B203" s="140" t="n"/>
      <c r="C203" s="140" t="n"/>
      <c r="D203" s="140" t="n"/>
      <c r="E203" s="140" t="n"/>
      <c r="F203" s="140" t="n"/>
      <c r="G203" s="140" t="n"/>
      <c r="H203" s="140" t="n"/>
      <c r="I203" s="140" t="n"/>
      <c r="J203" s="140" t="n"/>
      <c r="K203" s="140" t="n"/>
      <c r="L203" s="140" t="n"/>
      <c r="M203" s="140" t="n"/>
      <c r="N203" s="516">
        <f>FS_Q!N58</f>
        <v/>
      </c>
      <c r="O203" s="516">
        <f>FS_Q!O58</f>
        <v/>
      </c>
      <c r="P203" s="516">
        <f>FS_Q!P58</f>
        <v/>
      </c>
      <c r="Q203" s="516">
        <f>FS_Q!Q58</f>
        <v/>
      </c>
      <c r="R203" s="516">
        <f>FS_Q!R58</f>
        <v/>
      </c>
      <c r="S203" s="516">
        <f>FS_Q!S58</f>
        <v/>
      </c>
      <c r="T203" s="516">
        <f>FS_Q!T58</f>
        <v/>
      </c>
      <c r="U203" s="516">
        <f>FS_Q!U58</f>
        <v/>
      </c>
      <c r="V203" s="516">
        <f>FS_Q!V58</f>
        <v/>
      </c>
      <c r="W203" s="516">
        <f>FS_Q!W58</f>
        <v/>
      </c>
      <c r="X203" s="516">
        <f>FS_Q!X58</f>
        <v/>
      </c>
      <c r="Y203" s="516">
        <f>FS_Q!Y58</f>
        <v/>
      </c>
      <c r="Z203" s="516">
        <f>FS_Q!Z58</f>
        <v/>
      </c>
      <c r="AA203" s="516">
        <f>FS_Q!AA58</f>
        <v/>
      </c>
      <c r="AB203" s="516">
        <f>FS_Q!AB58</f>
        <v/>
      </c>
      <c r="AC203" s="516">
        <f>FS_Q!AC58</f>
        <v/>
      </c>
      <c r="AD203" s="516">
        <f>FS_Q!AD58</f>
        <v/>
      </c>
      <c r="AE203" s="516">
        <f>FS_Q!AE58</f>
        <v/>
      </c>
      <c r="AF203" s="516">
        <f>FS_Q!AF58</f>
        <v/>
      </c>
      <c r="AG203" s="516">
        <f>FS_Q!AG58</f>
        <v/>
      </c>
      <c r="AH203" s="516">
        <f>FS_Q!AH58</f>
        <v/>
      </c>
      <c r="AI203" s="516">
        <f>FS_Q!AI58</f>
        <v/>
      </c>
      <c r="AJ203" s="516">
        <f>FS_Q!AJ58</f>
        <v/>
      </c>
      <c r="AK203" s="516">
        <f>FS_Q!AK58</f>
        <v/>
      </c>
      <c r="AL203" s="516">
        <f>FS_Q!AL58</f>
        <v/>
      </c>
      <c r="AM203" s="516">
        <f>FS_Q!AM58</f>
        <v/>
      </c>
      <c r="AN203" s="516">
        <f>FS_Q!AN58</f>
        <v/>
      </c>
      <c r="AO203" s="516">
        <f>FS_Q!AO58</f>
        <v/>
      </c>
      <c r="AP203" s="516">
        <f>FS_Q!AP58</f>
        <v/>
      </c>
      <c r="AQ203" s="516">
        <f>FS_Q!AQ58</f>
        <v/>
      </c>
      <c r="AR203" s="516">
        <f>FS_Q!AR58</f>
        <v/>
      </c>
      <c r="AS203" s="516">
        <f>FS_Q!AS58</f>
        <v/>
      </c>
      <c r="AT203" s="516">
        <f>FS_Q!AT58</f>
        <v/>
      </c>
      <c r="AU203" s="516">
        <f>FS_Q!AU58</f>
        <v/>
      </c>
      <c r="AV203" s="516">
        <f>FS_Q!AV58</f>
        <v/>
      </c>
      <c r="AW203" s="516">
        <f>FS_Q!AW58</f>
        <v/>
      </c>
      <c r="AX203" s="516">
        <f>FS_Q!AX58</f>
        <v/>
      </c>
      <c r="AY203" s="516">
        <f>FS_Q!AY58</f>
        <v/>
      </c>
      <c r="AZ203" s="516">
        <f>FS_Q!AZ58</f>
        <v/>
      </c>
      <c r="BA203" s="516">
        <f>FS_Q!BA58</f>
        <v/>
      </c>
      <c r="BB203" s="516">
        <f>FS_Q!BB58</f>
        <v/>
      </c>
      <c r="BC203" s="516">
        <f>FS_Q!BC58</f>
        <v/>
      </c>
      <c r="BD203" s="516">
        <f>FS_Q!BD58</f>
        <v/>
      </c>
      <c r="BE203" s="516">
        <f>FS_Q!BE58</f>
        <v/>
      </c>
      <c r="BF203" s="516">
        <f>FS_Q!BF58</f>
        <v/>
      </c>
      <c r="BG203" s="516">
        <f>FS_Q!BG58</f>
        <v/>
      </c>
      <c r="BH203" s="516">
        <f>FS_Q!BH58</f>
        <v/>
      </c>
      <c r="BI203" s="516">
        <f>FS_Q!BI58</f>
        <v/>
      </c>
      <c r="BJ203" s="516">
        <f>FS_Q!BJ58</f>
        <v/>
      </c>
      <c r="BK203" s="516">
        <f>FS_Q!BK58</f>
        <v/>
      </c>
      <c r="BL203" s="516">
        <f>FS_Q!BL58</f>
        <v/>
      </c>
      <c r="BM203" s="516">
        <f>FS_Q!BM58</f>
        <v/>
      </c>
      <c r="BN203" s="516">
        <f>FS_Q!BN58</f>
        <v/>
      </c>
      <c r="BO203" s="516">
        <f>FS_Q!BO58</f>
        <v/>
      </c>
      <c r="BP203" s="516">
        <f>FS_Q!BP58</f>
        <v/>
      </c>
      <c r="BQ203" s="516">
        <f>FS_Q!BQ58</f>
        <v/>
      </c>
      <c r="BR203" s="516">
        <f>FS_Q!BR58</f>
        <v/>
      </c>
      <c r="BS203" s="517">
        <f>BR203*1.03</f>
        <v/>
      </c>
      <c r="BT203" s="517">
        <f>BS203*1.03</f>
        <v/>
      </c>
      <c r="BU203" s="517">
        <f>BT203*1.03</f>
        <v/>
      </c>
      <c r="BV203" s="517">
        <f>BU203*1.03</f>
        <v/>
      </c>
      <c r="BW203" s="517">
        <f>BV203*1.03</f>
        <v/>
      </c>
      <c r="BX203" s="517">
        <f>BW203*1.03</f>
        <v/>
      </c>
      <c r="BY203" s="517">
        <f>BX203*1.03</f>
        <v/>
      </c>
      <c r="BZ203" s="517">
        <f>BY203*1.03</f>
        <v/>
      </c>
      <c r="CA203" s="517">
        <f>BZ203*1.03</f>
        <v/>
      </c>
      <c r="CB203" s="517">
        <f>CA203*1.03</f>
        <v/>
      </c>
      <c r="CC203" s="517">
        <f>CB203*1.03</f>
        <v/>
      </c>
      <c r="CD203" s="517">
        <f>CC203*1.03</f>
        <v/>
      </c>
      <c r="CE203" s="517">
        <f>CD203*1.03</f>
        <v/>
      </c>
      <c r="CF203" s="517">
        <f>CE203*1.03</f>
        <v/>
      </c>
      <c r="CG203" s="517">
        <f>CF203*1.03</f>
        <v/>
      </c>
      <c r="CH203" s="517">
        <f>CG203*1.03</f>
        <v/>
      </c>
      <c r="CI203" s="517">
        <f>CH203*1.03</f>
        <v/>
      </c>
      <c r="CJ203" s="517">
        <f>CI203*1.03</f>
        <v/>
      </c>
      <c r="CK203" s="517">
        <f>CJ203*1.03</f>
        <v/>
      </c>
      <c r="DA203" s="517">
        <f>SUMIF($N$1:$CG$1,DA$1,$N203:$CG203)</f>
        <v/>
      </c>
      <c r="DB203" s="517">
        <f>SUMIF($N$1:$CG$1,DB$1,$N203:$CG203)</f>
        <v/>
      </c>
      <c r="DC203" s="517">
        <f>SUMIF($N$1:$CG$1,DC$1,$N203:$CG203)</f>
        <v/>
      </c>
      <c r="DD203" s="517">
        <f>SUMIF($N$1:$CG$1,DD$1,$N203:$CG203)</f>
        <v/>
      </c>
      <c r="DE203" s="517">
        <f>SUMIF($N$1:$CG$1,DE$1,$N203:$CG203)</f>
        <v/>
      </c>
      <c r="DF203" s="517">
        <f>SUMIF($N$1:$CG$1,DF$1,$N203:$CG203)</f>
        <v/>
      </c>
      <c r="DG203" s="517">
        <f>SUMIF($N$1:$CG$1,DG$1,$N203:$CG203)</f>
        <v/>
      </c>
      <c r="DH203" s="517">
        <f>SUMIF($N$1:$CG$1,DH$1,$N203:$CG203)</f>
        <v/>
      </c>
      <c r="DI203" s="517">
        <f>SUMIF($N$1:$CG$1,DI$1,$N203:$CG203)</f>
        <v/>
      </c>
      <c r="DJ203" s="517">
        <f>SUMIF($N$1:$CG$1,DJ$1,$N203:$CG203)</f>
        <v/>
      </c>
      <c r="DK203" s="517">
        <f>SUMIF($N$1:$CG$1,DK$1,$N203:$CG203)</f>
        <v/>
      </c>
      <c r="DL203" s="517">
        <f>SUMIF($N$1:$CG$1,DL$1,$N203:$CG203)</f>
        <v/>
      </c>
      <c r="DM203" s="517">
        <f>SUMIF($N$1:$CG$1,DM$1,$N203:$CG203)</f>
        <v/>
      </c>
      <c r="DN203" s="517">
        <f>SUMIF($N$1:$CG$1,DN$1,$N203:$CG203)</f>
        <v/>
      </c>
      <c r="DO203" s="517">
        <f>SUMIF($N$1:$CG$1,DO$1,$N203:$CG203)</f>
        <v/>
      </c>
      <c r="DP203" s="517">
        <f>SUMIF($N$1:$CG$1,DP$1,$N203:$CG203)</f>
        <v/>
      </c>
      <c r="DQ203" s="517">
        <f>SUMIF($N$1:$CG$1,DQ$1,$N203:$CG203)</f>
        <v/>
      </c>
      <c r="DR203" s="517">
        <f>SUMIF($N$1:$CG$1,DR$1,$N203:$CG203)</f>
        <v/>
      </c>
      <c r="DS203" s="517">
        <f>SUMIF($N$1:$CK$1,DS$1,$N203:$CK203)</f>
        <v/>
      </c>
    </row>
    <row r="204">
      <c r="A204" s="105" t="inlineStr">
        <is>
          <t>Non-Current</t>
        </is>
      </c>
      <c r="B204" s="140" t="n"/>
      <c r="C204" s="140" t="n"/>
      <c r="D204" s="140" t="n"/>
      <c r="E204" s="140" t="n"/>
      <c r="F204" s="140" t="n"/>
      <c r="G204" s="140" t="n"/>
      <c r="H204" s="140" t="n"/>
      <c r="I204" s="140" t="n"/>
      <c r="J204" s="140" t="n"/>
      <c r="K204" s="140" t="n"/>
      <c r="L204" s="140" t="n"/>
      <c r="M204" s="140" t="n"/>
      <c r="N204" s="516">
        <f>FS_Q!N65</f>
        <v/>
      </c>
      <c r="O204" s="516">
        <f>FS_Q!O65</f>
        <v/>
      </c>
      <c r="P204" s="516">
        <f>FS_Q!P65</f>
        <v/>
      </c>
      <c r="Q204" s="516">
        <f>FS_Q!Q65</f>
        <v/>
      </c>
      <c r="R204" s="516">
        <f>FS_Q!R65</f>
        <v/>
      </c>
      <c r="S204" s="516">
        <f>FS_Q!S65</f>
        <v/>
      </c>
      <c r="T204" s="516">
        <f>FS_Q!T65</f>
        <v/>
      </c>
      <c r="U204" s="516">
        <f>FS_Q!U65</f>
        <v/>
      </c>
      <c r="V204" s="516">
        <f>FS_Q!V65</f>
        <v/>
      </c>
      <c r="W204" s="516">
        <f>FS_Q!W65</f>
        <v/>
      </c>
      <c r="X204" s="516">
        <f>FS_Q!X65</f>
        <v/>
      </c>
      <c r="Y204" s="516">
        <f>FS_Q!Y65</f>
        <v/>
      </c>
      <c r="Z204" s="516">
        <f>FS_Q!Z65</f>
        <v/>
      </c>
      <c r="AA204" s="516">
        <f>FS_Q!AA65</f>
        <v/>
      </c>
      <c r="AB204" s="516">
        <f>FS_Q!AB65</f>
        <v/>
      </c>
      <c r="AC204" s="516">
        <f>FS_Q!AC65</f>
        <v/>
      </c>
      <c r="AD204" s="516">
        <f>FS_Q!AD65</f>
        <v/>
      </c>
      <c r="AE204" s="516">
        <f>FS_Q!AE65</f>
        <v/>
      </c>
      <c r="AF204" s="516">
        <f>FS_Q!AF65</f>
        <v/>
      </c>
      <c r="AG204" s="516">
        <f>FS_Q!AG65</f>
        <v/>
      </c>
      <c r="AH204" s="516">
        <f>FS_Q!AH65</f>
        <v/>
      </c>
      <c r="AI204" s="516">
        <f>FS_Q!AI65</f>
        <v/>
      </c>
      <c r="AJ204" s="516">
        <f>FS_Q!AJ65</f>
        <v/>
      </c>
      <c r="AK204" s="516">
        <f>FS_Q!AK65</f>
        <v/>
      </c>
      <c r="AL204" s="516">
        <f>FS_Q!AL65</f>
        <v/>
      </c>
      <c r="AM204" s="516">
        <f>FS_Q!AM65</f>
        <v/>
      </c>
      <c r="AN204" s="516">
        <f>FS_Q!AN65</f>
        <v/>
      </c>
      <c r="AO204" s="516">
        <f>FS_Q!AO65</f>
        <v/>
      </c>
      <c r="AP204" s="516">
        <f>FS_Q!AP65</f>
        <v/>
      </c>
      <c r="AQ204" s="516">
        <f>FS_Q!AQ65</f>
        <v/>
      </c>
      <c r="AR204" s="516">
        <f>FS_Q!AR65</f>
        <v/>
      </c>
      <c r="AS204" s="516">
        <f>FS_Q!AS65</f>
        <v/>
      </c>
      <c r="AT204" s="516">
        <f>FS_Q!AT65</f>
        <v/>
      </c>
      <c r="AU204" s="516">
        <f>FS_Q!AU65</f>
        <v/>
      </c>
      <c r="AV204" s="516">
        <f>FS_Q!AV65</f>
        <v/>
      </c>
      <c r="AW204" s="516">
        <f>FS_Q!AW65</f>
        <v/>
      </c>
      <c r="AX204" s="516">
        <f>FS_Q!AX65</f>
        <v/>
      </c>
      <c r="AY204" s="516">
        <f>FS_Q!AY65</f>
        <v/>
      </c>
      <c r="AZ204" s="516">
        <f>FS_Q!AZ65</f>
        <v/>
      </c>
      <c r="BA204" s="516">
        <f>FS_Q!BA65</f>
        <v/>
      </c>
      <c r="BB204" s="516">
        <f>FS_Q!BB65</f>
        <v/>
      </c>
      <c r="BC204" s="516">
        <f>FS_Q!BC65</f>
        <v/>
      </c>
      <c r="BD204" s="516">
        <f>FS_Q!BD65</f>
        <v/>
      </c>
      <c r="BE204" s="516">
        <f>FS_Q!BE65</f>
        <v/>
      </c>
      <c r="BF204" s="516">
        <f>FS_Q!BF65</f>
        <v/>
      </c>
      <c r="BG204" s="516">
        <f>FS_Q!BG65</f>
        <v/>
      </c>
      <c r="BH204" s="516">
        <f>FS_Q!BH65</f>
        <v/>
      </c>
      <c r="BI204" s="516">
        <f>FS_Q!BI65</f>
        <v/>
      </c>
      <c r="BJ204" s="516">
        <f>FS_Q!BJ65</f>
        <v/>
      </c>
      <c r="BK204" s="516">
        <f>FS_Q!BK65</f>
        <v/>
      </c>
      <c r="BL204" s="516">
        <f>FS_Q!BL65</f>
        <v/>
      </c>
      <c r="BM204" s="516">
        <f>FS_Q!BM65</f>
        <v/>
      </c>
      <c r="BN204" s="516">
        <f>FS_Q!BN65</f>
        <v/>
      </c>
      <c r="BO204" s="516">
        <f>FS_Q!BO65</f>
        <v/>
      </c>
      <c r="BP204" s="516">
        <f>FS_Q!BP65</f>
        <v/>
      </c>
      <c r="BQ204" s="516">
        <f>FS_Q!BQ65</f>
        <v/>
      </c>
      <c r="BR204" s="516">
        <f>FS_Q!BR65</f>
        <v/>
      </c>
      <c r="BS204" s="517">
        <f>BS203/BS208-BS203</f>
        <v/>
      </c>
      <c r="BT204" s="517">
        <f>BT203/BT208-BT203</f>
        <v/>
      </c>
      <c r="BU204" s="517">
        <f>BU203/BU208-BU203</f>
        <v/>
      </c>
      <c r="BV204" s="517">
        <f>BV203/BV208-BV203</f>
        <v/>
      </c>
      <c r="BW204" s="517">
        <f>BW203/BW208-BW203</f>
        <v/>
      </c>
      <c r="BX204" s="517">
        <f>BX203/BX208-BX203</f>
        <v/>
      </c>
      <c r="BY204" s="517">
        <f>BY203/BY208-BY203</f>
        <v/>
      </c>
      <c r="BZ204" s="517">
        <f>BZ203/BZ208-BZ203</f>
        <v/>
      </c>
      <c r="CA204" s="517">
        <f>CA203/CA208-CA203</f>
        <v/>
      </c>
      <c r="CB204" s="517">
        <f>CB203/CB208-CB203</f>
        <v/>
      </c>
      <c r="CC204" s="517">
        <f>CC203/CC208-CC203</f>
        <v/>
      </c>
      <c r="CD204" s="517">
        <f>CD203/CD208-CD203</f>
        <v/>
      </c>
      <c r="CE204" s="517">
        <f>CE203/CE208-CE203</f>
        <v/>
      </c>
      <c r="CF204" s="517">
        <f>CF203/CF208-CF203</f>
        <v/>
      </c>
      <c r="CG204" s="517">
        <f>CG203/CG208-CG203</f>
        <v/>
      </c>
      <c r="CH204" s="517">
        <f>CH203/CH208-CH203</f>
        <v/>
      </c>
      <c r="CI204" s="517">
        <f>CI203/CI208-CI203</f>
        <v/>
      </c>
      <c r="CJ204" s="517">
        <f>CJ203/CJ208-CJ203</f>
        <v/>
      </c>
      <c r="CK204" s="517">
        <f>CK203/CK208-CK203</f>
        <v/>
      </c>
      <c r="DA204" s="517">
        <f>SUMIF($N$1:$CG$1,DA$1,$N204:$CG204)</f>
        <v/>
      </c>
      <c r="DB204" s="517">
        <f>SUMIF($N$1:$CG$1,DB$1,$N204:$CG204)</f>
        <v/>
      </c>
      <c r="DC204" s="517">
        <f>SUMIF($N$1:$CG$1,DC$1,$N204:$CG204)</f>
        <v/>
      </c>
      <c r="DD204" s="517">
        <f>SUMIF($N$1:$CG$1,DD$1,$N204:$CG204)</f>
        <v/>
      </c>
      <c r="DE204" s="517">
        <f>SUMIF($N$1:$CG$1,DE$1,$N204:$CG204)</f>
        <v/>
      </c>
      <c r="DF204" s="517">
        <f>SUMIF($N$1:$CG$1,DF$1,$N204:$CG204)</f>
        <v/>
      </c>
      <c r="DG204" s="517">
        <f>SUMIF($N$1:$CG$1,DG$1,$N204:$CG204)</f>
        <v/>
      </c>
      <c r="DH204" s="517">
        <f>SUMIF($N$1:$CG$1,DH$1,$N204:$CG204)</f>
        <v/>
      </c>
      <c r="DI204" s="517">
        <f>SUMIF($N$1:$CG$1,DI$1,$N204:$CG204)</f>
        <v/>
      </c>
      <c r="DJ204" s="517">
        <f>SUMIF($N$1:$CG$1,DJ$1,$N204:$CG204)</f>
        <v/>
      </c>
      <c r="DK204" s="517">
        <f>SUMIF($N$1:$CG$1,DK$1,$N204:$CG204)</f>
        <v/>
      </c>
      <c r="DL204" s="517">
        <f>SUMIF($N$1:$CG$1,DL$1,$N204:$CG204)</f>
        <v/>
      </c>
      <c r="DM204" s="517">
        <f>SUMIF($N$1:$CG$1,DM$1,$N204:$CG204)</f>
        <v/>
      </c>
      <c r="DN204" s="517">
        <f>SUMIF($N$1:$CG$1,DN$1,$N204:$CG204)</f>
        <v/>
      </c>
      <c r="DO204" s="517">
        <f>SUMIF($N$1:$CG$1,DO$1,$N204:$CG204)</f>
        <v/>
      </c>
      <c r="DP204" s="517">
        <f>SUMIF($N$1:$CG$1,DP$1,$N204:$CG204)</f>
        <v/>
      </c>
      <c r="DQ204" s="517">
        <f>SUMIF($N$1:$CG$1,DQ$1,$N204:$CG204)</f>
        <v/>
      </c>
      <c r="DR204" s="517">
        <f>SUMIF($N$1:$CG$1,DR$1,$N204:$CG204)</f>
        <v/>
      </c>
      <c r="DS204" s="517">
        <f>SUMIF($N$1:$CK$1,DS$1,$N204:$CK204)</f>
        <v/>
      </c>
    </row>
    <row r="205" customFormat="1" s="22">
      <c r="A205" s="40" t="inlineStr">
        <is>
          <t>Total</t>
        </is>
      </c>
      <c r="B205" s="72" t="n"/>
      <c r="C205" s="72" t="n"/>
      <c r="D205" s="72" t="n"/>
      <c r="E205" s="72" t="n"/>
      <c r="F205" s="72" t="n"/>
      <c r="G205" s="72" t="n"/>
      <c r="H205" s="72" t="n"/>
      <c r="I205" s="72" t="n"/>
      <c r="J205" s="72" t="n"/>
      <c r="K205" s="72" t="n"/>
      <c r="L205" s="72" t="n"/>
      <c r="M205" s="72" t="n"/>
      <c r="N205" s="517">
        <f>SUM(N203:N204)</f>
        <v/>
      </c>
      <c r="O205" s="517">
        <f>SUM(O203:O204)</f>
        <v/>
      </c>
      <c r="P205" s="517">
        <f>SUM(P203:P204)</f>
        <v/>
      </c>
      <c r="Q205" s="517">
        <f>SUM(Q203:Q204)</f>
        <v/>
      </c>
      <c r="R205" s="517">
        <f>SUM(R203:R204)</f>
        <v/>
      </c>
      <c r="S205" s="517">
        <f>SUM(S203:S204)</f>
        <v/>
      </c>
      <c r="T205" s="517">
        <f>SUM(T203:T204)</f>
        <v/>
      </c>
      <c r="U205" s="517">
        <f>SUM(U203:U204)</f>
        <v/>
      </c>
      <c r="V205" s="517">
        <f>SUM(V203:V204)</f>
        <v/>
      </c>
      <c r="W205" s="517">
        <f>SUM(W203:W204)</f>
        <v/>
      </c>
      <c r="X205" s="517">
        <f>SUM(X203:X204)</f>
        <v/>
      </c>
      <c r="Y205" s="517">
        <f>SUM(Y203:Y204)</f>
        <v/>
      </c>
      <c r="Z205" s="517">
        <f>SUM(Z203:Z204)</f>
        <v/>
      </c>
      <c r="AA205" s="517">
        <f>SUM(AA203:AA204)</f>
        <v/>
      </c>
      <c r="AB205" s="517">
        <f>SUM(AB203:AB204)</f>
        <v/>
      </c>
      <c r="AC205" s="517">
        <f>SUM(AC203:AC204)</f>
        <v/>
      </c>
      <c r="AD205" s="517">
        <f>SUM(AD203:AD204)</f>
        <v/>
      </c>
      <c r="AE205" s="517">
        <f>SUM(AE203:AE204)</f>
        <v/>
      </c>
      <c r="AF205" s="517">
        <f>SUM(AF203:AF204)</f>
        <v/>
      </c>
      <c r="AG205" s="517">
        <f>SUM(AG203:AG204)</f>
        <v/>
      </c>
      <c r="AH205" s="517">
        <f>SUM(AH203:AH204)</f>
        <v/>
      </c>
      <c r="AI205" s="517">
        <f>SUM(AI203:AI204)</f>
        <v/>
      </c>
      <c r="AJ205" s="517">
        <f>SUM(AJ203:AJ204)</f>
        <v/>
      </c>
      <c r="AK205" s="517">
        <f>SUM(AK203:AK204)</f>
        <v/>
      </c>
      <c r="AL205" s="517">
        <f>SUM(AL203:AL204)</f>
        <v/>
      </c>
      <c r="AM205" s="517">
        <f>SUM(AM203:AM204)</f>
        <v/>
      </c>
      <c r="AN205" s="517">
        <f>SUM(AN203:AN204)</f>
        <v/>
      </c>
      <c r="AO205" s="517">
        <f>SUM(AO203:AO204)</f>
        <v/>
      </c>
      <c r="AP205" s="517">
        <f>SUM(AP203:AP204)</f>
        <v/>
      </c>
      <c r="AQ205" s="517">
        <f>SUM(AQ203:AQ204)</f>
        <v/>
      </c>
      <c r="AR205" s="517">
        <f>SUM(AR203:AR204)</f>
        <v/>
      </c>
      <c r="AS205" s="517">
        <f>SUM(AS203:AS204)</f>
        <v/>
      </c>
      <c r="AT205" s="517">
        <f>SUM(AT203:AT204)</f>
        <v/>
      </c>
      <c r="AU205" s="517">
        <f>SUM(AU203:AU204)</f>
        <v/>
      </c>
      <c r="AV205" s="517">
        <f>SUM(AV203:AV204)</f>
        <v/>
      </c>
      <c r="AW205" s="517">
        <f>SUM(AW203:AW204)</f>
        <v/>
      </c>
      <c r="AX205" s="517">
        <f>SUM(AX203:AX204)</f>
        <v/>
      </c>
      <c r="AY205" s="517">
        <f>SUM(AY203:AY204)</f>
        <v/>
      </c>
      <c r="AZ205" s="517">
        <f>SUM(AZ203:AZ204)</f>
        <v/>
      </c>
      <c r="BA205" s="517">
        <f>SUM(BA203:BA204)</f>
        <v/>
      </c>
      <c r="BB205" s="517">
        <f>SUM(BB203:BB204)</f>
        <v/>
      </c>
      <c r="BC205" s="517">
        <f>SUM(BC203:BC204)</f>
        <v/>
      </c>
      <c r="BD205" s="517">
        <f>SUM(BD203:BD204)</f>
        <v/>
      </c>
      <c r="BE205" s="517">
        <f>SUM(BE203:BE204)</f>
        <v/>
      </c>
      <c r="BF205" s="517">
        <f>SUM(BF203:BF204)</f>
        <v/>
      </c>
      <c r="BG205" s="517">
        <f>SUM(BG203:BG204)</f>
        <v/>
      </c>
      <c r="BH205" s="517">
        <f>SUM(BH203:BH204)</f>
        <v/>
      </c>
      <c r="BI205" s="517">
        <f>SUM(BI203:BI204)</f>
        <v/>
      </c>
      <c r="BJ205" s="517">
        <f>SUM(BJ203:BJ204)</f>
        <v/>
      </c>
      <c r="BK205" s="517">
        <f>SUM(BK203:BK204)</f>
        <v/>
      </c>
      <c r="BL205" s="517">
        <f>SUM(BL203:BL204)</f>
        <v/>
      </c>
      <c r="BM205" s="517">
        <f>SUM(BM203:BM204)</f>
        <v/>
      </c>
      <c r="BN205" s="517">
        <f>SUM(BN203:BN204)</f>
        <v/>
      </c>
      <c r="BO205" s="517">
        <f>SUM(BO203:BO204)</f>
        <v/>
      </c>
      <c r="BP205" s="517">
        <f>SUM(BP203:BP204)</f>
        <v/>
      </c>
      <c r="BQ205" s="517">
        <f>SUM(BQ203:BQ204)</f>
        <v/>
      </c>
      <c r="BR205" s="517">
        <f>SUM(BR203:BR204)</f>
        <v/>
      </c>
      <c r="BS205" s="673">
        <f>BS203+BS204</f>
        <v/>
      </c>
      <c r="BT205" s="673">
        <f>BT203+BT204</f>
        <v/>
      </c>
      <c r="BU205" s="673">
        <f>BU203+BU204</f>
        <v/>
      </c>
      <c r="BV205" s="673">
        <f>BV203+BV204</f>
        <v/>
      </c>
      <c r="BW205" s="673">
        <f>BW203+BW204</f>
        <v/>
      </c>
      <c r="BX205" s="673">
        <f>BX203+BX204</f>
        <v/>
      </c>
      <c r="BY205" s="673">
        <f>BY203+BY204</f>
        <v/>
      </c>
      <c r="BZ205" s="673">
        <f>BZ203+BZ204</f>
        <v/>
      </c>
      <c r="CA205" s="673">
        <f>CA203+CA204</f>
        <v/>
      </c>
      <c r="CB205" s="673">
        <f>CB203+CB204</f>
        <v/>
      </c>
      <c r="CC205" s="673">
        <f>CC203+CC204</f>
        <v/>
      </c>
      <c r="CD205" s="673">
        <f>CD203+CD204</f>
        <v/>
      </c>
      <c r="CE205" s="673">
        <f>CE203+CE204</f>
        <v/>
      </c>
      <c r="CF205" s="673">
        <f>CF203+CF204</f>
        <v/>
      </c>
      <c r="CG205" s="673">
        <f>CG203+CG204</f>
        <v/>
      </c>
      <c r="CH205" s="673">
        <f>CH203+CH204</f>
        <v/>
      </c>
      <c r="CI205" s="673">
        <f>CI203+CI204</f>
        <v/>
      </c>
      <c r="CJ205" s="673">
        <f>CJ203+CJ204</f>
        <v/>
      </c>
      <c r="CK205" s="673">
        <f>CK203+CK204</f>
        <v/>
      </c>
      <c r="DA205" s="517">
        <f>SUMIF($N$1:$CG$1,DA$1,$N205:$CG205)</f>
        <v/>
      </c>
      <c r="DB205" s="517">
        <f>SUMIF($N$1:$CG$1,DB$1,$N205:$CG205)</f>
        <v/>
      </c>
      <c r="DC205" s="517">
        <f>SUMIF($N$1:$CG$1,DC$1,$N205:$CG205)</f>
        <v/>
      </c>
      <c r="DD205" s="517">
        <f>SUMIF($N$1:$CG$1,DD$1,$N205:$CG205)</f>
        <v/>
      </c>
      <c r="DE205" s="517">
        <f>SUMIF($N$1:$CG$1,DE$1,$N205:$CG205)</f>
        <v/>
      </c>
      <c r="DF205" s="517">
        <f>SUMIF($N$1:$CG$1,DF$1,$N205:$CG205)</f>
        <v/>
      </c>
      <c r="DG205" s="517">
        <f>SUMIF($N$1:$CG$1,DG$1,$N205:$CG205)</f>
        <v/>
      </c>
      <c r="DH205" s="517">
        <f>SUMIF($N$1:$CG$1,DH$1,$N205:$CG205)</f>
        <v/>
      </c>
      <c r="DI205" s="517">
        <f>SUMIF($N$1:$CG$1,DI$1,$N205:$CG205)</f>
        <v/>
      </c>
      <c r="DJ205" s="517">
        <f>SUMIF($N$1:$CG$1,DJ$1,$N205:$CG205)</f>
        <v/>
      </c>
      <c r="DK205" s="517">
        <f>SUMIF($N$1:$CG$1,DK$1,$N205:$CG205)</f>
        <v/>
      </c>
      <c r="DL205" s="517">
        <f>SUMIF($N$1:$CG$1,DL$1,$N205:$CG205)</f>
        <v/>
      </c>
      <c r="DM205" s="517">
        <f>SUMIF($N$1:$CG$1,DM$1,$N205:$CG205)</f>
        <v/>
      </c>
      <c r="DN205" s="517">
        <f>SUMIF($N$1:$CG$1,DN$1,$N205:$CG205)</f>
        <v/>
      </c>
      <c r="DO205" s="517">
        <f>SUMIF($N$1:$CG$1,DO$1,$N205:$CG205)</f>
        <v/>
      </c>
      <c r="DP205" s="517">
        <f>SUMIF($N$1:$CG$1,DP$1,$N205:$CG205)</f>
        <v/>
      </c>
      <c r="DQ205" s="517">
        <f>SUMIF($N$1:$CG$1,DQ$1,$N205:$CG205)</f>
        <v/>
      </c>
      <c r="DR205" s="517">
        <f>SUMIF($N$1:$CG$1,DR$1,$N205:$CG205)</f>
        <v/>
      </c>
      <c r="DS205" s="517">
        <f>SUMIF($N$1:$CK$1,DS$1,$N205:$CK205)</f>
        <v/>
      </c>
    </row>
    <row r="206">
      <c r="A206" s="40" t="n"/>
      <c r="B206" s="31" t="n"/>
      <c r="C206" s="31" t="n"/>
      <c r="D206" s="31" t="n"/>
      <c r="E206" s="31" t="n"/>
      <c r="F206" s="31" t="n"/>
      <c r="G206" s="31" t="n"/>
      <c r="H206" s="31" t="n"/>
      <c r="I206" s="31" t="n"/>
      <c r="J206" s="31" t="n"/>
      <c r="K206" s="31" t="n"/>
      <c r="L206" s="31" t="n"/>
      <c r="M206" s="31" t="n"/>
    </row>
    <row r="207">
      <c r="A207" s="456" t="inlineStr">
        <is>
          <t>Split between current and non-current</t>
        </is>
      </c>
      <c r="B207" s="31" t="n"/>
      <c r="C207" s="31" t="n"/>
      <c r="D207" s="31" t="n"/>
      <c r="E207" s="31" t="n"/>
      <c r="F207" s="31" t="n"/>
      <c r="G207" s="31" t="n"/>
      <c r="H207" s="31" t="n"/>
      <c r="I207" s="31" t="n"/>
      <c r="J207" s="31" t="n"/>
      <c r="K207" s="31" t="n"/>
      <c r="L207" s="31" t="n"/>
      <c r="M207" s="31" t="n"/>
    </row>
    <row r="208">
      <c r="A208" s="105" t="inlineStr">
        <is>
          <t>Current borrowings as % of total borrowings</t>
        </is>
      </c>
      <c r="B208" s="31" t="n"/>
      <c r="C208" s="31" t="n"/>
      <c r="D208" s="31" t="n"/>
      <c r="E208" s="31" t="n"/>
      <c r="F208" s="31" t="n"/>
      <c r="G208" s="31" t="n"/>
      <c r="H208" s="31" t="n"/>
      <c r="I208" s="31" t="n"/>
      <c r="J208" s="31" t="n"/>
      <c r="K208" s="31" t="n"/>
      <c r="L208" s="31" t="n"/>
      <c r="M208" s="31" t="n"/>
      <c r="N208" s="110">
        <f>N203/N205</f>
        <v/>
      </c>
      <c r="O208" s="110">
        <f>O203/O205</f>
        <v/>
      </c>
      <c r="P208" s="110">
        <f>P203/P205</f>
        <v/>
      </c>
      <c r="Q208" s="110">
        <f>Q203/Q205</f>
        <v/>
      </c>
      <c r="R208" s="110">
        <f>R203/R205</f>
        <v/>
      </c>
      <c r="S208" s="110">
        <f>S203/S205</f>
        <v/>
      </c>
      <c r="T208" s="110">
        <f>T203/T205</f>
        <v/>
      </c>
      <c r="U208" s="110">
        <f>U203/U205</f>
        <v/>
      </c>
      <c r="V208" s="110">
        <f>V203/V205</f>
        <v/>
      </c>
      <c r="W208" s="110">
        <f>W203/W205</f>
        <v/>
      </c>
      <c r="X208" s="110">
        <f>X203/X205</f>
        <v/>
      </c>
      <c r="Y208" s="110">
        <f>Y203/Y205</f>
        <v/>
      </c>
      <c r="Z208" s="110">
        <f>Z203/Z205</f>
        <v/>
      </c>
      <c r="AA208" s="110">
        <f>AA203/AA205</f>
        <v/>
      </c>
      <c r="AB208" s="110">
        <f>AB203/AB205</f>
        <v/>
      </c>
      <c r="AC208" s="110">
        <f>AC203/AC205</f>
        <v/>
      </c>
      <c r="AD208" s="110">
        <f>AD203/AD205</f>
        <v/>
      </c>
      <c r="AE208" s="110">
        <f>AE203/AE205</f>
        <v/>
      </c>
      <c r="AF208" s="110">
        <f>AF203/AF205</f>
        <v/>
      </c>
      <c r="AG208" s="110">
        <f>AG203/AG205</f>
        <v/>
      </c>
      <c r="AH208" s="110">
        <f>AH203/AH205</f>
        <v/>
      </c>
      <c r="AI208" s="110">
        <f>AI203/AI205</f>
        <v/>
      </c>
      <c r="AJ208" s="110">
        <f>AJ203/AJ205</f>
        <v/>
      </c>
      <c r="AK208" s="110">
        <f>AK203/AK205</f>
        <v/>
      </c>
      <c r="AL208" s="110">
        <f>AL203/AL205</f>
        <v/>
      </c>
      <c r="AM208" s="110">
        <f>AM203/AM205</f>
        <v/>
      </c>
      <c r="AN208" s="110">
        <f>AN203/AN205</f>
        <v/>
      </c>
      <c r="AO208" s="110">
        <f>AO203/AO205</f>
        <v/>
      </c>
      <c r="AP208" s="110">
        <f>AP203/AP205</f>
        <v/>
      </c>
      <c r="AQ208" s="110">
        <f>AQ203/AQ205</f>
        <v/>
      </c>
      <c r="AR208" s="110">
        <f>AR203/AR205</f>
        <v/>
      </c>
      <c r="AS208" s="110">
        <f>AS203/AS205</f>
        <v/>
      </c>
      <c r="AT208" s="110">
        <f>AT203/AT205</f>
        <v/>
      </c>
      <c r="AU208" s="110">
        <f>AU203/AU205</f>
        <v/>
      </c>
      <c r="AV208" s="110">
        <f>AV203/AV205</f>
        <v/>
      </c>
      <c r="AW208" s="110">
        <f>AW203/AW205</f>
        <v/>
      </c>
      <c r="AX208" s="110">
        <f>AX203/AX205</f>
        <v/>
      </c>
      <c r="AY208" s="110">
        <f>AY203/AY205</f>
        <v/>
      </c>
      <c r="AZ208" s="110">
        <f>AZ203/AZ205</f>
        <v/>
      </c>
      <c r="BA208" s="110">
        <f>BA203/BA205</f>
        <v/>
      </c>
      <c r="BB208" s="110">
        <f>BB203/BB205</f>
        <v/>
      </c>
      <c r="BC208" s="110">
        <f>BC203/BC205</f>
        <v/>
      </c>
      <c r="BD208" s="110">
        <f>BD203/BD205</f>
        <v/>
      </c>
      <c r="BE208" s="110">
        <f>BE203/BE205</f>
        <v/>
      </c>
      <c r="BF208" s="110">
        <f>BF203/BF205</f>
        <v/>
      </c>
      <c r="BG208" s="110">
        <f>BG203/BG205</f>
        <v/>
      </c>
      <c r="BH208" s="110">
        <f>BH203/BH205</f>
        <v/>
      </c>
      <c r="BI208" s="110">
        <f>BI203/BI205</f>
        <v/>
      </c>
      <c r="BJ208" s="110">
        <f>BJ203/BJ205</f>
        <v/>
      </c>
      <c r="BK208" s="110">
        <f>BK203/BK205</f>
        <v/>
      </c>
      <c r="BL208" s="110">
        <f>BL203/BL205</f>
        <v/>
      </c>
      <c r="BM208" s="110">
        <f>BM203/BM205</f>
        <v/>
      </c>
      <c r="BN208" s="110">
        <f>BN203/BN205</f>
        <v/>
      </c>
      <c r="BO208" s="469" t="n">
        <v>1</v>
      </c>
      <c r="BP208" s="469" t="n">
        <v>1</v>
      </c>
      <c r="BQ208" s="909">
        <f>BP208</f>
        <v/>
      </c>
      <c r="BR208" s="909">
        <f>BQ208</f>
        <v/>
      </c>
      <c r="BS208" s="909">
        <f>BR208</f>
        <v/>
      </c>
      <c r="BT208" s="909">
        <f>BS208</f>
        <v/>
      </c>
      <c r="BU208" s="909">
        <f>BT208</f>
        <v/>
      </c>
      <c r="BV208" s="909">
        <f>BU208</f>
        <v/>
      </c>
      <c r="BW208" s="909">
        <f>BV208</f>
        <v/>
      </c>
      <c r="BX208" s="909">
        <f>BW208</f>
        <v/>
      </c>
      <c r="BY208" s="909">
        <f>BX208</f>
        <v/>
      </c>
      <c r="BZ208" s="909">
        <f>BY208</f>
        <v/>
      </c>
      <c r="CA208" s="909">
        <f>BZ208</f>
        <v/>
      </c>
      <c r="CB208" s="909">
        <f>CA208</f>
        <v/>
      </c>
      <c r="CC208" s="909">
        <f>CB208</f>
        <v/>
      </c>
      <c r="CD208" s="909">
        <f>CC208</f>
        <v/>
      </c>
      <c r="CE208" s="909">
        <f>CD208</f>
        <v/>
      </c>
      <c r="CF208" s="909">
        <f>CE208</f>
        <v/>
      </c>
      <c r="CG208" s="909">
        <f>CF208</f>
        <v/>
      </c>
      <c r="CH208" s="909">
        <f>CG208</f>
        <v/>
      </c>
      <c r="CI208" s="909">
        <f>CH208</f>
        <v/>
      </c>
      <c r="CJ208" s="909">
        <f>CI208</f>
        <v/>
      </c>
      <c r="CK208" s="909">
        <f>CJ208</f>
        <v/>
      </c>
    </row>
    <row r="209">
      <c r="A209" s="105" t="n"/>
      <c r="B209" s="883" t="n"/>
      <c r="C209" s="883" t="n"/>
      <c r="D209" s="883" t="n"/>
      <c r="E209" s="883" t="n"/>
      <c r="F209" s="883" t="n"/>
      <c r="G209" s="883" t="n"/>
      <c r="H209" s="883" t="n"/>
      <c r="I209" s="883" t="n"/>
      <c r="J209" s="883" t="n"/>
      <c r="K209" s="883" t="n"/>
      <c r="L209" s="883" t="n"/>
      <c r="M209" s="883" t="n"/>
      <c r="N209" s="908" t="n"/>
      <c r="O209" s="908" t="n"/>
      <c r="P209" s="908" t="n"/>
      <c r="Q209" s="908" t="n"/>
      <c r="R209" s="908" t="n"/>
      <c r="S209" s="908" t="n"/>
      <c r="T209" s="908" t="n"/>
      <c r="U209" s="908" t="n"/>
      <c r="V209" s="908" t="n"/>
      <c r="W209" s="908" t="n"/>
      <c r="X209" s="908" t="n"/>
      <c r="Y209" s="908" t="n"/>
      <c r="Z209" s="908" t="n"/>
      <c r="AA209" s="908" t="n"/>
      <c r="AB209" s="908" t="n"/>
      <c r="AC209" s="908" t="n"/>
      <c r="AD209" s="908" t="n"/>
      <c r="AE209" s="908" t="n"/>
      <c r="AF209" s="908" t="n"/>
      <c r="AG209" s="908" t="n"/>
      <c r="AH209" s="908" t="n"/>
      <c r="AI209" s="908" t="n"/>
      <c r="AJ209" s="908" t="n"/>
      <c r="AK209" s="908" t="n"/>
      <c r="AL209" s="908" t="n"/>
      <c r="AM209" s="908" t="n"/>
      <c r="AN209" s="908" t="n"/>
      <c r="AO209" s="908" t="n"/>
      <c r="AP209" s="908" t="n"/>
      <c r="AQ209" s="908" t="n"/>
      <c r="AR209" s="908" t="n"/>
      <c r="AS209" s="908" t="n"/>
      <c r="AT209" s="908" t="n"/>
      <c r="AU209" s="908" t="n"/>
      <c r="AV209" s="908" t="n"/>
      <c r="AW209" s="908" t="n"/>
      <c r="AX209" s="908" t="n"/>
      <c r="AY209" s="908" t="n"/>
      <c r="AZ209" s="908" t="n"/>
      <c r="BA209" s="908" t="n"/>
      <c r="BB209" s="908" t="n"/>
      <c r="BC209" s="908" t="n"/>
      <c r="BD209" s="908" t="n"/>
      <c r="BE209" s="908" t="n"/>
      <c r="BF209" s="908" t="n"/>
      <c r="BG209" s="908" t="n"/>
      <c r="BH209" s="908" t="n"/>
      <c r="BI209" s="908" t="n"/>
      <c r="BJ209" s="908" t="n"/>
      <c r="BK209" s="909" t="n"/>
      <c r="BL209" s="909" t="n"/>
      <c r="BM209" s="909" t="n"/>
      <c r="BN209" s="909" t="n"/>
      <c r="BO209" s="909" t="n"/>
      <c r="BP209" s="909" t="n"/>
      <c r="BQ209" s="909" t="n"/>
      <c r="BR209" s="909" t="n"/>
      <c r="BS209" s="909" t="n"/>
      <c r="BT209" s="909" t="n"/>
      <c r="BU209" s="909" t="n"/>
      <c r="BV209" s="909" t="n"/>
      <c r="BW209" s="909" t="n"/>
      <c r="BX209" s="909" t="n"/>
      <c r="BY209" s="909" t="n"/>
      <c r="BZ209" s="909" t="n"/>
      <c r="CA209" s="909" t="n"/>
      <c r="CB209" s="909" t="n"/>
      <c r="CC209" s="909" t="n"/>
      <c r="CD209" s="909" t="n"/>
      <c r="CE209" s="909" t="n"/>
      <c r="CF209" s="909" t="n"/>
      <c r="CG209" s="909" t="n"/>
      <c r="CH209" s="909" t="n"/>
      <c r="CI209" s="909" t="n"/>
      <c r="CJ209" s="909" t="n"/>
      <c r="CK209" s="909" t="n"/>
    </row>
    <row r="210">
      <c r="A210" s="105" t="n"/>
      <c r="B210" s="883" t="n"/>
      <c r="C210" s="883" t="n"/>
      <c r="D210" s="883" t="n"/>
      <c r="E210" s="883" t="n"/>
      <c r="F210" s="883" t="n"/>
      <c r="G210" s="883" t="n"/>
      <c r="H210" s="883" t="n"/>
      <c r="I210" s="883" t="n"/>
      <c r="J210" s="883" t="n"/>
      <c r="K210" s="883" t="n"/>
      <c r="L210" s="883" t="n"/>
      <c r="M210" s="883" t="n"/>
      <c r="N210" s="908" t="n"/>
      <c r="O210" s="908" t="n"/>
      <c r="P210" s="908" t="n"/>
      <c r="Q210" s="908" t="n"/>
      <c r="R210" s="908" t="n"/>
      <c r="S210" s="908" t="n"/>
      <c r="T210" s="908" t="n"/>
      <c r="U210" s="908" t="n"/>
      <c r="V210" s="908" t="n"/>
      <c r="W210" s="908" t="n"/>
      <c r="X210" s="908" t="n"/>
      <c r="Y210" s="908" t="n"/>
      <c r="Z210" s="908" t="n"/>
      <c r="AA210" s="908" t="n"/>
      <c r="AB210" s="908" t="n"/>
      <c r="AC210" s="908" t="n"/>
      <c r="AD210" s="908" t="n"/>
      <c r="AE210" s="908" t="n"/>
      <c r="AF210" s="908" t="n"/>
      <c r="AG210" s="908" t="n"/>
      <c r="AH210" s="908" t="n"/>
      <c r="AI210" s="908" t="n"/>
      <c r="AJ210" s="908" t="n"/>
      <c r="AK210" s="908" t="n"/>
      <c r="AL210" s="908" t="n"/>
      <c r="AM210" s="908" t="n"/>
      <c r="AN210" s="908" t="n"/>
      <c r="AO210" s="908" t="n"/>
      <c r="AP210" s="908" t="n"/>
      <c r="AQ210" s="908" t="n"/>
      <c r="AR210" s="908" t="n"/>
      <c r="AS210" s="908" t="n"/>
      <c r="AT210" s="908" t="n"/>
      <c r="AU210" s="908" t="n"/>
      <c r="AV210" s="908" t="n"/>
      <c r="AW210" s="908" t="n"/>
      <c r="AX210" s="908" t="n"/>
      <c r="AY210" s="908" t="n"/>
      <c r="AZ210" s="908" t="n"/>
      <c r="BA210" s="908" t="n"/>
      <c r="BB210" s="908" t="n"/>
      <c r="BC210" s="908" t="n"/>
      <c r="BD210" s="908" t="n"/>
      <c r="BE210" s="908" t="n"/>
      <c r="BF210" s="908" t="n"/>
      <c r="BG210" s="908" t="n"/>
      <c r="BH210" s="908" t="n"/>
      <c r="BI210" s="908" t="n"/>
      <c r="BJ210" s="908" t="n"/>
      <c r="BK210" s="909" t="n"/>
      <c r="BL210" s="909" t="n"/>
      <c r="BM210" s="909" t="n"/>
      <c r="BN210" s="909" t="n"/>
      <c r="BO210" s="909" t="n"/>
      <c r="BP210" s="909" t="n"/>
      <c r="BQ210" s="909" t="n"/>
      <c r="BR210" s="909" t="n"/>
      <c r="BS210" s="909" t="n"/>
      <c r="BT210" s="909" t="n"/>
      <c r="BU210" s="909" t="n"/>
      <c r="BV210" s="909" t="n"/>
      <c r="BW210" s="909" t="n"/>
      <c r="BX210" s="909" t="n"/>
      <c r="BY210" s="909" t="n"/>
      <c r="BZ210" s="909" t="n"/>
      <c r="CA210" s="909" t="n"/>
      <c r="CB210" s="909" t="n"/>
      <c r="CC210" s="909" t="n"/>
      <c r="CD210" s="909" t="n"/>
      <c r="CE210" s="909" t="n"/>
      <c r="CF210" s="909" t="n"/>
      <c r="CG210" s="909" t="n"/>
      <c r="CH210" s="909" t="n"/>
      <c r="CI210" s="909" t="n"/>
      <c r="CJ210" s="909" t="n"/>
      <c r="CK210" s="909" t="n"/>
    </row>
    <row r="211">
      <c r="A211" s="22" t="n"/>
      <c r="B211" s="930" t="n"/>
      <c r="C211" s="930" t="n"/>
      <c r="D211" s="930" t="n"/>
      <c r="E211" s="930" t="n"/>
      <c r="F211" s="930" t="n"/>
      <c r="G211" s="931" t="n"/>
      <c r="H211" s="931" t="n"/>
      <c r="I211" s="931" t="n"/>
      <c r="J211" s="931" t="n"/>
      <c r="K211" s="931" t="n"/>
      <c r="L211" s="931" t="n"/>
      <c r="M211" s="931" t="n"/>
      <c r="N211" s="908" t="n"/>
      <c r="O211" s="908" t="n"/>
      <c r="P211" s="908" t="n"/>
      <c r="Q211" s="908" t="n"/>
      <c r="R211" s="908" t="n"/>
      <c r="S211" s="908" t="n"/>
      <c r="T211" s="908" t="n"/>
      <c r="U211" s="908" t="n"/>
      <c r="V211" s="908" t="n"/>
      <c r="W211" s="908" t="n"/>
      <c r="X211" s="908" t="n"/>
      <c r="Y211" s="908" t="n"/>
      <c r="Z211" s="908" t="n"/>
      <c r="AA211" s="908" t="n"/>
      <c r="AB211" s="908" t="n"/>
      <c r="AC211" s="908" t="n"/>
      <c r="AD211" s="908" t="n"/>
      <c r="AE211" s="908" t="n"/>
      <c r="AF211" s="908" t="n"/>
      <c r="AG211" s="908" t="n"/>
      <c r="AH211" s="908" t="n"/>
      <c r="AI211" s="908" t="n"/>
      <c r="AJ211" s="908" t="n"/>
      <c r="AK211" s="908" t="n"/>
      <c r="AL211" s="908" t="n"/>
      <c r="AM211" s="908" t="n"/>
      <c r="AN211" s="908" t="n"/>
      <c r="AO211" s="908" t="n"/>
      <c r="AP211" s="908" t="n"/>
      <c r="AQ211" s="908" t="n"/>
      <c r="AR211" s="908" t="n"/>
      <c r="AS211" s="908" t="n"/>
      <c r="AT211" s="908" t="n"/>
      <c r="AU211" s="908" t="n"/>
      <c r="AV211" s="908" t="n"/>
      <c r="AW211" s="908" t="n"/>
      <c r="AX211" s="908" t="n"/>
      <c r="AY211" s="908" t="n"/>
      <c r="AZ211" s="908" t="n"/>
      <c r="BA211" s="908" t="n"/>
      <c r="BB211" s="908" t="n"/>
      <c r="BC211" s="908" t="n"/>
      <c r="BD211" s="908" t="n"/>
      <c r="BE211" s="908" t="n"/>
      <c r="BF211" s="908" t="n"/>
      <c r="BG211" s="908" t="n"/>
      <c r="BH211" s="908" t="n"/>
      <c r="BI211" s="908" t="n"/>
      <c r="BJ211" s="908" t="n"/>
      <c r="BK211" s="909" t="n"/>
      <c r="BL211" s="909" t="n"/>
      <c r="BM211" s="909" t="n"/>
      <c r="BN211" s="909" t="n"/>
      <c r="BO211" s="909" t="n"/>
      <c r="BP211" s="909" t="n"/>
      <c r="BQ211" s="909" t="n"/>
      <c r="BR211" s="909" t="n"/>
      <c r="BS211" s="909" t="n"/>
      <c r="BT211" s="909" t="n"/>
      <c r="BU211" s="909" t="n"/>
      <c r="BV211" s="909" t="n"/>
      <c r="BW211" s="909" t="n"/>
      <c r="BX211" s="909" t="n"/>
      <c r="BY211" s="909" t="n"/>
      <c r="BZ211" s="909" t="n"/>
      <c r="CA211" s="909" t="n"/>
      <c r="CB211" s="909" t="n"/>
      <c r="CC211" s="909" t="n"/>
      <c r="CD211" s="909" t="n"/>
      <c r="CE211" s="909" t="n"/>
      <c r="CF211" s="909" t="n"/>
      <c r="CG211" s="909" t="n"/>
      <c r="CH211" s="909" t="n"/>
      <c r="CI211" s="909" t="n"/>
      <c r="CJ211" s="909" t="n"/>
      <c r="CK211" s="909" t="n"/>
    </row>
    <row r="212">
      <c r="B212" s="31" t="n"/>
      <c r="C212" s="31" t="n"/>
      <c r="D212" s="31" t="n"/>
      <c r="E212" s="31" t="n"/>
      <c r="F212" s="31" t="n"/>
      <c r="G212" s="31" t="n"/>
    </row>
    <row r="213">
      <c r="A213" s="425" t="inlineStr">
        <is>
          <t>Capital Structure (in '000 USD)</t>
        </is>
      </c>
      <c r="B213" s="79" t="n"/>
      <c r="C213" s="79" t="n"/>
      <c r="D213" s="79" t="n"/>
      <c r="E213" s="79" t="n"/>
      <c r="F213" s="79" t="n"/>
    </row>
    <row r="214"/>
    <row r="215">
      <c r="A215" s="22" t="inlineStr">
        <is>
          <t>Par value of common equity</t>
        </is>
      </c>
      <c r="N215" s="516">
        <f>FS_Q!N68</f>
        <v/>
      </c>
      <c r="O215" s="516">
        <f>FS_Q!O68</f>
        <v/>
      </c>
      <c r="P215" s="516">
        <f>FS_Q!P68</f>
        <v/>
      </c>
      <c r="Q215" s="516">
        <f>FS_Q!Q68</f>
        <v/>
      </c>
      <c r="R215" s="516">
        <f>FS_Q!R68</f>
        <v/>
      </c>
      <c r="S215" s="516">
        <f>FS_Q!S68</f>
        <v/>
      </c>
      <c r="T215" s="516">
        <f>FS_Q!T68</f>
        <v/>
      </c>
      <c r="U215" s="516">
        <f>FS_Q!U68</f>
        <v/>
      </c>
      <c r="V215" s="516">
        <f>FS_Q!V68</f>
        <v/>
      </c>
      <c r="W215" s="516">
        <f>FS_Q!W68</f>
        <v/>
      </c>
      <c r="X215" s="516">
        <f>FS_Q!X68</f>
        <v/>
      </c>
      <c r="Y215" s="516">
        <f>FS_Q!Y68</f>
        <v/>
      </c>
      <c r="Z215" s="516">
        <f>FS_Q!Z68</f>
        <v/>
      </c>
      <c r="AA215" s="516">
        <f>FS_Q!AA68</f>
        <v/>
      </c>
      <c r="AB215" s="516">
        <f>FS_Q!AB68</f>
        <v/>
      </c>
      <c r="AC215" s="516">
        <f>FS_Q!AC68</f>
        <v/>
      </c>
      <c r="AD215" s="516">
        <f>FS_Q!AD68</f>
        <v/>
      </c>
      <c r="AE215" s="516">
        <f>FS_Q!AE68</f>
        <v/>
      </c>
      <c r="AF215" s="516">
        <f>FS_Q!AF68</f>
        <v/>
      </c>
      <c r="AG215" s="516">
        <f>FS_Q!AG68</f>
        <v/>
      </c>
      <c r="AH215" s="516">
        <f>FS_Q!AH68</f>
        <v/>
      </c>
      <c r="AI215" s="516">
        <f>FS_Q!AI68</f>
        <v/>
      </c>
      <c r="AJ215" s="516">
        <f>FS_Q!AJ68</f>
        <v/>
      </c>
      <c r="AK215" s="516">
        <f>FS_Q!AK68</f>
        <v/>
      </c>
      <c r="AL215" s="516">
        <f>FS_Q!AL68</f>
        <v/>
      </c>
      <c r="AM215" s="516">
        <f>FS_Q!AM68</f>
        <v/>
      </c>
      <c r="AN215" s="516">
        <f>FS_Q!AN68</f>
        <v/>
      </c>
      <c r="AO215" s="516">
        <f>FS_Q!AO68</f>
        <v/>
      </c>
      <c r="AP215" s="516">
        <f>FS_Q!AP68</f>
        <v/>
      </c>
      <c r="AQ215" s="516">
        <f>FS_Q!AQ68</f>
        <v/>
      </c>
      <c r="AR215" s="516">
        <f>FS_Q!AR68</f>
        <v/>
      </c>
      <c r="AS215" s="516">
        <f>FS_Q!AS68</f>
        <v/>
      </c>
      <c r="AT215" s="516">
        <f>FS_Q!AT68</f>
        <v/>
      </c>
      <c r="AU215" s="516">
        <f>FS_Q!AU68</f>
        <v/>
      </c>
      <c r="AV215" s="516">
        <f>FS_Q!AV68</f>
        <v/>
      </c>
      <c r="AW215" s="516">
        <f>FS_Q!AW68</f>
        <v/>
      </c>
      <c r="AX215" s="516">
        <f>FS_Q!AX68</f>
        <v/>
      </c>
      <c r="AY215" s="516">
        <f>FS_Q!AY68</f>
        <v/>
      </c>
      <c r="AZ215" s="516">
        <f>FS_Q!AZ68</f>
        <v/>
      </c>
      <c r="BA215" s="516">
        <f>FS_Q!BA68</f>
        <v/>
      </c>
      <c r="BB215" s="516">
        <f>FS_Q!BB68</f>
        <v/>
      </c>
      <c r="BC215" s="516">
        <f>FS_Q!BC68</f>
        <v/>
      </c>
      <c r="BD215" s="516">
        <f>FS_Q!BD68</f>
        <v/>
      </c>
      <c r="BE215" s="516">
        <f>FS_Q!BE68</f>
        <v/>
      </c>
      <c r="BF215" s="516">
        <f>FS_Q!BF68</f>
        <v/>
      </c>
      <c r="BG215" s="516">
        <f>FS_Q!BG68</f>
        <v/>
      </c>
      <c r="BH215" s="516">
        <f>FS_Q!BH68</f>
        <v/>
      </c>
      <c r="BI215" s="516">
        <f>FS_Q!BI68</f>
        <v/>
      </c>
      <c r="BJ215" s="516">
        <f>FS_Q!BJ68</f>
        <v/>
      </c>
      <c r="BK215" s="516">
        <f>FS_Q!BK68</f>
        <v/>
      </c>
      <c r="BL215" s="516">
        <f>FS_Q!BL68</f>
        <v/>
      </c>
      <c r="BM215" s="516">
        <f>FS_Q!BM68</f>
        <v/>
      </c>
      <c r="BN215" s="516">
        <f>FS_Q!BN68</f>
        <v/>
      </c>
      <c r="BO215" s="516">
        <f>FS_Q!BO68</f>
        <v/>
      </c>
      <c r="BP215" s="516">
        <f>FS_Q!BP68</f>
        <v/>
      </c>
      <c r="BQ215" s="516">
        <f>FS_Q!BQ68</f>
        <v/>
      </c>
      <c r="BR215" s="516">
        <f>FS_Q!BR68</f>
        <v/>
      </c>
      <c r="BS215" s="541">
        <f>BR215</f>
        <v/>
      </c>
      <c r="BT215" s="541">
        <f>BS215</f>
        <v/>
      </c>
      <c r="BU215" s="541">
        <f>BT215</f>
        <v/>
      </c>
      <c r="BV215" s="541">
        <f>BU215</f>
        <v/>
      </c>
      <c r="BW215" s="541">
        <f>BV215</f>
        <v/>
      </c>
      <c r="BX215" s="541">
        <f>BW215</f>
        <v/>
      </c>
      <c r="BY215" s="541">
        <f>BX215</f>
        <v/>
      </c>
      <c r="BZ215" s="541">
        <f>BY215</f>
        <v/>
      </c>
      <c r="CA215" s="541">
        <f>BZ215</f>
        <v/>
      </c>
      <c r="CB215" s="541">
        <f>CA215</f>
        <v/>
      </c>
      <c r="CC215" s="541">
        <f>CB215</f>
        <v/>
      </c>
      <c r="CD215" s="541">
        <f>CC215</f>
        <v/>
      </c>
      <c r="CE215" s="541">
        <f>CD215</f>
        <v/>
      </c>
      <c r="CF215" s="541">
        <f>CE215</f>
        <v/>
      </c>
      <c r="CG215" s="541">
        <f>CF215</f>
        <v/>
      </c>
      <c r="CH215" s="541">
        <f>CG215</f>
        <v/>
      </c>
      <c r="CI215" s="541">
        <f>CH215</f>
        <v/>
      </c>
      <c r="CJ215" s="541">
        <f>CI215</f>
        <v/>
      </c>
      <c r="CK215" s="541">
        <f>CJ215</f>
        <v/>
      </c>
    </row>
    <row r="216">
      <c r="A216" s="22">
        <f>FS_Q!A69</f>
        <v/>
      </c>
      <c r="B216" s="22">
        <f>FS_Q!B69</f>
        <v/>
      </c>
      <c r="C216" s="22">
        <f>FS_Q!C69</f>
        <v/>
      </c>
      <c r="D216" s="22">
        <f>FS_Q!D69</f>
        <v/>
      </c>
      <c r="E216" s="22">
        <f>FS_Q!E69</f>
        <v/>
      </c>
      <c r="F216" s="22">
        <f>FS_Q!F69</f>
        <v/>
      </c>
      <c r="G216" s="22">
        <f>FS_Q!G69</f>
        <v/>
      </c>
      <c r="H216" s="22">
        <f>FS_Q!H69</f>
        <v/>
      </c>
      <c r="I216" s="22">
        <f>FS_Q!I69</f>
        <v/>
      </c>
      <c r="J216" s="22">
        <f>FS_Q!J69</f>
        <v/>
      </c>
      <c r="K216" s="22">
        <f>FS_Q!K69</f>
        <v/>
      </c>
      <c r="L216" s="22">
        <f>FS_Q!L69</f>
        <v/>
      </c>
      <c r="M216" s="22">
        <f>FS_Q!M69</f>
        <v/>
      </c>
      <c r="N216" s="516">
        <f>FS_Q!N69</f>
        <v/>
      </c>
      <c r="O216" s="516">
        <f>FS_Q!O69</f>
        <v/>
      </c>
      <c r="P216" s="516">
        <f>FS_Q!P69</f>
        <v/>
      </c>
      <c r="Q216" s="516">
        <f>FS_Q!Q69</f>
        <v/>
      </c>
      <c r="R216" s="516">
        <f>FS_Q!R69</f>
        <v/>
      </c>
      <c r="S216" s="516">
        <f>FS_Q!S69</f>
        <v/>
      </c>
      <c r="T216" s="516">
        <f>FS_Q!T69</f>
        <v/>
      </c>
      <c r="U216" s="516">
        <f>FS_Q!U69</f>
        <v/>
      </c>
      <c r="V216" s="516">
        <f>FS_Q!V69</f>
        <v/>
      </c>
      <c r="W216" s="516">
        <f>FS_Q!W69</f>
        <v/>
      </c>
      <c r="X216" s="516">
        <f>FS_Q!X69</f>
        <v/>
      </c>
      <c r="Y216" s="516">
        <f>FS_Q!Y69</f>
        <v/>
      </c>
      <c r="Z216" s="516">
        <f>FS_Q!Z69</f>
        <v/>
      </c>
      <c r="AA216" s="516">
        <f>FS_Q!AA69</f>
        <v/>
      </c>
      <c r="AB216" s="516">
        <f>FS_Q!AB69</f>
        <v/>
      </c>
      <c r="AC216" s="516">
        <f>FS_Q!AC69</f>
        <v/>
      </c>
      <c r="AD216" s="516">
        <f>FS_Q!AD69</f>
        <v/>
      </c>
      <c r="AE216" s="516">
        <f>FS_Q!AE69</f>
        <v/>
      </c>
      <c r="AF216" s="516">
        <f>FS_Q!AF69</f>
        <v/>
      </c>
      <c r="AG216" s="516">
        <f>FS_Q!AG69</f>
        <v/>
      </c>
      <c r="AH216" s="516">
        <f>FS_Q!AH69</f>
        <v/>
      </c>
      <c r="AI216" s="516">
        <f>FS_Q!AI69</f>
        <v/>
      </c>
      <c r="AJ216" s="516">
        <f>FS_Q!AJ69</f>
        <v/>
      </c>
      <c r="AK216" s="516">
        <f>FS_Q!AK69</f>
        <v/>
      </c>
      <c r="AL216" s="516">
        <f>FS_Q!AL69</f>
        <v/>
      </c>
      <c r="AM216" s="516">
        <f>FS_Q!AM69</f>
        <v/>
      </c>
      <c r="AN216" s="516">
        <f>FS_Q!AN69</f>
        <v/>
      </c>
      <c r="AO216" s="516">
        <f>FS_Q!AO69</f>
        <v/>
      </c>
      <c r="AP216" s="516">
        <f>FS_Q!AP69</f>
        <v/>
      </c>
      <c r="AQ216" s="516">
        <f>FS_Q!AQ69</f>
        <v/>
      </c>
      <c r="AR216" s="516">
        <f>FS_Q!AR69</f>
        <v/>
      </c>
      <c r="AS216" s="516">
        <f>FS_Q!AS69</f>
        <v/>
      </c>
      <c r="AT216" s="516">
        <f>FS_Q!AT69</f>
        <v/>
      </c>
      <c r="AU216" s="516">
        <f>FS_Q!AU69</f>
        <v/>
      </c>
      <c r="AV216" s="516">
        <f>FS_Q!AV69</f>
        <v/>
      </c>
      <c r="AW216" s="516">
        <f>FS_Q!AW69</f>
        <v/>
      </c>
      <c r="AX216" s="516">
        <f>FS_Q!AX69</f>
        <v/>
      </c>
      <c r="AY216" s="516">
        <f>FS_Q!AY69</f>
        <v/>
      </c>
      <c r="AZ216" s="516">
        <f>FS_Q!AZ69</f>
        <v/>
      </c>
      <c r="BA216" s="516">
        <f>FS_Q!BA69</f>
        <v/>
      </c>
      <c r="BB216" s="516">
        <f>FS_Q!BB69</f>
        <v/>
      </c>
      <c r="BC216" s="516">
        <f>FS_Q!BC69</f>
        <v/>
      </c>
      <c r="BD216" s="516">
        <f>FS_Q!BD69</f>
        <v/>
      </c>
      <c r="BE216" s="516">
        <f>FS_Q!BE69</f>
        <v/>
      </c>
      <c r="BF216" s="516">
        <f>FS_Q!BF69</f>
        <v/>
      </c>
      <c r="BG216" s="516">
        <f>FS_Q!BG69</f>
        <v/>
      </c>
      <c r="BH216" s="516">
        <f>FS_Q!BH69</f>
        <v/>
      </c>
      <c r="BI216" s="516">
        <f>FS_Q!BI69</f>
        <v/>
      </c>
      <c r="BJ216" s="516">
        <f>FS_Q!BJ69</f>
        <v/>
      </c>
      <c r="BK216" s="516">
        <f>FS_Q!BK69</f>
        <v/>
      </c>
      <c r="BL216" s="516">
        <f>FS_Q!BL69</f>
        <v/>
      </c>
      <c r="BM216" s="516">
        <f>FS_Q!BM69</f>
        <v/>
      </c>
      <c r="BN216" s="516">
        <f>FS_Q!BN69</f>
        <v/>
      </c>
      <c r="BO216" s="516">
        <f>FS_Q!BO69</f>
        <v/>
      </c>
      <c r="BP216" s="516">
        <f>FS_Q!BP69</f>
        <v/>
      </c>
      <c r="BQ216" s="516">
        <f>FS_Q!BQ69</f>
        <v/>
      </c>
      <c r="BR216" s="516">
        <f>FS_Q!BR69</f>
        <v/>
      </c>
      <c r="BS216" s="541">
        <f>BR216</f>
        <v/>
      </c>
      <c r="BT216" s="541">
        <f>BS216</f>
        <v/>
      </c>
      <c r="BU216" s="541">
        <f>BT216</f>
        <v/>
      </c>
      <c r="BV216" s="541">
        <f>BU216</f>
        <v/>
      </c>
      <c r="BW216" s="541">
        <f>BV216</f>
        <v/>
      </c>
      <c r="BX216" s="541">
        <f>BW216</f>
        <v/>
      </c>
      <c r="BY216" s="541">
        <f>BX216</f>
        <v/>
      </c>
      <c r="BZ216" s="541">
        <f>BY216</f>
        <v/>
      </c>
      <c r="CA216" s="541">
        <f>BZ216</f>
        <v/>
      </c>
      <c r="CB216" s="541">
        <f>CA216</f>
        <v/>
      </c>
      <c r="CC216" s="541">
        <f>CB216</f>
        <v/>
      </c>
      <c r="CD216" s="541">
        <f>CC216</f>
        <v/>
      </c>
      <c r="CE216" s="541">
        <f>CD216</f>
        <v/>
      </c>
      <c r="CF216" s="541">
        <f>CE216</f>
        <v/>
      </c>
      <c r="CG216" s="541">
        <f>CF216</f>
        <v/>
      </c>
      <c r="CH216" s="541">
        <f>CG216</f>
        <v/>
      </c>
      <c r="CI216" s="541">
        <f>CH216</f>
        <v/>
      </c>
      <c r="CJ216" s="541">
        <f>CI216</f>
        <v/>
      </c>
      <c r="CK216" s="541">
        <f>CJ216</f>
        <v/>
      </c>
    </row>
    <row r="217">
      <c r="A217" s="22" t="inlineStr">
        <is>
          <t>Additional paid-in capital</t>
        </is>
      </c>
      <c r="N217" s="516">
        <f>FS_Q!N70</f>
        <v/>
      </c>
      <c r="O217" s="516">
        <f>FS_Q!O70</f>
        <v/>
      </c>
      <c r="P217" s="516">
        <f>FS_Q!P70</f>
        <v/>
      </c>
      <c r="Q217" s="516">
        <f>FS_Q!Q70</f>
        <v/>
      </c>
      <c r="R217" s="516">
        <f>FS_Q!R70</f>
        <v/>
      </c>
      <c r="S217" s="516">
        <f>FS_Q!S70</f>
        <v/>
      </c>
      <c r="T217" s="516">
        <f>FS_Q!T70</f>
        <v/>
      </c>
      <c r="U217" s="516">
        <f>FS_Q!U70</f>
        <v/>
      </c>
      <c r="V217" s="516">
        <f>FS_Q!V70</f>
        <v/>
      </c>
      <c r="W217" s="516">
        <f>FS_Q!W70</f>
        <v/>
      </c>
      <c r="X217" s="516">
        <f>FS_Q!X70</f>
        <v/>
      </c>
      <c r="Y217" s="516">
        <f>FS_Q!Y70</f>
        <v/>
      </c>
      <c r="Z217" s="516">
        <f>FS_Q!Z70</f>
        <v/>
      </c>
      <c r="AA217" s="516">
        <f>FS_Q!AA70</f>
        <v/>
      </c>
      <c r="AB217" s="516">
        <f>FS_Q!AB70</f>
        <v/>
      </c>
      <c r="AC217" s="516">
        <f>FS_Q!AC70</f>
        <v/>
      </c>
      <c r="AD217" s="516">
        <f>FS_Q!AD70</f>
        <v/>
      </c>
      <c r="AE217" s="516">
        <f>FS_Q!AE70</f>
        <v/>
      </c>
      <c r="AF217" s="516">
        <f>FS_Q!AF70</f>
        <v/>
      </c>
      <c r="AG217" s="516">
        <f>FS_Q!AG70</f>
        <v/>
      </c>
      <c r="AH217" s="516">
        <f>FS_Q!AH70</f>
        <v/>
      </c>
      <c r="AI217" s="516">
        <f>FS_Q!AI70</f>
        <v/>
      </c>
      <c r="AJ217" s="516">
        <f>FS_Q!AJ70</f>
        <v/>
      </c>
      <c r="AK217" s="516">
        <f>FS_Q!AK70</f>
        <v/>
      </c>
      <c r="AL217" s="516">
        <f>FS_Q!AL70</f>
        <v/>
      </c>
      <c r="AM217" s="516">
        <f>FS_Q!AM70</f>
        <v/>
      </c>
      <c r="AN217" s="516">
        <f>FS_Q!AN70</f>
        <v/>
      </c>
      <c r="AO217" s="516">
        <f>FS_Q!AO70</f>
        <v/>
      </c>
      <c r="AP217" s="516">
        <f>FS_Q!AP70</f>
        <v/>
      </c>
      <c r="AQ217" s="516">
        <f>FS_Q!AQ70</f>
        <v/>
      </c>
      <c r="AR217" s="516">
        <f>FS_Q!AR70</f>
        <v/>
      </c>
      <c r="AS217" s="516">
        <f>FS_Q!AS70</f>
        <v/>
      </c>
      <c r="AT217" s="516">
        <f>FS_Q!AT70</f>
        <v/>
      </c>
      <c r="AU217" s="516">
        <f>FS_Q!AU70</f>
        <v/>
      </c>
      <c r="AV217" s="516">
        <f>FS_Q!AV70</f>
        <v/>
      </c>
      <c r="AW217" s="516">
        <f>FS_Q!AW70</f>
        <v/>
      </c>
      <c r="AX217" s="516">
        <f>FS_Q!AX70</f>
        <v/>
      </c>
      <c r="AY217" s="516">
        <f>FS_Q!AY70</f>
        <v/>
      </c>
      <c r="AZ217" s="516">
        <f>FS_Q!AZ70</f>
        <v/>
      </c>
      <c r="BA217" s="516">
        <f>FS_Q!BA70</f>
        <v/>
      </c>
      <c r="BB217" s="516">
        <f>FS_Q!BB70</f>
        <v/>
      </c>
      <c r="BC217" s="516">
        <f>FS_Q!BC70</f>
        <v/>
      </c>
      <c r="BD217" s="516">
        <f>FS_Q!BD70</f>
        <v/>
      </c>
      <c r="BE217" s="516">
        <f>FS_Q!BE70</f>
        <v/>
      </c>
      <c r="BF217" s="516">
        <f>FS_Q!BF70</f>
        <v/>
      </c>
      <c r="BG217" s="516">
        <f>FS_Q!BG70</f>
        <v/>
      </c>
      <c r="BH217" s="516">
        <f>FS_Q!BH70</f>
        <v/>
      </c>
      <c r="BI217" s="516">
        <f>FS_Q!BI70</f>
        <v/>
      </c>
      <c r="BJ217" s="516">
        <f>FS_Q!BJ70</f>
        <v/>
      </c>
      <c r="BK217" s="516">
        <f>FS_Q!BK70</f>
        <v/>
      </c>
      <c r="BL217" s="516">
        <f>FS_Q!BL70</f>
        <v/>
      </c>
      <c r="BM217" s="516">
        <f>FS_Q!BM70</f>
        <v/>
      </c>
      <c r="BN217" s="516">
        <f>FS_Q!BN70</f>
        <v/>
      </c>
      <c r="BO217" s="516">
        <f>FS_Q!BO70</f>
        <v/>
      </c>
      <c r="BP217" s="516">
        <f>FS_Q!BP70</f>
        <v/>
      </c>
      <c r="BQ217" s="516">
        <f>FS_Q!BQ70</f>
        <v/>
      </c>
      <c r="BR217" s="516">
        <f>FS_Q!BR70</f>
        <v/>
      </c>
      <c r="BS217" s="541">
        <f>BR217</f>
        <v/>
      </c>
      <c r="BT217" s="541">
        <f>BS217</f>
        <v/>
      </c>
      <c r="BU217" s="541">
        <f>BT217</f>
        <v/>
      </c>
      <c r="BV217" s="541">
        <f>BU217</f>
        <v/>
      </c>
      <c r="BW217" s="541">
        <f>BV217</f>
        <v/>
      </c>
      <c r="BX217" s="541">
        <f>BW217</f>
        <v/>
      </c>
      <c r="BY217" s="541">
        <f>BX217</f>
        <v/>
      </c>
      <c r="BZ217" s="541">
        <f>BY217</f>
        <v/>
      </c>
      <c r="CA217" s="541">
        <f>BZ217</f>
        <v/>
      </c>
      <c r="CB217" s="541">
        <f>CA217</f>
        <v/>
      </c>
      <c r="CC217" s="541">
        <f>CB217</f>
        <v/>
      </c>
      <c r="CD217" s="541">
        <f>CC217</f>
        <v/>
      </c>
      <c r="CE217" s="541">
        <f>CD217</f>
        <v/>
      </c>
      <c r="CF217" s="541">
        <f>CE217</f>
        <v/>
      </c>
      <c r="CG217" s="541">
        <f>CF217</f>
        <v/>
      </c>
      <c r="CH217" s="541">
        <f>CG217</f>
        <v/>
      </c>
      <c r="CI217" s="541">
        <f>CH217</f>
        <v/>
      </c>
      <c r="CJ217" s="541">
        <f>CI217</f>
        <v/>
      </c>
      <c r="CK217" s="541">
        <f>CJ217</f>
        <v/>
      </c>
    </row>
    <row r="218">
      <c r="A218" s="22" t="n"/>
      <c r="N218" s="516" t="n"/>
    </row>
    <row r="219">
      <c r="A219" s="22">
        <f>FS_Q!A71</f>
        <v/>
      </c>
      <c r="N219" s="516" t="n"/>
    </row>
    <row r="220">
      <c r="A220" s="410" t="inlineStr">
        <is>
          <t>Beginning balance</t>
        </is>
      </c>
      <c r="B220" s="108" t="n"/>
      <c r="C220" s="108" t="n"/>
      <c r="D220" s="108" t="n"/>
      <c r="E220" s="108" t="n"/>
      <c r="F220" s="108" t="n"/>
      <c r="G220" s="108" t="n"/>
      <c r="H220" s="108" t="n"/>
      <c r="I220" s="84" t="n"/>
      <c r="J220" s="84" t="n"/>
      <c r="K220" s="84" t="n"/>
      <c r="L220" s="84" t="n"/>
      <c r="M220" s="84" t="n"/>
      <c r="O220" s="517">
        <f>N224</f>
        <v/>
      </c>
      <c r="P220" s="517">
        <f>O224</f>
        <v/>
      </c>
      <c r="Q220" s="517">
        <f>P224</f>
        <v/>
      </c>
      <c r="R220" s="517">
        <f>Q224</f>
        <v/>
      </c>
      <c r="S220" s="517">
        <f>R224</f>
        <v/>
      </c>
      <c r="T220" s="517">
        <f>S224</f>
        <v/>
      </c>
      <c r="U220" s="517">
        <f>T224</f>
        <v/>
      </c>
      <c r="V220" s="517">
        <f>U224</f>
        <v/>
      </c>
      <c r="W220" s="517">
        <f>V224</f>
        <v/>
      </c>
      <c r="X220" s="517">
        <f>W224</f>
        <v/>
      </c>
      <c r="Y220" s="517">
        <f>X224</f>
        <v/>
      </c>
      <c r="Z220" s="517">
        <f>Y224</f>
        <v/>
      </c>
      <c r="AA220" s="517">
        <f>Z224</f>
        <v/>
      </c>
      <c r="AB220" s="517">
        <f>AA224</f>
        <v/>
      </c>
      <c r="AC220" s="517">
        <f>AB224</f>
        <v/>
      </c>
      <c r="AD220" s="517">
        <f>AC224</f>
        <v/>
      </c>
      <c r="AE220" s="517">
        <f>AD224</f>
        <v/>
      </c>
      <c r="AF220" s="517">
        <f>AE224</f>
        <v/>
      </c>
      <c r="AG220" s="517">
        <f>AF224</f>
        <v/>
      </c>
      <c r="AH220" s="517">
        <f>AG224</f>
        <v/>
      </c>
      <c r="AI220" s="517">
        <f>AH224</f>
        <v/>
      </c>
      <c r="AJ220" s="517">
        <f>AI224</f>
        <v/>
      </c>
      <c r="AK220" s="517">
        <f>AJ224</f>
        <v/>
      </c>
      <c r="AL220" s="517">
        <f>AK224</f>
        <v/>
      </c>
      <c r="AM220" s="517">
        <f>AL224</f>
        <v/>
      </c>
      <c r="AN220" s="517">
        <f>AM224</f>
        <v/>
      </c>
      <c r="AO220" s="517">
        <f>AN224</f>
        <v/>
      </c>
      <c r="AP220" s="517">
        <f>AO224</f>
        <v/>
      </c>
      <c r="AQ220" s="517">
        <f>AP224</f>
        <v/>
      </c>
      <c r="AR220" s="517">
        <f>AQ224</f>
        <v/>
      </c>
      <c r="AS220" s="517">
        <f>AR224</f>
        <v/>
      </c>
      <c r="AT220" s="517">
        <f>AS224</f>
        <v/>
      </c>
      <c r="AU220" s="517">
        <f>AT224</f>
        <v/>
      </c>
      <c r="AV220" s="517">
        <f>AU224</f>
        <v/>
      </c>
      <c r="AW220" s="517">
        <f>AV224</f>
        <v/>
      </c>
      <c r="AX220" s="517">
        <f>AW224</f>
        <v/>
      </c>
      <c r="AY220" s="517">
        <f>AX224</f>
        <v/>
      </c>
      <c r="AZ220" s="517">
        <f>AY224</f>
        <v/>
      </c>
      <c r="BA220" s="517">
        <f>AZ224</f>
        <v/>
      </c>
      <c r="BB220" s="517">
        <f>BA224</f>
        <v/>
      </c>
      <c r="BC220" s="517">
        <f>BB224</f>
        <v/>
      </c>
      <c r="BD220" s="517">
        <f>BC224</f>
        <v/>
      </c>
      <c r="BE220" s="517">
        <f>BD224</f>
        <v/>
      </c>
      <c r="BF220" s="517">
        <f>BE224</f>
        <v/>
      </c>
      <c r="BG220" s="517">
        <f>BF224</f>
        <v/>
      </c>
      <c r="BH220" s="517">
        <f>BG224</f>
        <v/>
      </c>
      <c r="BI220" s="517">
        <f>BH224</f>
        <v/>
      </c>
      <c r="BJ220" s="517">
        <f>BI224</f>
        <v/>
      </c>
      <c r="BK220" s="517">
        <f>BJ224</f>
        <v/>
      </c>
      <c r="BL220" s="517">
        <f>BK224</f>
        <v/>
      </c>
      <c r="BM220" s="517">
        <f>BL224</f>
        <v/>
      </c>
      <c r="BN220" s="517">
        <f>BM224</f>
        <v/>
      </c>
      <c r="BO220" s="517">
        <f>BN224</f>
        <v/>
      </c>
      <c r="BP220" s="517">
        <f>BO224</f>
        <v/>
      </c>
      <c r="BQ220" s="517">
        <f>BP224</f>
        <v/>
      </c>
      <c r="BR220" s="517">
        <f>BQ224</f>
        <v/>
      </c>
      <c r="BS220" s="517">
        <f>BR224</f>
        <v/>
      </c>
      <c r="BT220" s="517">
        <f>BS224</f>
        <v/>
      </c>
      <c r="BU220" s="517">
        <f>BT224</f>
        <v/>
      </c>
      <c r="BV220" s="517">
        <f>BU224</f>
        <v/>
      </c>
      <c r="BW220" s="517">
        <f>BV224</f>
        <v/>
      </c>
      <c r="BX220" s="517">
        <f>BW224</f>
        <v/>
      </c>
      <c r="BY220" s="517">
        <f>BX224</f>
        <v/>
      </c>
      <c r="BZ220" s="517">
        <f>BY224</f>
        <v/>
      </c>
      <c r="CA220" s="517">
        <f>BZ224</f>
        <v/>
      </c>
      <c r="CB220" s="517">
        <f>CA224</f>
        <v/>
      </c>
      <c r="CC220" s="517">
        <f>CB224</f>
        <v/>
      </c>
      <c r="CD220" s="517">
        <f>CC224</f>
        <v/>
      </c>
      <c r="CE220" s="517">
        <f>CD224</f>
        <v/>
      </c>
      <c r="CF220" s="517">
        <f>CE224</f>
        <v/>
      </c>
      <c r="CG220" s="517">
        <f>CF224</f>
        <v/>
      </c>
      <c r="CH220" s="517">
        <f>CG224</f>
        <v/>
      </c>
      <c r="CI220" s="517">
        <f>CH224</f>
        <v/>
      </c>
      <c r="CJ220" s="517">
        <f>CI224</f>
        <v/>
      </c>
      <c r="CK220" s="517">
        <f>CJ224</f>
        <v/>
      </c>
    </row>
    <row r="221">
      <c r="A221" s="33" t="inlineStr">
        <is>
          <t>Net income</t>
        </is>
      </c>
      <c r="F221" s="108" t="n"/>
      <c r="G221" s="108" t="n"/>
      <c r="H221" s="108" t="n"/>
      <c r="I221" s="84" t="n"/>
      <c r="J221" s="84" t="n"/>
      <c r="K221" s="84" t="n"/>
      <c r="L221" s="84" t="n"/>
      <c r="M221" s="84" t="n"/>
      <c r="N221" s="516" t="n"/>
      <c r="O221" s="516">
        <f>FS_Q!O25</f>
        <v/>
      </c>
      <c r="P221" s="516">
        <f>FS_Q!P25</f>
        <v/>
      </c>
      <c r="Q221" s="516">
        <f>FS_Q!Q25</f>
        <v/>
      </c>
      <c r="R221" s="516">
        <f>FS_Q!R25</f>
        <v/>
      </c>
      <c r="S221" s="516">
        <f>FS_Q!S25</f>
        <v/>
      </c>
      <c r="T221" s="516">
        <f>FS_Q!T25</f>
        <v/>
      </c>
      <c r="U221" s="516">
        <f>FS_Q!U25</f>
        <v/>
      </c>
      <c r="V221" s="516">
        <f>FS_Q!V25</f>
        <v/>
      </c>
      <c r="W221" s="516">
        <f>FS_Q!W25</f>
        <v/>
      </c>
      <c r="X221" s="516">
        <f>FS_Q!X25</f>
        <v/>
      </c>
      <c r="Y221" s="516">
        <f>FS_Q!Y25</f>
        <v/>
      </c>
      <c r="Z221" s="516">
        <f>FS_Q!Z25</f>
        <v/>
      </c>
      <c r="AA221" s="516">
        <f>FS_Q!AA25</f>
        <v/>
      </c>
      <c r="AB221" s="516">
        <f>FS_Q!AB25</f>
        <v/>
      </c>
      <c r="AC221" s="516">
        <f>FS_Q!AC25</f>
        <v/>
      </c>
      <c r="AD221" s="516">
        <f>FS_Q!AD25</f>
        <v/>
      </c>
      <c r="AE221" s="516">
        <f>FS_Q!AE25</f>
        <v/>
      </c>
      <c r="AF221" s="516">
        <f>FS_Q!AF25</f>
        <v/>
      </c>
      <c r="AG221" s="516">
        <f>FS_Q!AG25</f>
        <v/>
      </c>
      <c r="AH221" s="516">
        <f>FS_Q!AH25</f>
        <v/>
      </c>
      <c r="AI221" s="516">
        <f>FS_Q!AI25</f>
        <v/>
      </c>
      <c r="AJ221" s="516">
        <f>FS_Q!AJ25</f>
        <v/>
      </c>
      <c r="AK221" s="516">
        <f>FS_Q!AK25</f>
        <v/>
      </c>
      <c r="AL221" s="516">
        <f>FS_Q!AL25</f>
        <v/>
      </c>
      <c r="AM221" s="516">
        <f>FS_Q!AM25</f>
        <v/>
      </c>
      <c r="AN221" s="516">
        <f>FS_Q!AN25</f>
        <v/>
      </c>
      <c r="AO221" s="516">
        <f>FS_Q!AO25</f>
        <v/>
      </c>
      <c r="AP221" s="516">
        <f>FS_Q!AP25</f>
        <v/>
      </c>
      <c r="AQ221" s="516">
        <f>FS_Q!AQ25</f>
        <v/>
      </c>
      <c r="AR221" s="516">
        <f>FS_Q!AR25</f>
        <v/>
      </c>
      <c r="AS221" s="516">
        <f>FS_Q!AS25</f>
        <v/>
      </c>
      <c r="AT221" s="516">
        <f>FS_Q!AT25</f>
        <v/>
      </c>
      <c r="AU221" s="516">
        <f>FS_Q!AU25</f>
        <v/>
      </c>
      <c r="AV221" s="516">
        <f>FS_Q!AV25</f>
        <v/>
      </c>
      <c r="AW221" s="516">
        <f>FS_Q!AW25</f>
        <v/>
      </c>
      <c r="AX221" s="516">
        <f>FS_Q!AX25</f>
        <v/>
      </c>
      <c r="AY221" s="516">
        <f>FS_Q!AY25</f>
        <v/>
      </c>
      <c r="AZ221" s="516">
        <f>FS_Q!AZ25</f>
        <v/>
      </c>
      <c r="BA221" s="516">
        <f>FS_Q!BA25</f>
        <v/>
      </c>
      <c r="BB221" s="516">
        <f>FS_Q!BB25</f>
        <v/>
      </c>
      <c r="BC221" s="516">
        <f>FS_Q!BC25</f>
        <v/>
      </c>
      <c r="BD221" s="516">
        <f>FS_Q!BD25</f>
        <v/>
      </c>
      <c r="BE221" s="516">
        <f>FS_Q!BE25</f>
        <v/>
      </c>
      <c r="BF221" s="516">
        <f>FS_Q!BF25</f>
        <v/>
      </c>
      <c r="BG221" s="516">
        <f>FS_Q!BG25</f>
        <v/>
      </c>
      <c r="BH221" s="516">
        <f>FS_Q!BH25</f>
        <v/>
      </c>
      <c r="BI221" s="516">
        <f>FS_Q!BI25</f>
        <v/>
      </c>
      <c r="BJ221" s="516">
        <f>FS_Q!BJ25</f>
        <v/>
      </c>
      <c r="BK221" s="516">
        <f>FS_Q!BK25</f>
        <v/>
      </c>
      <c r="BL221" s="516">
        <f>FS_Q!BL25</f>
        <v/>
      </c>
      <c r="BM221" s="516">
        <f>FS_Q!BM25</f>
        <v/>
      </c>
      <c r="BN221" s="516">
        <f>FS_Q!BN25</f>
        <v/>
      </c>
      <c r="BO221" s="516">
        <f>FS_Q!BO25</f>
        <v/>
      </c>
      <c r="BP221" s="516">
        <f>FS_Q!BP25</f>
        <v/>
      </c>
      <c r="BQ221" s="516">
        <f>FS_Q!BQ25</f>
        <v/>
      </c>
      <c r="BR221" s="516">
        <f>FS_Q!BR25</f>
        <v/>
      </c>
      <c r="BS221" s="517">
        <f>BS108</f>
        <v/>
      </c>
      <c r="BT221" s="517">
        <f>BT108</f>
        <v/>
      </c>
      <c r="BU221" s="517">
        <f>BU108</f>
        <v/>
      </c>
      <c r="BV221" s="517">
        <f>BV108</f>
        <v/>
      </c>
      <c r="BW221" s="517">
        <f>BW108</f>
        <v/>
      </c>
      <c r="BX221" s="517">
        <f>BX108</f>
        <v/>
      </c>
      <c r="BY221" s="517">
        <f>BY108</f>
        <v/>
      </c>
      <c r="BZ221" s="517">
        <f>BZ108</f>
        <v/>
      </c>
      <c r="CA221" s="517">
        <f>CA108</f>
        <v/>
      </c>
      <c r="CB221" s="517">
        <f>CB108</f>
        <v/>
      </c>
      <c r="CC221" s="517">
        <f>CC108</f>
        <v/>
      </c>
      <c r="CD221" s="517">
        <f>CD108</f>
        <v/>
      </c>
      <c r="CE221" s="517">
        <f>CE108</f>
        <v/>
      </c>
      <c r="CF221" s="517">
        <f>CF108</f>
        <v/>
      </c>
      <c r="CG221" s="517">
        <f>CG108</f>
        <v/>
      </c>
      <c r="CH221" s="517">
        <f>CH108</f>
        <v/>
      </c>
      <c r="CI221" s="517">
        <f>CI108</f>
        <v/>
      </c>
      <c r="CJ221" s="517">
        <f>CJ108</f>
        <v/>
      </c>
      <c r="CK221" s="517">
        <f>CK108</f>
        <v/>
      </c>
    </row>
    <row r="222">
      <c r="A222" s="33" t="inlineStr">
        <is>
          <t>Dividends</t>
        </is>
      </c>
      <c r="F222" s="108" t="n"/>
      <c r="G222" s="108" t="n"/>
      <c r="H222" s="108" t="n"/>
      <c r="I222" s="84" t="n"/>
      <c r="J222" s="84" t="n"/>
      <c r="K222" s="84" t="n"/>
      <c r="L222" s="84" t="n"/>
      <c r="M222" s="84" t="n"/>
      <c r="N222" s="517">
        <f>IF(ISBLANK(N233),"",N233)</f>
        <v/>
      </c>
      <c r="O222" s="517">
        <f>IF(ISBLANK(O233),0,O233)</f>
        <v/>
      </c>
      <c r="P222" s="517">
        <f>IF(ISBLANK(P233),0,P233)</f>
        <v/>
      </c>
      <c r="Q222" s="517">
        <f>IF(ISBLANK(Q233),0,Q233)</f>
        <v/>
      </c>
      <c r="R222" s="517">
        <f>IF(ISBLANK(R233),0,R233)</f>
        <v/>
      </c>
      <c r="S222" s="517">
        <f>IF(ISBLANK(S233),0,S233)</f>
        <v/>
      </c>
      <c r="T222" s="517">
        <f>IF(ISBLANK(T233),0,T233)</f>
        <v/>
      </c>
      <c r="U222" s="517">
        <f>IF(ISBLANK(U233),0,U233)</f>
        <v/>
      </c>
      <c r="V222" s="517">
        <f>IF(ISBLANK(V233),0,V233)</f>
        <v/>
      </c>
      <c r="W222" s="517">
        <f>IF(ISBLANK(W233),0,W233)</f>
        <v/>
      </c>
      <c r="X222" s="517">
        <f>IF(ISBLANK(X233),0,X233)</f>
        <v/>
      </c>
      <c r="Y222" s="517">
        <f>IF(ISBLANK(Y233),0,Y233)</f>
        <v/>
      </c>
      <c r="Z222" s="517">
        <f>IF(ISBLANK(Z233),0,Z233)</f>
        <v/>
      </c>
      <c r="AA222" s="517">
        <f>IF(ISBLANK(AA233),0,AA233)</f>
        <v/>
      </c>
      <c r="AB222" s="517">
        <f>IF(ISBLANK(AB233),0,AB233)</f>
        <v/>
      </c>
      <c r="AC222" s="517">
        <f>IF(ISBLANK(AC233),0,AC233)</f>
        <v/>
      </c>
      <c r="AD222" s="517">
        <f>IF(ISBLANK(AD233),0,AD233)</f>
        <v/>
      </c>
      <c r="AE222" s="517">
        <f>IF(ISBLANK(AE233),0,AE233)</f>
        <v/>
      </c>
      <c r="AF222" s="517">
        <f>IF(ISBLANK(AF233),0,AF233)</f>
        <v/>
      </c>
      <c r="AG222" s="517">
        <f>IF(ISBLANK(AG233),0,AG233)</f>
        <v/>
      </c>
      <c r="AH222" s="517">
        <f>IF(ISBLANK(AH233),0,AH233)</f>
        <v/>
      </c>
      <c r="AI222" s="517">
        <f>IF(ISBLANK(AI233),0,AI233)</f>
        <v/>
      </c>
      <c r="AJ222" s="517">
        <f>IF(ISBLANK(AJ233),0,AJ233)</f>
        <v/>
      </c>
      <c r="AK222" s="517">
        <f>IF(ISBLANK(AK233),0,AK233)</f>
        <v/>
      </c>
      <c r="AL222" s="517">
        <f>IF(ISBLANK(AL233),0,AL233)</f>
        <v/>
      </c>
      <c r="AM222" s="517">
        <f>IF(ISBLANK(AM233),0,AM233)</f>
        <v/>
      </c>
      <c r="AN222" s="517">
        <f>IF(ISBLANK(AN233),0,AN233)</f>
        <v/>
      </c>
      <c r="AO222" s="517">
        <f>IF(ISBLANK(AO233),0,AO233)</f>
        <v/>
      </c>
      <c r="AP222" s="517">
        <f>IF(ISBLANK(AP233),0,AP233)</f>
        <v/>
      </c>
      <c r="AQ222" s="517">
        <f>IF(ISBLANK(AQ233),0,AQ233)</f>
        <v/>
      </c>
      <c r="AR222" s="517">
        <f>IF(ISBLANK(AR233),0,AR233)</f>
        <v/>
      </c>
      <c r="AS222" s="517">
        <f>IF(ISBLANK(AS233),0,AS233)</f>
        <v/>
      </c>
      <c r="AT222" s="517">
        <f>IF(ISBLANK(AT233),0,AT233)</f>
        <v/>
      </c>
      <c r="AU222" s="517">
        <f>IF(ISBLANK(AU233),0,AU233)</f>
        <v/>
      </c>
      <c r="AV222" s="517">
        <f>IF(ISBLANK(AV233),0,AV233)</f>
        <v/>
      </c>
      <c r="AW222" s="517">
        <f>IF(ISBLANK(AW233),0,AW233)</f>
        <v/>
      </c>
      <c r="AX222" s="517">
        <f>IF(ISBLANK(AX233),0,AX233)</f>
        <v/>
      </c>
      <c r="AY222" s="517">
        <f>IF(ISBLANK(AY233),0,AY233)</f>
        <v/>
      </c>
      <c r="AZ222" s="517">
        <f>IF(ISBLANK(AZ233),0,AZ233)</f>
        <v/>
      </c>
      <c r="BA222" s="517">
        <f>IF(ISBLANK(BA233),0,BA233)</f>
        <v/>
      </c>
      <c r="BB222" s="517">
        <f>IF(ISBLANK(BB233),0,BB233)</f>
        <v/>
      </c>
      <c r="BC222" s="517">
        <f>IF(ISBLANK(BC233),0,BC233)</f>
        <v/>
      </c>
      <c r="BD222" s="517">
        <f>IF(ISBLANK(BD233),0,BD233)</f>
        <v/>
      </c>
      <c r="BE222" s="517">
        <f>IF(ISBLANK(BE233),0,BE233)</f>
        <v/>
      </c>
      <c r="BF222" s="517">
        <f>IF(ISBLANK(BF233),0,BF233)</f>
        <v/>
      </c>
      <c r="BG222" s="517">
        <f>IF(ISBLANK(BG233),0,BG233)</f>
        <v/>
      </c>
      <c r="BH222" s="517">
        <f>IF(ISBLANK(BH233),0,BH233)</f>
        <v/>
      </c>
      <c r="BI222" s="517">
        <f>IF(ISBLANK(BI233),0,BI233)</f>
        <v/>
      </c>
      <c r="BJ222" s="517">
        <f>IF(ISBLANK(BJ233),0,BJ233)</f>
        <v/>
      </c>
      <c r="BK222" s="517">
        <f>IF(ISBLANK(BK233),0,BK233)</f>
        <v/>
      </c>
      <c r="BL222" s="517">
        <f>IF(ISBLANK(BL233),0,BL233)</f>
        <v/>
      </c>
      <c r="BM222" s="517">
        <f>IF(ISBLANK(BM233),0,BM233)</f>
        <v/>
      </c>
      <c r="BN222" s="517">
        <f>IF(ISBLANK(BN233),0,BN233)</f>
        <v/>
      </c>
      <c r="BO222" s="517">
        <f>IF(ISBLANK(BO233),0,BO233)</f>
        <v/>
      </c>
      <c r="BP222" s="517">
        <f>IF(ISBLANK(BP233),0,BP233)</f>
        <v/>
      </c>
      <c r="BQ222" s="517">
        <f>IF(ISBLANK(BQ233),0,BQ233)</f>
        <v/>
      </c>
      <c r="BR222" s="517">
        <f>IF(ISBLANK(BR233),0,BR233)</f>
        <v/>
      </c>
      <c r="BS222" s="517">
        <f>BS233</f>
        <v/>
      </c>
      <c r="BT222" s="517">
        <f>BT233</f>
        <v/>
      </c>
      <c r="BU222" s="517">
        <f>BU233</f>
        <v/>
      </c>
      <c r="BV222" s="517">
        <f>BV233</f>
        <v/>
      </c>
      <c r="BW222" s="517">
        <f>BW233</f>
        <v/>
      </c>
      <c r="BX222" s="517">
        <f>BX233</f>
        <v/>
      </c>
      <c r="BY222" s="517">
        <f>BY233</f>
        <v/>
      </c>
      <c r="BZ222" s="517">
        <f>BZ233</f>
        <v/>
      </c>
      <c r="CA222" s="517">
        <f>CA233</f>
        <v/>
      </c>
      <c r="CB222" s="517">
        <f>CB233</f>
        <v/>
      </c>
      <c r="CC222" s="517">
        <f>CC233</f>
        <v/>
      </c>
      <c r="CD222" s="517">
        <f>CD233</f>
        <v/>
      </c>
      <c r="CE222" s="517">
        <f>CE233</f>
        <v/>
      </c>
      <c r="CF222" s="517">
        <f>CF233</f>
        <v/>
      </c>
      <c r="CG222" s="517">
        <f>CG233</f>
        <v/>
      </c>
      <c r="CH222" s="517">
        <f>CH233</f>
        <v/>
      </c>
      <c r="CI222" s="517">
        <f>CI233</f>
        <v/>
      </c>
      <c r="CJ222" s="517">
        <f>CJ233</f>
        <v/>
      </c>
      <c r="CK222" s="517">
        <f>CK233</f>
        <v/>
      </c>
    </row>
    <row r="223">
      <c r="A223" s="33" t="inlineStr">
        <is>
          <t>Adjustment for historical</t>
        </is>
      </c>
      <c r="F223" s="108" t="n"/>
      <c r="G223" s="108" t="n"/>
      <c r="H223" s="108" t="n"/>
      <c r="I223" s="84" t="n"/>
      <c r="J223" s="84" t="n"/>
      <c r="K223" s="84" t="n"/>
      <c r="L223" s="84" t="n"/>
      <c r="M223" s="84" t="n"/>
      <c r="N223" s="517" t="n"/>
      <c r="O223" s="517">
        <f>O224-SUM(O220:O221)+O222</f>
        <v/>
      </c>
      <c r="P223" s="517">
        <f>P224-SUM(P220:P221)+P222</f>
        <v/>
      </c>
      <c r="Q223" s="517">
        <f>Q224-SUM(Q220:Q221)+Q222</f>
        <v/>
      </c>
      <c r="R223" s="517">
        <f>R224-SUM(R220:R221)+R222</f>
        <v/>
      </c>
      <c r="S223" s="517">
        <f>S224-SUM(S220:S221)+S222</f>
        <v/>
      </c>
      <c r="T223" s="517">
        <f>T224-SUM(T220:T221)+T222</f>
        <v/>
      </c>
      <c r="U223" s="517">
        <f>U224-SUM(U220:U221)+U222</f>
        <v/>
      </c>
      <c r="V223" s="517">
        <f>V224-SUM(V220:V221)+V222</f>
        <v/>
      </c>
      <c r="W223" s="517">
        <f>W224-SUM(W220:W221)+W222</f>
        <v/>
      </c>
      <c r="X223" s="517">
        <f>X224-SUM(X220:X221)+X222</f>
        <v/>
      </c>
      <c r="Y223" s="517">
        <f>Y224-SUM(Y220:Y221)+Y222</f>
        <v/>
      </c>
      <c r="Z223" s="517">
        <f>Z224-SUM(Z220:Z221)+Z222</f>
        <v/>
      </c>
      <c r="AA223" s="517">
        <f>AA224-SUM(AA220:AA221)+AA222</f>
        <v/>
      </c>
      <c r="AB223" s="517">
        <f>AB224-SUM(AB220:AB221)+AB222</f>
        <v/>
      </c>
      <c r="AC223" s="517">
        <f>AC224-SUM(AC220:AC221)+AC222</f>
        <v/>
      </c>
      <c r="AD223" s="517">
        <f>AD224-SUM(AD220:AD221)+AD222</f>
        <v/>
      </c>
      <c r="AE223" s="517">
        <f>AE224-SUM(AE220:AE221)+AE222</f>
        <v/>
      </c>
      <c r="AF223" s="517">
        <f>AF224-SUM(AF220:AF221)+AF222</f>
        <v/>
      </c>
      <c r="AG223" s="517">
        <f>AG224-SUM(AG220:AG221)+AG222</f>
        <v/>
      </c>
      <c r="AH223" s="517">
        <f>AH224-SUM(AH220:AH221)+AH222</f>
        <v/>
      </c>
      <c r="AI223" s="517">
        <f>AI224-SUM(AI220:AI221)+AI222</f>
        <v/>
      </c>
      <c r="AJ223" s="517">
        <f>AJ224-SUM(AJ220:AJ221)+AJ222</f>
        <v/>
      </c>
      <c r="AK223" s="517">
        <f>AK224-SUM(AK220:AK221)+AK222</f>
        <v/>
      </c>
      <c r="AL223" s="517">
        <f>AL224-SUM(AL220:AL221)+AL222</f>
        <v/>
      </c>
      <c r="AM223" s="517">
        <f>AM224-SUM(AM220:AM221)+AM222</f>
        <v/>
      </c>
      <c r="AN223" s="517">
        <f>AN224-SUM(AN220:AN221)+AN222</f>
        <v/>
      </c>
      <c r="AO223" s="517">
        <f>AO224-SUM(AO220:AO221)+AO222</f>
        <v/>
      </c>
      <c r="AP223" s="517">
        <f>AP224-SUM(AP220:AP221)+AP222</f>
        <v/>
      </c>
      <c r="AQ223" s="517">
        <f>AQ224-SUM(AQ220:AQ221)+AQ222</f>
        <v/>
      </c>
      <c r="AR223" s="517">
        <f>AR224-SUM(AR220:AR221)+AR222</f>
        <v/>
      </c>
      <c r="AS223" s="517">
        <f>AS224-SUM(AS220:AS221)+AS222</f>
        <v/>
      </c>
      <c r="AT223" s="517">
        <f>AT224-SUM(AT220:AT221)+AT222</f>
        <v/>
      </c>
      <c r="AU223" s="517">
        <f>AU224-SUM(AU220:AU221)+AU222</f>
        <v/>
      </c>
      <c r="AV223" s="517">
        <f>AV224-SUM(AV220:AV221)+AV222</f>
        <v/>
      </c>
      <c r="AW223" s="517">
        <f>AW224-SUM(AW220:AW221)+AW222</f>
        <v/>
      </c>
      <c r="AX223" s="517">
        <f>AX224-SUM(AX220:AX221)+AX222</f>
        <v/>
      </c>
      <c r="AY223" s="517">
        <f>AY224-SUM(AY220:AY221)+AY222</f>
        <v/>
      </c>
      <c r="AZ223" s="517">
        <f>AZ224-SUM(AZ220:AZ221)+AZ222</f>
        <v/>
      </c>
      <c r="BA223" s="517">
        <f>BA224-SUM(BA220:BA221)+BA222</f>
        <v/>
      </c>
      <c r="BB223" s="517">
        <f>BB224-SUM(BB220:BB221)+BB222</f>
        <v/>
      </c>
      <c r="BC223" s="517">
        <f>BC224-SUM(BC220:BC221)+BC222</f>
        <v/>
      </c>
      <c r="BD223" s="517">
        <f>BD224-SUM(BD220:BD221)+BD222</f>
        <v/>
      </c>
      <c r="BE223" s="517">
        <f>BE224-SUM(BE220:BE221)+BE222</f>
        <v/>
      </c>
      <c r="BF223" s="517">
        <f>BF224-SUM(BF220:BF221)+BF222</f>
        <v/>
      </c>
      <c r="BG223" s="517">
        <f>BG224-SUM(BG220:BG221)+BG222</f>
        <v/>
      </c>
      <c r="BH223" s="517">
        <f>BH224-SUM(BH220:BH221)+BH222</f>
        <v/>
      </c>
      <c r="BI223" s="517">
        <f>BI224-SUM(BI220:BI221)+BI222</f>
        <v/>
      </c>
      <c r="BJ223" s="517">
        <f>BJ224-SUM(BJ220:BJ221)+BJ222</f>
        <v/>
      </c>
      <c r="BK223" s="517">
        <f>BK224-SUM(BK220:BK221)+BK222</f>
        <v/>
      </c>
      <c r="BL223" s="517">
        <f>BL224-SUM(BL220:BL221)+BL222</f>
        <v/>
      </c>
      <c r="BM223" s="517">
        <f>BM224-SUM(BM220:BM221)+BM222</f>
        <v/>
      </c>
      <c r="BN223" s="517">
        <f>BN224-SUM(BN220:BN221)+BN222</f>
        <v/>
      </c>
      <c r="BO223" s="517">
        <f>BO224-SUM(BO220:BO221)+BO222</f>
        <v/>
      </c>
      <c r="BP223" s="517">
        <f>BP224-SUM(BP220:BP221)+BP222</f>
        <v/>
      </c>
      <c r="BQ223" s="517">
        <f>BQ224-SUM(BQ220:BQ221)+BQ222</f>
        <v/>
      </c>
      <c r="BR223" s="517">
        <f>BR224-SUM(BR220:BR221)+BR222</f>
        <v/>
      </c>
    </row>
    <row r="224">
      <c r="A224" s="410" t="inlineStr">
        <is>
          <t>Ending balance</t>
        </is>
      </c>
      <c r="B224" s="84" t="n"/>
      <c r="C224" s="84" t="n"/>
      <c r="D224" s="84" t="n"/>
      <c r="E224" s="84" t="n"/>
      <c r="F224" s="84" t="n"/>
      <c r="G224" s="84" t="n"/>
      <c r="H224" s="84" t="n"/>
      <c r="I224" s="84" t="n"/>
      <c r="J224" s="84" t="n"/>
      <c r="K224" s="84" t="n"/>
      <c r="L224" s="84" t="n"/>
      <c r="M224" s="84" t="n"/>
      <c r="N224" s="516">
        <f>FS_Q!N71</f>
        <v/>
      </c>
      <c r="O224" s="516">
        <f>FS_Q!O71</f>
        <v/>
      </c>
      <c r="P224" s="516">
        <f>FS_Q!P71</f>
        <v/>
      </c>
      <c r="Q224" s="516">
        <f>FS_Q!Q71</f>
        <v/>
      </c>
      <c r="R224" s="516">
        <f>FS_Q!R71</f>
        <v/>
      </c>
      <c r="S224" s="516">
        <f>FS_Q!S71</f>
        <v/>
      </c>
      <c r="T224" s="516">
        <f>FS_Q!T71</f>
        <v/>
      </c>
      <c r="U224" s="516">
        <f>FS_Q!U71</f>
        <v/>
      </c>
      <c r="V224" s="516">
        <f>FS_Q!V71</f>
        <v/>
      </c>
      <c r="W224" s="516">
        <f>FS_Q!W71</f>
        <v/>
      </c>
      <c r="X224" s="516">
        <f>FS_Q!X71</f>
        <v/>
      </c>
      <c r="Y224" s="516">
        <f>FS_Q!Y71</f>
        <v/>
      </c>
      <c r="Z224" s="516">
        <f>FS_Q!Z71</f>
        <v/>
      </c>
      <c r="AA224" s="516">
        <f>FS_Q!AA71</f>
        <v/>
      </c>
      <c r="AB224" s="516">
        <f>FS_Q!AB71</f>
        <v/>
      </c>
      <c r="AC224" s="516">
        <f>FS_Q!AC71</f>
        <v/>
      </c>
      <c r="AD224" s="516">
        <f>FS_Q!AD71</f>
        <v/>
      </c>
      <c r="AE224" s="516">
        <f>FS_Q!AE71</f>
        <v/>
      </c>
      <c r="AF224" s="516">
        <f>FS_Q!AF71</f>
        <v/>
      </c>
      <c r="AG224" s="516">
        <f>FS_Q!AG71</f>
        <v/>
      </c>
      <c r="AH224" s="516">
        <f>FS_Q!AH71</f>
        <v/>
      </c>
      <c r="AI224" s="516">
        <f>FS_Q!AI71</f>
        <v/>
      </c>
      <c r="AJ224" s="516">
        <f>FS_Q!AJ71</f>
        <v/>
      </c>
      <c r="AK224" s="516">
        <f>FS_Q!AK71</f>
        <v/>
      </c>
      <c r="AL224" s="516">
        <f>FS_Q!AL71</f>
        <v/>
      </c>
      <c r="AM224" s="516">
        <f>FS_Q!AM71</f>
        <v/>
      </c>
      <c r="AN224" s="516">
        <f>FS_Q!AN71</f>
        <v/>
      </c>
      <c r="AO224" s="516">
        <f>FS_Q!AO71</f>
        <v/>
      </c>
      <c r="AP224" s="516">
        <f>FS_Q!AP71</f>
        <v/>
      </c>
      <c r="AQ224" s="516">
        <f>FS_Q!AQ71</f>
        <v/>
      </c>
      <c r="AR224" s="516">
        <f>FS_Q!AR71</f>
        <v/>
      </c>
      <c r="AS224" s="516">
        <f>FS_Q!AS71</f>
        <v/>
      </c>
      <c r="AT224" s="516">
        <f>FS_Q!AT71</f>
        <v/>
      </c>
      <c r="AU224" s="516">
        <f>FS_Q!AU71</f>
        <v/>
      </c>
      <c r="AV224" s="516">
        <f>FS_Q!AV71</f>
        <v/>
      </c>
      <c r="AW224" s="516">
        <f>FS_Q!AW71</f>
        <v/>
      </c>
      <c r="AX224" s="516">
        <f>FS_Q!AX71</f>
        <v/>
      </c>
      <c r="AY224" s="516">
        <f>FS_Q!AY71</f>
        <v/>
      </c>
      <c r="AZ224" s="516">
        <f>FS_Q!AZ71</f>
        <v/>
      </c>
      <c r="BA224" s="516">
        <f>FS_Q!BA71</f>
        <v/>
      </c>
      <c r="BB224" s="516">
        <f>FS_Q!BB71</f>
        <v/>
      </c>
      <c r="BC224" s="516">
        <f>FS_Q!BC71</f>
        <v/>
      </c>
      <c r="BD224" s="516">
        <f>FS_Q!BD71</f>
        <v/>
      </c>
      <c r="BE224" s="516">
        <f>FS_Q!BE71</f>
        <v/>
      </c>
      <c r="BF224" s="516">
        <f>FS_Q!BF71</f>
        <v/>
      </c>
      <c r="BG224" s="516">
        <f>FS_Q!BG71</f>
        <v/>
      </c>
      <c r="BH224" s="516">
        <f>FS_Q!BH71</f>
        <v/>
      </c>
      <c r="BI224" s="516">
        <f>FS_Q!BI71</f>
        <v/>
      </c>
      <c r="BJ224" s="516">
        <f>FS_Q!BJ71</f>
        <v/>
      </c>
      <c r="BK224" s="516">
        <f>FS_Q!BK71</f>
        <v/>
      </c>
      <c r="BL224" s="516">
        <f>FS_Q!BL71</f>
        <v/>
      </c>
      <c r="BM224" s="516">
        <f>FS_Q!BM71</f>
        <v/>
      </c>
      <c r="BN224" s="516">
        <f>FS_Q!BN71</f>
        <v/>
      </c>
      <c r="BO224" s="516">
        <f>FS_Q!BO71</f>
        <v/>
      </c>
      <c r="BP224" s="516">
        <f>FS_Q!BP71</f>
        <v/>
      </c>
      <c r="BQ224" s="516">
        <f>FS_Q!BQ71</f>
        <v/>
      </c>
      <c r="BR224" s="516">
        <f>FS_Q!BR71</f>
        <v/>
      </c>
      <c r="BS224" s="517">
        <f>BS220+BS221-BS222</f>
        <v/>
      </c>
      <c r="BT224" s="517">
        <f>BT220+BT221-BT222</f>
        <v/>
      </c>
      <c r="BU224" s="517">
        <f>BU220+BU221-BU222</f>
        <v/>
      </c>
      <c r="BV224" s="517">
        <f>BV220+BV221-BV222</f>
        <v/>
      </c>
      <c r="BW224" s="517">
        <f>BW220+BW221-BW222</f>
        <v/>
      </c>
      <c r="BX224" s="517">
        <f>BX220+BX221-BX222</f>
        <v/>
      </c>
      <c r="BY224" s="517">
        <f>BY220+BY221-BY222</f>
        <v/>
      </c>
      <c r="BZ224" s="517">
        <f>BZ220+BZ221-BZ222</f>
        <v/>
      </c>
      <c r="CA224" s="517">
        <f>CA220+CA221-CA222</f>
        <v/>
      </c>
      <c r="CB224" s="517">
        <f>CB220+CB221-CB222</f>
        <v/>
      </c>
      <c r="CC224" s="517">
        <f>CC220+CC221-CC222</f>
        <v/>
      </c>
      <c r="CD224" s="517">
        <f>CD220+CD221-CD222</f>
        <v/>
      </c>
      <c r="CE224" s="517">
        <f>CE220+CE221-CE222</f>
        <v/>
      </c>
      <c r="CF224" s="517">
        <f>CF220+CF221-CF222</f>
        <v/>
      </c>
      <c r="CG224" s="517">
        <f>CG220+CG221-CG222</f>
        <v/>
      </c>
      <c r="CH224" s="517">
        <f>CH220+CH221-CH222</f>
        <v/>
      </c>
      <c r="CI224" s="517">
        <f>CI220+CI221-CI222</f>
        <v/>
      </c>
      <c r="CJ224" s="517">
        <f>CJ220+CJ221-CJ222</f>
        <v/>
      </c>
      <c r="CK224" s="517">
        <f>CK220+CK221-CK222</f>
        <v/>
      </c>
    </row>
    <row r="225">
      <c r="B225" s="84" t="n"/>
      <c r="C225" s="84" t="n"/>
      <c r="D225" s="84" t="n"/>
      <c r="E225" s="84" t="n"/>
      <c r="F225" s="84" t="n"/>
      <c r="G225" s="84" t="n"/>
      <c r="H225" s="84" t="n"/>
      <c r="I225" s="84" t="n"/>
      <c r="J225" s="84" t="n"/>
      <c r="K225" s="84" t="n"/>
      <c r="L225" s="84" t="n"/>
      <c r="M225" s="84" t="n"/>
    </row>
    <row r="226">
      <c r="A226" s="22">
        <f>FS_Q!A72</f>
        <v/>
      </c>
      <c r="B226" s="84" t="n"/>
      <c r="C226" s="84" t="n"/>
      <c r="D226" s="84" t="n"/>
      <c r="E226" s="84" t="n"/>
      <c r="F226" s="84" t="n"/>
      <c r="G226" s="84" t="n"/>
      <c r="H226" s="84" t="n"/>
      <c r="I226" s="84" t="n"/>
      <c r="J226" s="84" t="n"/>
      <c r="K226" s="84" t="n"/>
      <c r="L226" s="84" t="n"/>
      <c r="M226" s="84" t="n"/>
      <c r="N226" s="516">
        <f>FS_Q!N72</f>
        <v/>
      </c>
      <c r="O226" s="516">
        <f>FS_Q!O72</f>
        <v/>
      </c>
      <c r="P226" s="516">
        <f>FS_Q!P72</f>
        <v/>
      </c>
      <c r="Q226" s="516">
        <f>FS_Q!Q72</f>
        <v/>
      </c>
      <c r="R226" s="516">
        <f>FS_Q!R72</f>
        <v/>
      </c>
      <c r="S226" s="516">
        <f>FS_Q!S72</f>
        <v/>
      </c>
      <c r="T226" s="516">
        <f>FS_Q!T72</f>
        <v/>
      </c>
      <c r="U226" s="516">
        <f>FS_Q!U72</f>
        <v/>
      </c>
      <c r="V226" s="516">
        <f>FS_Q!V72</f>
        <v/>
      </c>
      <c r="W226" s="516">
        <f>FS_Q!W72</f>
        <v/>
      </c>
      <c r="X226" s="516">
        <f>FS_Q!X72</f>
        <v/>
      </c>
      <c r="Y226" s="516">
        <f>FS_Q!Y72</f>
        <v/>
      </c>
      <c r="Z226" s="516">
        <f>FS_Q!Z72</f>
        <v/>
      </c>
      <c r="AA226" s="516">
        <f>FS_Q!AA72</f>
        <v/>
      </c>
      <c r="AB226" s="516">
        <f>FS_Q!AB72</f>
        <v/>
      </c>
      <c r="AC226" s="516">
        <f>FS_Q!AC72</f>
        <v/>
      </c>
      <c r="AD226" s="516">
        <f>FS_Q!AD72</f>
        <v/>
      </c>
      <c r="AE226" s="516">
        <f>FS_Q!AE72</f>
        <v/>
      </c>
      <c r="AF226" s="516">
        <f>FS_Q!AF72</f>
        <v/>
      </c>
      <c r="AG226" s="516">
        <f>FS_Q!AG72</f>
        <v/>
      </c>
      <c r="AH226" s="516">
        <f>FS_Q!AH72</f>
        <v/>
      </c>
      <c r="AI226" s="516">
        <f>FS_Q!AI72</f>
        <v/>
      </c>
      <c r="AJ226" s="516">
        <f>FS_Q!AJ72</f>
        <v/>
      </c>
      <c r="AK226" s="516">
        <f>FS_Q!AK72</f>
        <v/>
      </c>
      <c r="AL226" s="516">
        <f>FS_Q!AL72</f>
        <v/>
      </c>
      <c r="AM226" s="516">
        <f>FS_Q!AM72</f>
        <v/>
      </c>
      <c r="AN226" s="516">
        <f>FS_Q!AN72</f>
        <v/>
      </c>
      <c r="AO226" s="516">
        <f>FS_Q!AO72</f>
        <v/>
      </c>
      <c r="AP226" s="516">
        <f>FS_Q!AP72</f>
        <v/>
      </c>
      <c r="AQ226" s="516">
        <f>FS_Q!AQ72</f>
        <v/>
      </c>
      <c r="AR226" s="516">
        <f>FS_Q!AR72</f>
        <v/>
      </c>
      <c r="AS226" s="516">
        <f>FS_Q!AS72</f>
        <v/>
      </c>
      <c r="AT226" s="516">
        <f>FS_Q!AT72</f>
        <v/>
      </c>
      <c r="AU226" s="516">
        <f>FS_Q!AU72</f>
        <v/>
      </c>
      <c r="AV226" s="516">
        <f>FS_Q!AV72</f>
        <v/>
      </c>
      <c r="AW226" s="516">
        <f>FS_Q!AW72</f>
        <v/>
      </c>
      <c r="AX226" s="516">
        <f>FS_Q!AX72</f>
        <v/>
      </c>
      <c r="AY226" s="516">
        <f>FS_Q!AY72</f>
        <v/>
      </c>
      <c r="AZ226" s="516">
        <f>FS_Q!AZ72</f>
        <v/>
      </c>
      <c r="BA226" s="516">
        <f>FS_Q!BA72</f>
        <v/>
      </c>
      <c r="BB226" s="516">
        <f>FS_Q!BB72</f>
        <v/>
      </c>
      <c r="BC226" s="516">
        <f>FS_Q!BC72</f>
        <v/>
      </c>
      <c r="BD226" s="516">
        <f>FS_Q!BD72</f>
        <v/>
      </c>
      <c r="BE226" s="516">
        <f>FS_Q!BE72</f>
        <v/>
      </c>
      <c r="BF226" s="516">
        <f>FS_Q!BF72</f>
        <v/>
      </c>
      <c r="BG226" s="516">
        <f>FS_Q!BG72</f>
        <v/>
      </c>
      <c r="BH226" s="516">
        <f>FS_Q!BH72</f>
        <v/>
      </c>
      <c r="BI226" s="516">
        <f>FS_Q!BI72</f>
        <v/>
      </c>
      <c r="BJ226" s="516">
        <f>FS_Q!BJ72</f>
        <v/>
      </c>
      <c r="BK226" s="516">
        <f>FS_Q!BK72</f>
        <v/>
      </c>
      <c r="BL226" s="516">
        <f>FS_Q!BL72</f>
        <v/>
      </c>
      <c r="BM226" s="516">
        <f>FS_Q!BM72</f>
        <v/>
      </c>
      <c r="BN226" s="516">
        <f>FS_Q!BN72</f>
        <v/>
      </c>
      <c r="BO226" s="516">
        <f>FS_Q!BO72</f>
        <v/>
      </c>
      <c r="BP226" s="516">
        <f>FS_Q!BP72</f>
        <v/>
      </c>
      <c r="BQ226" s="516">
        <f>FS_Q!BQ72</f>
        <v/>
      </c>
      <c r="BR226" s="516">
        <f>FS_Q!BR72</f>
        <v/>
      </c>
      <c r="BS226" s="541">
        <f>BR226</f>
        <v/>
      </c>
      <c r="BT226" s="541">
        <f>BS226</f>
        <v/>
      </c>
      <c r="BU226" s="541">
        <f>BT226</f>
        <v/>
      </c>
      <c r="BV226" s="541">
        <f>BU226</f>
        <v/>
      </c>
      <c r="BW226" s="541">
        <f>BV226</f>
        <v/>
      </c>
      <c r="BX226" s="541">
        <f>BW226</f>
        <v/>
      </c>
      <c r="BY226" s="541">
        <f>BX226</f>
        <v/>
      </c>
      <c r="BZ226" s="541">
        <f>BY226</f>
        <v/>
      </c>
      <c r="CA226" s="541">
        <f>BZ226</f>
        <v/>
      </c>
      <c r="CB226" s="541">
        <f>CA226</f>
        <v/>
      </c>
      <c r="CC226" s="541">
        <f>CB226</f>
        <v/>
      </c>
      <c r="CD226" s="541">
        <f>CC226</f>
        <v/>
      </c>
      <c r="CE226" s="541">
        <f>CD226</f>
        <v/>
      </c>
      <c r="CF226" s="541">
        <f>CE226</f>
        <v/>
      </c>
      <c r="CG226" s="541">
        <f>CF226</f>
        <v/>
      </c>
      <c r="CH226" s="541">
        <f>CG226</f>
        <v/>
      </c>
      <c r="CI226" s="541">
        <f>CH226</f>
        <v/>
      </c>
      <c r="CJ226" s="541">
        <f>CI226</f>
        <v/>
      </c>
      <c r="CK226" s="541">
        <f>CJ226</f>
        <v/>
      </c>
    </row>
    <row r="227">
      <c r="A227" s="456" t="n"/>
      <c r="B227" s="84" t="n"/>
      <c r="C227" s="84" t="n"/>
      <c r="D227" s="84" t="n"/>
      <c r="E227" s="84" t="n"/>
      <c r="F227" s="84" t="n"/>
      <c r="G227" s="84" t="n"/>
      <c r="H227" s="84" t="n"/>
      <c r="I227" s="84" t="n"/>
      <c r="J227" s="84" t="n"/>
      <c r="K227" s="84" t="n"/>
      <c r="L227" s="84" t="n"/>
      <c r="M227" s="84" t="n"/>
    </row>
    <row r="228">
      <c r="A228" s="22">
        <f>FS_Q!A74</f>
        <v/>
      </c>
      <c r="B228" s="84" t="n"/>
      <c r="C228" s="84" t="n"/>
      <c r="D228" s="84" t="n"/>
      <c r="E228" s="84" t="n"/>
      <c r="F228" s="84" t="n"/>
      <c r="G228" s="84" t="n"/>
      <c r="H228" s="84" t="n"/>
      <c r="I228" s="84" t="n"/>
      <c r="J228" s="84" t="n"/>
      <c r="K228" s="84" t="n"/>
      <c r="L228" s="84" t="n"/>
      <c r="M228" s="84" t="n"/>
      <c r="N228" s="516">
        <f>FS_Q!N74</f>
        <v/>
      </c>
      <c r="O228" s="516">
        <f>FS_Q!O74</f>
        <v/>
      </c>
      <c r="P228" s="516">
        <f>FS_Q!P74</f>
        <v/>
      </c>
      <c r="Q228" s="516">
        <f>FS_Q!Q74</f>
        <v/>
      </c>
      <c r="R228" s="516">
        <f>FS_Q!R74</f>
        <v/>
      </c>
      <c r="S228" s="516">
        <f>FS_Q!S74</f>
        <v/>
      </c>
      <c r="T228" s="516">
        <f>FS_Q!T74</f>
        <v/>
      </c>
      <c r="U228" s="516">
        <f>FS_Q!U74</f>
        <v/>
      </c>
      <c r="V228" s="516">
        <f>FS_Q!V74</f>
        <v/>
      </c>
      <c r="W228" s="516">
        <f>FS_Q!W74</f>
        <v/>
      </c>
      <c r="X228" s="516">
        <f>FS_Q!X74</f>
        <v/>
      </c>
      <c r="Y228" s="516">
        <f>FS_Q!Y74</f>
        <v/>
      </c>
      <c r="Z228" s="516">
        <f>FS_Q!Z74</f>
        <v/>
      </c>
      <c r="AA228" s="516">
        <f>FS_Q!AA74</f>
        <v/>
      </c>
      <c r="AB228" s="516">
        <f>FS_Q!AB74</f>
        <v/>
      </c>
      <c r="AC228" s="516">
        <f>FS_Q!AC74</f>
        <v/>
      </c>
      <c r="AD228" s="516">
        <f>FS_Q!AD74</f>
        <v/>
      </c>
      <c r="AE228" s="516">
        <f>FS_Q!AE74</f>
        <v/>
      </c>
      <c r="AF228" s="516">
        <f>FS_Q!AF74</f>
        <v/>
      </c>
      <c r="AG228" s="516">
        <f>FS_Q!AG74</f>
        <v/>
      </c>
      <c r="AH228" s="516">
        <f>FS_Q!AH74</f>
        <v/>
      </c>
      <c r="AI228" s="516">
        <f>FS_Q!AI74</f>
        <v/>
      </c>
      <c r="AJ228" s="516">
        <f>FS_Q!AJ74</f>
        <v/>
      </c>
      <c r="AK228" s="516">
        <f>FS_Q!AK74</f>
        <v/>
      </c>
      <c r="AL228" s="516">
        <f>FS_Q!AL74</f>
        <v/>
      </c>
      <c r="AM228" s="516">
        <f>FS_Q!AM74</f>
        <v/>
      </c>
      <c r="AN228" s="516">
        <f>FS_Q!AN74</f>
        <v/>
      </c>
      <c r="AO228" s="516">
        <f>FS_Q!AO74</f>
        <v/>
      </c>
      <c r="AP228" s="516">
        <f>FS_Q!AP74</f>
        <v/>
      </c>
      <c r="AQ228" s="516">
        <f>FS_Q!AQ74</f>
        <v/>
      </c>
      <c r="AR228" s="516">
        <f>FS_Q!AR74</f>
        <v/>
      </c>
      <c r="AS228" s="516">
        <f>FS_Q!AS74</f>
        <v/>
      </c>
      <c r="AT228" s="516">
        <f>FS_Q!AT74</f>
        <v/>
      </c>
      <c r="AU228" s="516">
        <f>FS_Q!AU74</f>
        <v/>
      </c>
      <c r="AV228" s="516">
        <f>FS_Q!AV74</f>
        <v/>
      </c>
      <c r="AW228" s="516">
        <f>FS_Q!AW74</f>
        <v/>
      </c>
      <c r="AX228" s="516">
        <f>FS_Q!AX74</f>
        <v/>
      </c>
      <c r="AY228" s="516">
        <f>FS_Q!AY74</f>
        <v/>
      </c>
      <c r="AZ228" s="516">
        <f>FS_Q!AZ74</f>
        <v/>
      </c>
      <c r="BA228" s="516">
        <f>FS_Q!BA74</f>
        <v/>
      </c>
      <c r="BB228" s="516">
        <f>FS_Q!BB74</f>
        <v/>
      </c>
      <c r="BC228" s="516">
        <f>FS_Q!BC74</f>
        <v/>
      </c>
      <c r="BD228" s="516">
        <f>FS_Q!BD74</f>
        <v/>
      </c>
      <c r="BE228" s="516">
        <f>FS_Q!BE74</f>
        <v/>
      </c>
      <c r="BF228" s="516">
        <f>FS_Q!BF74</f>
        <v/>
      </c>
      <c r="BG228" s="516">
        <f>FS_Q!BG74</f>
        <v/>
      </c>
      <c r="BH228" s="516">
        <f>FS_Q!BH74</f>
        <v/>
      </c>
      <c r="BI228" s="516">
        <f>FS_Q!BI74</f>
        <v/>
      </c>
      <c r="BJ228" s="516">
        <f>FS_Q!BJ74</f>
        <v/>
      </c>
      <c r="BK228" s="516">
        <f>FS_Q!BK74</f>
        <v/>
      </c>
      <c r="BL228" s="516">
        <f>FS_Q!BL74</f>
        <v/>
      </c>
      <c r="BM228" s="516">
        <f>FS_Q!BM74</f>
        <v/>
      </c>
      <c r="BN228" s="516">
        <f>FS_Q!BN74</f>
        <v/>
      </c>
      <c r="BO228" s="516">
        <f>FS_Q!BO74</f>
        <v/>
      </c>
      <c r="BP228" s="516">
        <f>FS_Q!BP74</f>
        <v/>
      </c>
      <c r="BQ228" s="516">
        <f>FS_Q!BQ74</f>
        <v/>
      </c>
      <c r="BR228" s="516">
        <f>FS_Q!BR74</f>
        <v/>
      </c>
      <c r="BS228" s="541">
        <f>BR228</f>
        <v/>
      </c>
      <c r="BT228" s="541">
        <f>BS228</f>
        <v/>
      </c>
      <c r="BU228" s="541">
        <f>BT228</f>
        <v/>
      </c>
      <c r="BV228" s="541">
        <f>BU228</f>
        <v/>
      </c>
      <c r="BW228" s="541">
        <f>BV228</f>
        <v/>
      </c>
      <c r="BX228" s="541">
        <f>BW228</f>
        <v/>
      </c>
      <c r="BY228" s="541">
        <f>BX228</f>
        <v/>
      </c>
      <c r="BZ228" s="541">
        <f>BY228</f>
        <v/>
      </c>
      <c r="CA228" s="541">
        <f>BZ228</f>
        <v/>
      </c>
      <c r="CB228" s="541">
        <f>CA228</f>
        <v/>
      </c>
      <c r="CC228" s="541">
        <f>CB228</f>
        <v/>
      </c>
      <c r="CD228" s="541">
        <f>CC228</f>
        <v/>
      </c>
      <c r="CE228" s="541">
        <f>CD228</f>
        <v/>
      </c>
      <c r="CF228" s="541">
        <f>CE228</f>
        <v/>
      </c>
      <c r="CG228" s="541">
        <f>CF228</f>
        <v/>
      </c>
      <c r="CH228" s="541">
        <f>CG228</f>
        <v/>
      </c>
      <c r="CI228" s="541">
        <f>CH228</f>
        <v/>
      </c>
      <c r="CJ228" s="541">
        <f>CI228</f>
        <v/>
      </c>
      <c r="CK228" s="541">
        <f>CJ228</f>
        <v/>
      </c>
    </row>
    <row r="229">
      <c r="B229" s="50" t="n"/>
      <c r="C229" s="50" t="n"/>
      <c r="D229" s="50" t="n"/>
      <c r="E229" s="50" t="n"/>
      <c r="F229" s="50" t="n"/>
      <c r="G229" s="108" t="n"/>
      <c r="H229" s="108" t="n"/>
      <c r="I229" s="108" t="n"/>
      <c r="J229" s="108" t="n"/>
      <c r="K229" s="108" t="n"/>
      <c r="L229" s="108" t="n"/>
      <c r="M229" s="108" t="n"/>
    </row>
    <row r="230">
      <c r="A230" s="22" t="inlineStr">
        <is>
          <t>Dividend assumptions</t>
        </is>
      </c>
      <c r="G230" s="108" t="n"/>
      <c r="H230" s="108" t="n"/>
      <c r="I230" s="108" t="n"/>
      <c r="J230" s="108" t="n"/>
      <c r="K230" s="108" t="n"/>
      <c r="L230" s="108" t="n"/>
      <c r="M230" s="108" t="n"/>
    </row>
    <row r="231">
      <c r="A231" t="inlineStr">
        <is>
          <t>Dividends per share (USD)</t>
        </is>
      </c>
      <c r="B231" s="466" t="n"/>
      <c r="C231" s="466" t="n"/>
      <c r="D231" s="466" t="n"/>
      <c r="E231" s="466" t="n"/>
      <c r="F231" s="466" t="n"/>
      <c r="G231" s="466" t="n"/>
      <c r="H231" s="466" t="n"/>
      <c r="I231" s="466" t="n"/>
      <c r="J231" s="466" t="n"/>
      <c r="K231" s="466" t="n"/>
      <c r="L231" s="466" t="n"/>
      <c r="M231" s="466" t="n"/>
      <c r="Q231" s="517">
        <f>Q233/Q232</f>
        <v/>
      </c>
      <c r="U231" s="535">
        <f>U233/U232</f>
        <v/>
      </c>
      <c r="Y231" s="532" t="n">
        <v>0.65</v>
      </c>
      <c r="AC231" s="535">
        <f>AC233/AA232</f>
        <v/>
      </c>
      <c r="AG231">
        <f>AG233/AE232</f>
        <v/>
      </c>
      <c r="AK231">
        <f>AK233/AI232</f>
        <v/>
      </c>
      <c r="AO231">
        <f>AO233/AM232</f>
        <v/>
      </c>
      <c r="AS231">
        <f>AS233/AS232</f>
        <v/>
      </c>
      <c r="AW231">
        <f>AW233/AW232</f>
        <v/>
      </c>
      <c r="AX231">
        <f>AX233/AX232</f>
        <v/>
      </c>
      <c r="AY231">
        <f>AY233/AY232</f>
        <v/>
      </c>
      <c r="AZ231">
        <f>AZ233/AZ232</f>
        <v/>
      </c>
      <c r="BA231">
        <f>BA233/BA232</f>
        <v/>
      </c>
      <c r="BB231">
        <f>BB233/BB232</f>
        <v/>
      </c>
      <c r="BC231">
        <f>BC233/BC232</f>
        <v/>
      </c>
      <c r="BD231">
        <f>BD233/BD232</f>
        <v/>
      </c>
      <c r="BE231">
        <f>BE233/BE232</f>
        <v/>
      </c>
      <c r="BF231">
        <f>BF233/BF232</f>
        <v/>
      </c>
      <c r="BG231">
        <f>BG233/BG232</f>
        <v/>
      </c>
      <c r="BH231">
        <f>BH233/BH232</f>
        <v/>
      </c>
      <c r="BI231">
        <f>BI233/BI232</f>
        <v/>
      </c>
      <c r="BJ231">
        <f>BJ233/BJ232</f>
        <v/>
      </c>
      <c r="BK231">
        <f>BK233/BK232</f>
        <v/>
      </c>
      <c r="BL231">
        <f>BL233/BL232</f>
        <v/>
      </c>
      <c r="BM231">
        <f>BM233/BM232</f>
        <v/>
      </c>
      <c r="BN231">
        <f>BN233/BN232</f>
        <v/>
      </c>
      <c r="BO231">
        <f>BO233/BO232</f>
        <v/>
      </c>
      <c r="BP231">
        <f>BP233/BP232</f>
        <v/>
      </c>
      <c r="BQ231">
        <f>BQ233/BQ232</f>
        <v/>
      </c>
      <c r="BR231">
        <f>BR233/BR232</f>
        <v/>
      </c>
      <c r="BU231">
        <f>BU233/BU232</f>
        <v/>
      </c>
      <c r="BY231">
        <f>BY233/BY232</f>
        <v/>
      </c>
      <c r="CC231">
        <f>CC233/CC232</f>
        <v/>
      </c>
      <c r="CG231">
        <f>CG233/CG232</f>
        <v/>
      </c>
      <c r="CH231">
        <f>CH233/CH232</f>
        <v/>
      </c>
      <c r="CI231">
        <f>CI233/CI232</f>
        <v/>
      </c>
      <c r="CJ231">
        <f>CJ233/CJ232</f>
        <v/>
      </c>
      <c r="CK231">
        <f>CK233/CK232</f>
        <v/>
      </c>
    </row>
    <row r="232">
      <c r="A232" t="inlineStr">
        <is>
          <t>Weighted number of shares outstanding</t>
        </is>
      </c>
      <c r="B232" s="466" t="n"/>
      <c r="C232" s="466" t="n"/>
      <c r="D232" s="466" t="n"/>
      <c r="E232" s="466" t="n"/>
      <c r="F232" s="466" t="n"/>
      <c r="G232" s="466" t="n"/>
      <c r="H232" s="466" t="n"/>
      <c r="I232" s="466" t="n"/>
      <c r="J232" s="466" t="n"/>
      <c r="K232" s="466" t="n"/>
      <c r="L232" s="466" t="n"/>
      <c r="M232" s="466" t="n"/>
      <c r="N232" s="516">
        <f>FS_Q!N32</f>
        <v/>
      </c>
      <c r="O232" s="516">
        <f>FS_Q!O32</f>
        <v/>
      </c>
      <c r="P232" s="516">
        <f>FS_Q!P32</f>
        <v/>
      </c>
      <c r="Q232" s="516">
        <f>FS_Q!Q32</f>
        <v/>
      </c>
      <c r="R232" s="516">
        <f>FS_Q!R32</f>
        <v/>
      </c>
      <c r="S232" s="516">
        <f>FS_Q!S32</f>
        <v/>
      </c>
      <c r="T232" s="516">
        <f>FS_Q!T32</f>
        <v/>
      </c>
      <c r="U232" s="516">
        <f>FS_Q!U32</f>
        <v/>
      </c>
      <c r="V232" s="516">
        <f>FS_Q!V32</f>
        <v/>
      </c>
      <c r="W232" s="516">
        <f>FS_Q!W32</f>
        <v/>
      </c>
      <c r="X232" s="516">
        <f>FS_Q!X32</f>
        <v/>
      </c>
      <c r="Y232" s="516">
        <f>FS_Q!Y32</f>
        <v/>
      </c>
      <c r="Z232" s="516">
        <f>FS_Q!Z32</f>
        <v/>
      </c>
      <c r="AA232" s="516">
        <f>FS_Q!AA32</f>
        <v/>
      </c>
      <c r="AB232" s="516">
        <f>FS_Q!AB32</f>
        <v/>
      </c>
      <c r="AC232" s="516">
        <f>FS_Q!AC32</f>
        <v/>
      </c>
      <c r="AD232" s="516">
        <f>FS_Q!AD32</f>
        <v/>
      </c>
      <c r="AE232" s="516">
        <f>FS_Q!AE32</f>
        <v/>
      </c>
      <c r="AF232" s="516">
        <f>FS_Q!AF32</f>
        <v/>
      </c>
      <c r="AG232" s="516">
        <f>FS_Q!AG32</f>
        <v/>
      </c>
      <c r="AH232" s="516">
        <f>FS_Q!AH32</f>
        <v/>
      </c>
      <c r="AI232" s="516">
        <f>FS_Q!AI32</f>
        <v/>
      </c>
      <c r="AJ232" s="516">
        <f>FS_Q!AJ32</f>
        <v/>
      </c>
      <c r="AK232" s="516">
        <f>FS_Q!AK32</f>
        <v/>
      </c>
      <c r="AL232" s="516">
        <f>FS_Q!AL32</f>
        <v/>
      </c>
      <c r="AM232" s="516">
        <f>FS_Q!AM32</f>
        <v/>
      </c>
      <c r="AN232" s="516">
        <f>FS_Q!AN32</f>
        <v/>
      </c>
      <c r="AO232" s="516">
        <f>FS_Q!AO32</f>
        <v/>
      </c>
      <c r="AP232" s="516">
        <f>FS_Q!AP32</f>
        <v/>
      </c>
      <c r="AQ232" s="516">
        <f>FS_Q!AQ32</f>
        <v/>
      </c>
      <c r="AR232" s="516">
        <f>FS_Q!AR32</f>
        <v/>
      </c>
      <c r="AS232" s="516">
        <f>FS_Q!AS32</f>
        <v/>
      </c>
      <c r="AT232" s="516">
        <f>FS_Q!AT32</f>
        <v/>
      </c>
      <c r="AU232" s="516">
        <f>FS_Q!AU32</f>
        <v/>
      </c>
      <c r="AV232" s="516">
        <f>FS_Q!AV32</f>
        <v/>
      </c>
      <c r="AW232" s="516">
        <f>FS_Q!AW32</f>
        <v/>
      </c>
      <c r="AX232" s="516">
        <f>FS_Q!AX32</f>
        <v/>
      </c>
      <c r="AY232" s="516">
        <f>FS_Q!AY32</f>
        <v/>
      </c>
      <c r="AZ232" s="516">
        <f>FS_Q!AZ32</f>
        <v/>
      </c>
      <c r="BA232" s="516">
        <f>FS_Q!BA32</f>
        <v/>
      </c>
      <c r="BB232" s="516">
        <f>FS_Q!BB32</f>
        <v/>
      </c>
      <c r="BC232" s="516">
        <f>FS_Q!BC32</f>
        <v/>
      </c>
      <c r="BD232" s="516">
        <f>FS_Q!BD32</f>
        <v/>
      </c>
      <c r="BE232" s="516">
        <f>FS_Q!BE32</f>
        <v/>
      </c>
      <c r="BF232" s="516">
        <f>FS_Q!BF32</f>
        <v/>
      </c>
      <c r="BG232" s="516">
        <f>FS_Q!BG32</f>
        <v/>
      </c>
      <c r="BH232" s="516">
        <f>FS_Q!BH32</f>
        <v/>
      </c>
      <c r="BI232" s="516">
        <f>FS_Q!BI32</f>
        <v/>
      </c>
      <c r="BJ232" s="516">
        <f>FS_Q!BJ32</f>
        <v/>
      </c>
      <c r="BK232" s="516">
        <f>FS_Q!BK32</f>
        <v/>
      </c>
      <c r="BL232" s="516">
        <f>FS_Q!BL32</f>
        <v/>
      </c>
      <c r="BM232" s="516">
        <f>FS_Q!BM32</f>
        <v/>
      </c>
      <c r="BN232" s="516">
        <f>FS_Q!BN32</f>
        <v/>
      </c>
      <c r="BO232" s="516">
        <f>FS_Q!BO32</f>
        <v/>
      </c>
      <c r="BP232" s="516">
        <f>FS_Q!BP32</f>
        <v/>
      </c>
      <c r="BQ232" s="516">
        <f>FS_Q!BQ32</f>
        <v/>
      </c>
      <c r="BR232" s="516">
        <f>FS_Q!BR32</f>
        <v/>
      </c>
      <c r="BS232" s="541">
        <f>BR232</f>
        <v/>
      </c>
      <c r="BT232" s="541">
        <f>BS232</f>
        <v/>
      </c>
      <c r="BU232" s="540">
        <f>BT232</f>
        <v/>
      </c>
      <c r="BV232" s="541">
        <f>BU232</f>
        <v/>
      </c>
      <c r="BW232" s="541">
        <f>BV232</f>
        <v/>
      </c>
      <c r="BX232" s="541">
        <f>BW232</f>
        <v/>
      </c>
      <c r="BY232" s="540">
        <f>BX232</f>
        <v/>
      </c>
      <c r="BZ232" s="541">
        <f>BY232</f>
        <v/>
      </c>
      <c r="CA232" s="541">
        <f>BZ232</f>
        <v/>
      </c>
      <c r="CB232" s="541">
        <f>CA232</f>
        <v/>
      </c>
      <c r="CC232" s="540">
        <f>CB232</f>
        <v/>
      </c>
      <c r="CD232" s="541">
        <f>CC232</f>
        <v/>
      </c>
      <c r="CE232" s="541">
        <f>CD232</f>
        <v/>
      </c>
      <c r="CF232" s="541">
        <f>CE232</f>
        <v/>
      </c>
      <c r="CG232" s="540">
        <f>CF232</f>
        <v/>
      </c>
      <c r="CH232" s="540">
        <f>CG232</f>
        <v/>
      </c>
      <c r="CI232" s="540">
        <f>CH232</f>
        <v/>
      </c>
      <c r="CJ232" s="540">
        <f>CI232</f>
        <v/>
      </c>
      <c r="CK232" s="540">
        <f>CJ232</f>
        <v/>
      </c>
    </row>
    <row r="233">
      <c r="A233" s="932" t="inlineStr">
        <is>
          <t>Dividends</t>
        </is>
      </c>
      <c r="B233" s="108" t="n"/>
      <c r="C233" s="108" t="n"/>
      <c r="D233" s="108" t="n"/>
      <c r="E233" s="108" t="n"/>
      <c r="F233" s="108" t="n"/>
      <c r="G233" s="108" t="n"/>
      <c r="H233" s="108" t="n"/>
      <c r="I233" s="108" t="n"/>
      <c r="J233" s="108" t="n"/>
      <c r="K233" s="108" t="n"/>
      <c r="L233" s="108" t="n"/>
      <c r="M233" s="108" t="n"/>
      <c r="N233" s="532" t="n"/>
      <c r="O233" s="532" t="n"/>
      <c r="P233" s="532" t="n"/>
      <c r="Q233" s="532" t="n">
        <v>0</v>
      </c>
      <c r="R233" s="532" t="n"/>
      <c r="S233" s="532" t="n"/>
      <c r="T233" s="532" t="n"/>
      <c r="U233" s="532" t="n">
        <v>0</v>
      </c>
      <c r="V233" s="532" t="n"/>
      <c r="W233" s="532" t="n"/>
      <c r="Y233" s="533" t="n">
        <v>33400</v>
      </c>
      <c r="Z233" s="532" t="n"/>
      <c r="AB233" s="532" t="n"/>
      <c r="AC233" s="532" t="n">
        <v>0</v>
      </c>
      <c r="AD233" s="532" t="n"/>
      <c r="AE233" s="532" t="n"/>
      <c r="AF233" s="532" t="n"/>
      <c r="AG233" s="532" t="n">
        <v>0</v>
      </c>
      <c r="AH233" s="532" t="n"/>
      <c r="AI233" s="532" t="n"/>
      <c r="AJ233" s="532" t="n"/>
      <c r="AK233" s="532" t="n">
        <v>0</v>
      </c>
      <c r="AL233" s="532" t="n"/>
      <c r="AM233" s="532" t="n"/>
      <c r="AN233" s="532" t="n"/>
      <c r="AO233" s="532" t="n">
        <v>0</v>
      </c>
      <c r="AP233" s="532" t="n"/>
      <c r="AQ233" s="532" t="n"/>
      <c r="AR233" s="532" t="n"/>
      <c r="AS233" s="532" t="n">
        <v>0</v>
      </c>
      <c r="AW233">
        <f>SUM(AT235:AW235)*AW234</f>
        <v/>
      </c>
      <c r="AX233">
        <f>SUM(AU235:AX235)*AX234</f>
        <v/>
      </c>
      <c r="AY233">
        <f>SUM(AV235:AY235)*AY234</f>
        <v/>
      </c>
      <c r="AZ233">
        <f>SUM(AW235:AZ235)*AZ234</f>
        <v/>
      </c>
      <c r="BA233">
        <f>SUM(AX235:BA235)*BA234</f>
        <v/>
      </c>
      <c r="BB233">
        <f>SUM(AY235:BB235)*BB234</f>
        <v/>
      </c>
      <c r="BC233">
        <f>SUM(AZ235:BC235)*BC234</f>
        <v/>
      </c>
      <c r="BD233">
        <f>SUM(BA235:BD235)*BD234</f>
        <v/>
      </c>
      <c r="BE233">
        <f>SUM(BB235:BE235)*BE234</f>
        <v/>
      </c>
      <c r="BF233">
        <f>SUM(BC235:BF235)*BF234</f>
        <v/>
      </c>
      <c r="BG233">
        <f>SUM(BD235:BG235)*BG234</f>
        <v/>
      </c>
      <c r="BH233">
        <f>SUM(BE235:BH235)*BH234</f>
        <v/>
      </c>
      <c r="BI233">
        <f>SUM(BF235:BI235)*BI234</f>
        <v/>
      </c>
      <c r="BJ233">
        <f>SUM(BG235:BJ235)*BJ234</f>
        <v/>
      </c>
      <c r="BK233">
        <f>SUM(BH235:BK235)*BK234</f>
        <v/>
      </c>
      <c r="BL233">
        <f>SUM(BI235:BL235)*BL234</f>
        <v/>
      </c>
      <c r="BM233">
        <f>SUM(BJ235:BM235)*BM234</f>
        <v/>
      </c>
      <c r="BN233">
        <f>SUM(BK235:BN235)*BN234</f>
        <v/>
      </c>
      <c r="BO233">
        <f>SUM(BL235:BO235)*BO234</f>
        <v/>
      </c>
      <c r="BP233">
        <f>SUM(BM235:BP235)*BP234</f>
        <v/>
      </c>
      <c r="BQ233">
        <f>SUM(BN235:BQ235)*BQ234</f>
        <v/>
      </c>
      <c r="BR233">
        <f>SUM(BO235:BR235)*BR234</f>
        <v/>
      </c>
      <c r="BU233">
        <f>SUM(BR235:BU235)*BU234</f>
        <v/>
      </c>
      <c r="BY233">
        <f>SUM(BV235:BY235)*BY234</f>
        <v/>
      </c>
      <c r="CC233">
        <f>SUM(BZ235:CC235)*CC234</f>
        <v/>
      </c>
      <c r="CG233">
        <f>SUM(CD235:CG235)*CG234</f>
        <v/>
      </c>
      <c r="CH233">
        <f>SUM(CE235:CH235)*CH234</f>
        <v/>
      </c>
      <c r="CI233">
        <f>SUM(CF235:CI235)*CI234</f>
        <v/>
      </c>
      <c r="CJ233">
        <f>SUM(CG235:CJ235)*CJ234</f>
        <v/>
      </c>
      <c r="CK233">
        <f>SUM(CH235:CK235)*CK234</f>
        <v/>
      </c>
    </row>
    <row r="234">
      <c r="A234" s="467" t="inlineStr">
        <is>
          <t>Dividend payout ratio(annual base)</t>
        </is>
      </c>
      <c r="B234" s="890" t="n"/>
      <c r="C234" s="890" t="n"/>
      <c r="D234" s="890" t="n"/>
      <c r="E234" s="890" t="n"/>
      <c r="F234" s="890" t="n"/>
      <c r="G234" s="890" t="n"/>
      <c r="H234" s="468" t="n"/>
      <c r="I234" s="469" t="n"/>
      <c r="J234" s="468" t="n"/>
      <c r="K234" s="469" t="n"/>
      <c r="L234" s="468" t="n"/>
      <c r="M234" s="469" t="n"/>
      <c r="Q234" s="908">
        <f>Q233/SUM(N235:Q235)</f>
        <v/>
      </c>
      <c r="U234" s="908">
        <f>U233/SUM(R235:U235)</f>
        <v/>
      </c>
      <c r="Y234" s="908">
        <f>Y233/SUM(V235:Y235)</f>
        <v/>
      </c>
      <c r="AC234" s="908">
        <f>AC233/SUM(Z235:AC235)</f>
        <v/>
      </c>
      <c r="AG234" s="908">
        <f>AG233/SUM(AD235:AG235)</f>
        <v/>
      </c>
      <c r="AK234" s="908">
        <f>AK233/SUM(AH235:AK235)</f>
        <v/>
      </c>
      <c r="AO234" s="908">
        <f>AO233/SUM(AL235:AO235)</f>
        <v/>
      </c>
      <c r="AS234" s="908">
        <f>AS233/SUM(AP235:AS235)</f>
        <v/>
      </c>
      <c r="AW234" s="933" t="n">
        <v>0</v>
      </c>
      <c r="AX234" s="933" t="n">
        <v>0</v>
      </c>
      <c r="AY234" s="933" t="n">
        <v>0</v>
      </c>
      <c r="AZ234" s="933" t="n">
        <v>0</v>
      </c>
      <c r="BA234" s="933" t="n">
        <v>0</v>
      </c>
      <c r="BB234" s="933" t="n">
        <v>0</v>
      </c>
      <c r="BC234" s="933" t="n">
        <v>0</v>
      </c>
      <c r="BD234" s="933" t="n">
        <v>0</v>
      </c>
      <c r="BE234" s="933" t="n">
        <v>0</v>
      </c>
      <c r="BF234" s="933" t="n">
        <v>0</v>
      </c>
      <c r="BG234" s="933" t="n">
        <v>0</v>
      </c>
      <c r="BH234" s="933" t="n">
        <v>0</v>
      </c>
      <c r="BI234" s="933" t="n">
        <v>0</v>
      </c>
      <c r="BJ234" s="933" t="n">
        <v>0</v>
      </c>
      <c r="BK234" s="933" t="n">
        <v>0</v>
      </c>
      <c r="BL234" s="933" t="n">
        <v>0</v>
      </c>
      <c r="BM234" s="933" t="n">
        <v>0</v>
      </c>
      <c r="BN234" s="933" t="n">
        <v>0</v>
      </c>
      <c r="BO234" s="933" t="n">
        <v>0</v>
      </c>
      <c r="BP234" s="933" t="n">
        <v>0</v>
      </c>
      <c r="BQ234" s="933" t="n">
        <v>0</v>
      </c>
      <c r="BR234" s="933" t="n">
        <v>0</v>
      </c>
      <c r="BU234" s="933" t="n">
        <v>0</v>
      </c>
      <c r="BY234" s="933" t="n">
        <v>0</v>
      </c>
      <c r="CC234" s="933" t="n">
        <v>0</v>
      </c>
      <c r="CG234" s="933" t="n">
        <v>0</v>
      </c>
      <c r="CH234" s="933" t="n">
        <v>0</v>
      </c>
      <c r="CI234" s="933" t="n">
        <v>0</v>
      </c>
      <c r="CJ234" s="933" t="n">
        <v>0</v>
      </c>
      <c r="CK234" s="933" t="n">
        <v>0</v>
      </c>
    </row>
    <row r="235">
      <c r="A235" s="429" t="inlineStr">
        <is>
          <t>Net income</t>
        </is>
      </c>
      <c r="B235" s="140" t="n"/>
      <c r="C235" s="140" t="n"/>
      <c r="D235" s="140" t="n"/>
      <c r="E235" s="140" t="n"/>
      <c r="F235" s="140" t="n"/>
      <c r="G235" s="140" t="n"/>
      <c r="H235" s="140" t="n"/>
      <c r="I235" s="140" t="n"/>
      <c r="J235" s="140" t="n"/>
      <c r="K235" s="140" t="n"/>
      <c r="L235" s="140" t="n"/>
      <c r="M235" s="140" t="n"/>
      <c r="N235" s="516">
        <f>FS_Q!N25</f>
        <v/>
      </c>
      <c r="O235" s="516">
        <f>FS_Q!O25</f>
        <v/>
      </c>
      <c r="P235" s="516">
        <f>FS_Q!P25</f>
        <v/>
      </c>
      <c r="Q235" s="516">
        <f>FS_Q!Q25</f>
        <v/>
      </c>
      <c r="R235" s="516">
        <f>FS_Q!R25</f>
        <v/>
      </c>
      <c r="S235" s="516">
        <f>FS_Q!S25</f>
        <v/>
      </c>
      <c r="T235" s="516">
        <f>FS_Q!T25</f>
        <v/>
      </c>
      <c r="U235" s="516">
        <f>FS_Q!U25</f>
        <v/>
      </c>
      <c r="V235" s="516">
        <f>FS_Q!V25</f>
        <v/>
      </c>
      <c r="W235" s="516">
        <f>FS_Q!W25</f>
        <v/>
      </c>
      <c r="X235" s="516">
        <f>FS_Q!X25</f>
        <v/>
      </c>
      <c r="Y235" s="516">
        <f>FS_Q!Y25</f>
        <v/>
      </c>
      <c r="Z235" s="516">
        <f>FS_Q!Z25</f>
        <v/>
      </c>
      <c r="AA235" s="516">
        <f>FS_Q!AA25</f>
        <v/>
      </c>
      <c r="AB235" s="516">
        <f>FS_Q!AB25</f>
        <v/>
      </c>
      <c r="AC235" s="516">
        <f>FS_Q!AC25</f>
        <v/>
      </c>
      <c r="AD235" s="516">
        <f>FS_Q!AD25</f>
        <v/>
      </c>
      <c r="AE235" s="516">
        <f>FS_Q!AE25</f>
        <v/>
      </c>
      <c r="AF235" s="516">
        <f>FS_Q!AF25</f>
        <v/>
      </c>
      <c r="AG235" s="516">
        <f>FS_Q!AG25</f>
        <v/>
      </c>
      <c r="AH235" s="516">
        <f>FS_Q!AH25</f>
        <v/>
      </c>
      <c r="AI235" s="516">
        <f>FS_Q!AI25</f>
        <v/>
      </c>
      <c r="AJ235" s="516">
        <f>FS_Q!AJ25</f>
        <v/>
      </c>
      <c r="AK235" s="516">
        <f>FS_Q!AK25</f>
        <v/>
      </c>
      <c r="AL235" s="516">
        <f>FS_Q!AL25</f>
        <v/>
      </c>
      <c r="AM235" s="516">
        <f>FS_Q!AM25</f>
        <v/>
      </c>
      <c r="AN235" s="516">
        <f>FS_Q!AN25</f>
        <v/>
      </c>
      <c r="AO235" s="516">
        <f>FS_Q!AO25</f>
        <v/>
      </c>
      <c r="AP235" s="516">
        <f>FS_Q!AP25</f>
        <v/>
      </c>
      <c r="AQ235" s="516">
        <f>FS_Q!AQ25</f>
        <v/>
      </c>
      <c r="AR235" s="516">
        <f>FS_Q!AR25</f>
        <v/>
      </c>
      <c r="AS235" s="516">
        <f>FS_Q!AS25</f>
        <v/>
      </c>
      <c r="AT235" s="516">
        <f>FS_Q!AT25</f>
        <v/>
      </c>
      <c r="AU235" s="516">
        <f>FS_Q!AU25</f>
        <v/>
      </c>
      <c r="AV235" s="516">
        <f>FS_Q!AV25</f>
        <v/>
      </c>
      <c r="AW235" s="516">
        <f>FS_Q!AW25</f>
        <v/>
      </c>
      <c r="AX235" s="516">
        <f>FS_Q!AX25</f>
        <v/>
      </c>
      <c r="AY235" s="516">
        <f>FS_Q!AY25</f>
        <v/>
      </c>
      <c r="AZ235" s="516">
        <f>FS_Q!AZ25</f>
        <v/>
      </c>
      <c r="BA235" s="516">
        <f>FS_Q!BA25</f>
        <v/>
      </c>
      <c r="BB235" s="516">
        <f>FS_Q!BB25</f>
        <v/>
      </c>
      <c r="BC235" s="516">
        <f>FS_Q!BC25</f>
        <v/>
      </c>
      <c r="BD235" s="516">
        <f>FS_Q!BD25</f>
        <v/>
      </c>
      <c r="BE235" s="516">
        <f>FS_Q!BE25</f>
        <v/>
      </c>
      <c r="BF235" s="516">
        <f>FS_Q!BF25</f>
        <v/>
      </c>
      <c r="BG235" s="516">
        <f>FS_Q!BG25</f>
        <v/>
      </c>
      <c r="BH235" s="516">
        <f>FS_Q!BH25</f>
        <v/>
      </c>
      <c r="BI235" s="516">
        <f>FS_Q!BI25</f>
        <v/>
      </c>
      <c r="BJ235" s="516">
        <f>FS_Q!BJ25</f>
        <v/>
      </c>
      <c r="BK235" s="516">
        <f>FS_Q!BK25</f>
        <v/>
      </c>
      <c r="BL235" s="516">
        <f>FS_Q!BL25</f>
        <v/>
      </c>
      <c r="BM235" s="516">
        <f>FS_Q!BM25</f>
        <v/>
      </c>
      <c r="BN235" s="516">
        <f>FS_Q!BN25</f>
        <v/>
      </c>
      <c r="BO235" s="516">
        <f>FS_Q!BO25</f>
        <v/>
      </c>
      <c r="BP235" s="516">
        <f>FS_Q!BP25</f>
        <v/>
      </c>
      <c r="BQ235" s="516">
        <f>FS_Q!BQ25</f>
        <v/>
      </c>
      <c r="BR235" s="516">
        <f>FS_Q!BR25</f>
        <v/>
      </c>
      <c r="BS235" s="517">
        <f>BS108</f>
        <v/>
      </c>
      <c r="BT235" s="517">
        <f>BT108</f>
        <v/>
      </c>
      <c r="BU235" s="517">
        <f>BU108</f>
        <v/>
      </c>
      <c r="BV235" s="517">
        <f>BV108</f>
        <v/>
      </c>
      <c r="BW235" s="517">
        <f>BW108</f>
        <v/>
      </c>
      <c r="BX235" s="517">
        <f>BX108</f>
        <v/>
      </c>
      <c r="BY235" s="517">
        <f>BY108</f>
        <v/>
      </c>
      <c r="BZ235" s="517">
        <f>BZ108</f>
        <v/>
      </c>
      <c r="CA235" s="517">
        <f>CA108</f>
        <v/>
      </c>
      <c r="CB235" s="517">
        <f>CB108</f>
        <v/>
      </c>
      <c r="CC235" s="517">
        <f>CC108</f>
        <v/>
      </c>
      <c r="CD235" s="517">
        <f>CD108</f>
        <v/>
      </c>
      <c r="CE235" s="517">
        <f>CE108</f>
        <v/>
      </c>
      <c r="CF235" s="517">
        <f>CF108</f>
        <v/>
      </c>
      <c r="CG235" s="517">
        <f>CG108</f>
        <v/>
      </c>
      <c r="CH235" s="517">
        <f>CH108</f>
        <v/>
      </c>
      <c r="CI235" s="517">
        <f>CI108</f>
        <v/>
      </c>
      <c r="CJ235" s="517">
        <f>CJ108</f>
        <v/>
      </c>
      <c r="CK235" s="517">
        <f>CK108</f>
        <v/>
      </c>
    </row>
    <row r="236">
      <c r="A236" s="429" t="n"/>
    </row>
    <row r="237">
      <c r="A237">
        <f>A232&amp; "(diluted)"</f>
        <v/>
      </c>
      <c r="N237" s="516">
        <f>FS_Q!N33</f>
        <v/>
      </c>
      <c r="O237" s="516">
        <f>FS_Q!O33</f>
        <v/>
      </c>
      <c r="P237" s="516">
        <f>FS_Q!P33</f>
        <v/>
      </c>
      <c r="Q237" s="516">
        <f>FS_Q!Q33</f>
        <v/>
      </c>
      <c r="R237" s="516">
        <f>FS_Q!R33</f>
        <v/>
      </c>
      <c r="S237" s="516">
        <f>FS_Q!S33</f>
        <v/>
      </c>
      <c r="T237" s="516">
        <f>FS_Q!T33</f>
        <v/>
      </c>
      <c r="U237" s="516">
        <f>FS_Q!U33</f>
        <v/>
      </c>
      <c r="V237" s="516">
        <f>FS_Q!V33</f>
        <v/>
      </c>
      <c r="W237" s="516">
        <f>FS_Q!W33</f>
        <v/>
      </c>
      <c r="X237" s="516">
        <f>FS_Q!X33</f>
        <v/>
      </c>
      <c r="Y237" s="516">
        <f>FS_Q!Y33</f>
        <v/>
      </c>
      <c r="Z237" s="516">
        <f>FS_Q!Z33</f>
        <v/>
      </c>
      <c r="AA237" s="516">
        <f>FS_Q!AA33</f>
        <v/>
      </c>
      <c r="AB237" s="516">
        <f>FS_Q!AB33</f>
        <v/>
      </c>
      <c r="AC237" s="516">
        <f>FS_Q!AC33</f>
        <v/>
      </c>
      <c r="AD237" s="516">
        <f>FS_Q!AD33</f>
        <v/>
      </c>
      <c r="AE237" s="516">
        <f>FS_Q!AE33</f>
        <v/>
      </c>
      <c r="AF237" s="516">
        <f>FS_Q!AF33</f>
        <v/>
      </c>
      <c r="AG237" s="516">
        <f>FS_Q!AG33</f>
        <v/>
      </c>
      <c r="AH237" s="516">
        <f>FS_Q!AH33</f>
        <v/>
      </c>
      <c r="AI237" s="516">
        <f>FS_Q!AI33</f>
        <v/>
      </c>
      <c r="AJ237" s="516">
        <f>FS_Q!AJ33</f>
        <v/>
      </c>
      <c r="AK237" s="516">
        <f>FS_Q!AK33</f>
        <v/>
      </c>
      <c r="AL237" s="516">
        <f>FS_Q!AL33</f>
        <v/>
      </c>
      <c r="AM237" s="516">
        <f>FS_Q!AM33</f>
        <v/>
      </c>
      <c r="AN237" s="516">
        <f>FS_Q!AN33</f>
        <v/>
      </c>
      <c r="AO237" s="516">
        <f>FS_Q!AO33</f>
        <v/>
      </c>
      <c r="AP237" s="516">
        <f>FS_Q!AP33</f>
        <v/>
      </c>
      <c r="AQ237" s="516">
        <f>FS_Q!AQ33</f>
        <v/>
      </c>
      <c r="AR237" s="516">
        <f>FS_Q!AR33</f>
        <v/>
      </c>
      <c r="AS237" s="516">
        <f>FS_Q!AS33</f>
        <v/>
      </c>
      <c r="AT237" s="516">
        <f>FS_Q!AT33</f>
        <v/>
      </c>
      <c r="AU237" s="516">
        <f>FS_Q!AU33</f>
        <v/>
      </c>
      <c r="AV237" s="516">
        <f>FS_Q!AV33</f>
        <v/>
      </c>
      <c r="AW237" s="516">
        <f>FS_Q!AW33</f>
        <v/>
      </c>
      <c r="AX237" s="516">
        <f>FS_Q!AX33</f>
        <v/>
      </c>
      <c r="AY237" s="516">
        <f>FS_Q!AY33</f>
        <v/>
      </c>
      <c r="AZ237" s="516">
        <f>FS_Q!AZ33</f>
        <v/>
      </c>
      <c r="BA237" s="516">
        <f>FS_Q!BA33</f>
        <v/>
      </c>
      <c r="BB237" s="516">
        <f>FS_Q!BB33</f>
        <v/>
      </c>
      <c r="BC237" s="516">
        <f>FS_Q!BC33</f>
        <v/>
      </c>
      <c r="BD237" s="516">
        <f>FS_Q!BD33</f>
        <v/>
      </c>
      <c r="BE237" s="516">
        <f>FS_Q!BE33</f>
        <v/>
      </c>
      <c r="BF237" s="516">
        <f>FS_Q!BF33</f>
        <v/>
      </c>
      <c r="BG237" s="516">
        <f>FS_Q!BG33</f>
        <v/>
      </c>
      <c r="BH237" s="516">
        <f>FS_Q!BH33</f>
        <v/>
      </c>
      <c r="BI237" s="516">
        <f>FS_Q!BI33</f>
        <v/>
      </c>
      <c r="BJ237" s="516">
        <f>FS_Q!BJ33</f>
        <v/>
      </c>
      <c r="BK237" s="516">
        <f>FS_Q!BK33</f>
        <v/>
      </c>
      <c r="BL237" s="516">
        <f>FS_Q!BL33</f>
        <v/>
      </c>
      <c r="BM237" s="516">
        <f>FS_Q!BM33</f>
        <v/>
      </c>
      <c r="BN237" s="516">
        <f>FS_Q!BN33</f>
        <v/>
      </c>
      <c r="BO237" s="516">
        <f>FS_Q!BO33</f>
        <v/>
      </c>
      <c r="BP237" s="516">
        <f>FS_Q!BP33</f>
        <v/>
      </c>
      <c r="BQ237" s="516">
        <f>FS_Q!BQ33</f>
        <v/>
      </c>
      <c r="BR237" s="516">
        <f>FS_Q!BR33</f>
        <v/>
      </c>
      <c r="BS237" s="541">
        <f>BR237</f>
        <v/>
      </c>
      <c r="BT237" s="541">
        <f>BS237</f>
        <v/>
      </c>
      <c r="BU237" s="541">
        <f>BT237</f>
        <v/>
      </c>
      <c r="BV237" s="541">
        <f>BU237</f>
        <v/>
      </c>
      <c r="BW237" s="541">
        <f>BV237</f>
        <v/>
      </c>
      <c r="BX237" s="541">
        <f>BW237</f>
        <v/>
      </c>
      <c r="BY237" s="541">
        <f>BX237</f>
        <v/>
      </c>
      <c r="BZ237" s="541">
        <f>BY237</f>
        <v/>
      </c>
      <c r="CA237" s="541">
        <f>BZ237</f>
        <v/>
      </c>
      <c r="CB237" s="541">
        <f>CA237</f>
        <v/>
      </c>
      <c r="CC237" s="541">
        <f>CB237</f>
        <v/>
      </c>
      <c r="CD237" s="541">
        <f>CC237</f>
        <v/>
      </c>
      <c r="CE237" s="541">
        <f>CD237</f>
        <v/>
      </c>
      <c r="CF237" s="541">
        <f>CE237</f>
        <v/>
      </c>
      <c r="CG237" s="541">
        <f>CF237</f>
        <v/>
      </c>
      <c r="CH237" s="541">
        <f>CG237</f>
        <v/>
      </c>
      <c r="CI237" s="541">
        <f>CH237</f>
        <v/>
      </c>
      <c r="CJ237" s="541">
        <f>CI237</f>
        <v/>
      </c>
      <c r="CK237" s="541">
        <f>CJ237</f>
        <v/>
      </c>
    </row>
    <row r="238" outlineLevel="1"/>
    <row r="239" outlineLevel="1"/>
    <row r="240" outlineLevel="1">
      <c r="A240" s="411" t="inlineStr">
        <is>
          <t>Annualization - Quarter</t>
        </is>
      </c>
    </row>
    <row r="241" outlineLevel="1">
      <c r="A241" s="44" t="inlineStr">
        <is>
          <t>Period Start</t>
        </is>
      </c>
      <c r="B241" s="46">
        <f>DATE(B1-1,4,1)</f>
        <v/>
      </c>
      <c r="C241" s="46">
        <f>+B242+1</f>
        <v/>
      </c>
      <c r="D241" s="46">
        <f>+C242+1</f>
        <v/>
      </c>
      <c r="E241" s="46">
        <f>+D242+1</f>
        <v/>
      </c>
      <c r="F241" s="46">
        <f>+E242+1</f>
        <v/>
      </c>
      <c r="G241" s="46">
        <f>+F242+1</f>
        <v/>
      </c>
      <c r="H241" s="46">
        <f>+G242+1</f>
        <v/>
      </c>
      <c r="I241" s="46">
        <f>+H242+1</f>
        <v/>
      </c>
      <c r="J241" s="46">
        <f>+I242+1</f>
        <v/>
      </c>
      <c r="K241" s="46">
        <f>+J242+1</f>
        <v/>
      </c>
      <c r="L241" s="46">
        <f>+K242+1</f>
        <v/>
      </c>
      <c r="M241" s="46">
        <f>+L242+1</f>
        <v/>
      </c>
      <c r="N241" s="934">
        <f>DATE(N1,1,1)</f>
        <v/>
      </c>
      <c r="O241" s="935">
        <f>N242+1</f>
        <v/>
      </c>
      <c r="P241" s="935">
        <f>O242+1</f>
        <v/>
      </c>
      <c r="Q241" s="935">
        <f>P242+1</f>
        <v/>
      </c>
      <c r="R241" s="935">
        <f>Q242+1</f>
        <v/>
      </c>
      <c r="S241" s="935">
        <f>R242+1</f>
        <v/>
      </c>
      <c r="T241" s="935">
        <f>S242+1</f>
        <v/>
      </c>
      <c r="U241" s="935">
        <f>T242+1</f>
        <v/>
      </c>
      <c r="V241" s="935">
        <f>U242+1</f>
        <v/>
      </c>
      <c r="W241" s="935">
        <f>V242+1</f>
        <v/>
      </c>
      <c r="X241" s="935">
        <f>W242+1</f>
        <v/>
      </c>
      <c r="Y241" s="935">
        <f>X242+1</f>
        <v/>
      </c>
      <c r="Z241" s="935">
        <f>Y242+1</f>
        <v/>
      </c>
      <c r="AA241" s="935">
        <f>Z242+1</f>
        <v/>
      </c>
      <c r="AB241" s="935">
        <f>AA242+1</f>
        <v/>
      </c>
      <c r="AC241" s="935">
        <f>AB242+1</f>
        <v/>
      </c>
      <c r="AD241" s="935">
        <f>AC242+1</f>
        <v/>
      </c>
      <c r="AE241" s="935">
        <f>AD242+1</f>
        <v/>
      </c>
      <c r="AF241" s="935">
        <f>AE242+1</f>
        <v/>
      </c>
      <c r="AG241" s="935">
        <f>AF242+1</f>
        <v/>
      </c>
      <c r="AH241" s="935">
        <f>AG242+1</f>
        <v/>
      </c>
      <c r="AI241" s="935">
        <f>AH242+1</f>
        <v/>
      </c>
      <c r="AJ241" s="935">
        <f>AI242+1</f>
        <v/>
      </c>
      <c r="AK241" s="935">
        <f>AJ242+1</f>
        <v/>
      </c>
      <c r="AL241" s="935">
        <f>AK242+1</f>
        <v/>
      </c>
      <c r="AM241" s="935">
        <f>AL242+1</f>
        <v/>
      </c>
      <c r="AN241" s="935">
        <f>AM242+1</f>
        <v/>
      </c>
      <c r="AO241" s="935">
        <f>AN242+1</f>
        <v/>
      </c>
      <c r="AP241" s="935">
        <f>AO242+1</f>
        <v/>
      </c>
      <c r="AQ241" s="935">
        <f>AP242+1</f>
        <v/>
      </c>
      <c r="AR241" s="935">
        <f>AQ242+1</f>
        <v/>
      </c>
      <c r="AS241" s="935">
        <f>AR242+1</f>
        <v/>
      </c>
      <c r="AT241" s="935">
        <f>AS242+1</f>
        <v/>
      </c>
      <c r="AU241" s="935">
        <f>AT242+1</f>
        <v/>
      </c>
      <c r="AV241" s="935">
        <f>AU242+1</f>
        <v/>
      </c>
      <c r="AW241" s="935">
        <f>AV242+1</f>
        <v/>
      </c>
      <c r="AX241" s="935">
        <f>AW242+1</f>
        <v/>
      </c>
      <c r="AY241" s="935">
        <f>AX242+1</f>
        <v/>
      </c>
      <c r="AZ241" s="935">
        <f>AY242+1</f>
        <v/>
      </c>
      <c r="BA241" s="935">
        <f>AZ242+1</f>
        <v/>
      </c>
      <c r="BB241" s="935">
        <f>BA242+1</f>
        <v/>
      </c>
      <c r="BC241" s="935">
        <f>BB242+1</f>
        <v/>
      </c>
      <c r="BD241" s="935">
        <f>BC242+1</f>
        <v/>
      </c>
      <c r="BE241" s="935">
        <f>BD242+1</f>
        <v/>
      </c>
      <c r="BF241" s="935">
        <f>BE242+1</f>
        <v/>
      </c>
      <c r="BG241" s="935">
        <f>BF242+1</f>
        <v/>
      </c>
      <c r="BH241" s="935">
        <f>BG242+1</f>
        <v/>
      </c>
      <c r="BI241" s="935">
        <f>BH242+1</f>
        <v/>
      </c>
      <c r="BJ241" s="935">
        <f>BI242+1</f>
        <v/>
      </c>
      <c r="BK241" s="935">
        <f>BJ242+1</f>
        <v/>
      </c>
      <c r="BL241" s="935">
        <f>BK242+1</f>
        <v/>
      </c>
      <c r="BM241" s="935">
        <f>BL242+1</f>
        <v/>
      </c>
      <c r="BN241" s="935">
        <f>BM242+1</f>
        <v/>
      </c>
      <c r="BO241" s="935">
        <f>BN242+1</f>
        <v/>
      </c>
      <c r="BP241" s="935">
        <f>BO242+1</f>
        <v/>
      </c>
      <c r="BQ241" s="935">
        <f>BP242+1</f>
        <v/>
      </c>
      <c r="BR241" s="935">
        <f>BQ242+1</f>
        <v/>
      </c>
      <c r="BS241" s="935">
        <f>BR242+1</f>
        <v/>
      </c>
      <c r="BT241" s="935">
        <f>BS242+1</f>
        <v/>
      </c>
      <c r="BU241" s="935">
        <f>BT242+1</f>
        <v/>
      </c>
      <c r="BV241" s="935">
        <f>BU242+1</f>
        <v/>
      </c>
      <c r="BW241" s="935">
        <f>BV242+1</f>
        <v/>
      </c>
      <c r="BX241" s="935">
        <f>BW242+1</f>
        <v/>
      </c>
      <c r="BY241" s="935">
        <f>BX242+1</f>
        <v/>
      </c>
      <c r="BZ241" s="935">
        <f>BY242+1</f>
        <v/>
      </c>
      <c r="CA241" s="935">
        <f>BZ242+1</f>
        <v/>
      </c>
      <c r="CB241" s="935">
        <f>CA242+1</f>
        <v/>
      </c>
      <c r="CC241" s="935">
        <f>CB242+1</f>
        <v/>
      </c>
      <c r="CD241" s="935">
        <f>CC242+1</f>
        <v/>
      </c>
      <c r="CE241" s="935">
        <f>CD242+1</f>
        <v/>
      </c>
      <c r="CF241" s="935">
        <f>CE242+1</f>
        <v/>
      </c>
      <c r="CG241" s="935">
        <f>CF242+1</f>
        <v/>
      </c>
      <c r="CH241" s="935">
        <f>CG242+1</f>
        <v/>
      </c>
      <c r="CI241" s="935">
        <f>CH242+1</f>
        <v/>
      </c>
      <c r="CJ241" s="935">
        <f>CI242+1</f>
        <v/>
      </c>
      <c r="CK241" s="935">
        <f>CJ242+1</f>
        <v/>
      </c>
    </row>
    <row r="242" outlineLevel="1">
      <c r="A242" s="44" t="inlineStr">
        <is>
          <t>Period Ends</t>
        </is>
      </c>
      <c r="B242" s="46">
        <f>EDATE(B241,3)-1</f>
        <v/>
      </c>
      <c r="C242" s="46">
        <f>EDATE(C241,3)-1</f>
        <v/>
      </c>
      <c r="D242" s="46">
        <f>EDATE(D241,3)-1</f>
        <v/>
      </c>
      <c r="E242" s="46">
        <f>EDATE(E241,3)-1</f>
        <v/>
      </c>
      <c r="F242" s="46">
        <f>EDATE(F241,3)-1</f>
        <v/>
      </c>
      <c r="G242" s="46">
        <f>EDATE(G241,3)-1</f>
        <v/>
      </c>
      <c r="H242" s="46">
        <f>EDATE(H241,3)-1</f>
        <v/>
      </c>
      <c r="I242" s="46">
        <f>EDATE(I241,3)-1</f>
        <v/>
      </c>
      <c r="J242" s="46">
        <f>EDATE(J241,3)-1</f>
        <v/>
      </c>
      <c r="K242" s="46">
        <f>EDATE(K241,3)-1</f>
        <v/>
      </c>
      <c r="L242" s="46">
        <f>EDATE(L241,3)-1</f>
        <v/>
      </c>
      <c r="M242" s="46">
        <f>EDATE(M241,3)-1</f>
        <v/>
      </c>
      <c r="N242" s="935">
        <f>EOMONTH(N241,2)</f>
        <v/>
      </c>
      <c r="O242" s="935">
        <f>EOMONTH(O241,2)</f>
        <v/>
      </c>
      <c r="P242" s="935">
        <f>EOMONTH(P241,2)</f>
        <v/>
      </c>
      <c r="Q242" s="935">
        <f>EOMONTH(Q241,2)</f>
        <v/>
      </c>
      <c r="R242" s="935">
        <f>EOMONTH(R241,2)</f>
        <v/>
      </c>
      <c r="S242" s="935">
        <f>EOMONTH(S241,2)</f>
        <v/>
      </c>
      <c r="T242" s="935">
        <f>EOMONTH(T241,2)</f>
        <v/>
      </c>
      <c r="U242" s="935">
        <f>EOMONTH(U241,2)</f>
        <v/>
      </c>
      <c r="V242" s="935">
        <f>EOMONTH(V241,2)</f>
        <v/>
      </c>
      <c r="W242" s="935">
        <f>EOMONTH(W241,2)</f>
        <v/>
      </c>
      <c r="X242" s="935">
        <f>EOMONTH(X241,2)</f>
        <v/>
      </c>
      <c r="Y242" s="935">
        <f>EOMONTH(Y241,2)</f>
        <v/>
      </c>
      <c r="Z242" s="935">
        <f>EOMONTH(Z241,2)</f>
        <v/>
      </c>
      <c r="AA242" s="935">
        <f>EOMONTH(AA241,2)</f>
        <v/>
      </c>
      <c r="AB242" s="935">
        <f>EOMONTH(AB241,2)</f>
        <v/>
      </c>
      <c r="AC242" s="935">
        <f>EOMONTH(AC241,2)</f>
        <v/>
      </c>
      <c r="AD242" s="935">
        <f>EOMONTH(AD241,2)</f>
        <v/>
      </c>
      <c r="AE242" s="935">
        <f>EOMONTH(AE241,2)</f>
        <v/>
      </c>
      <c r="AF242" s="935">
        <f>EOMONTH(AF241,2)</f>
        <v/>
      </c>
      <c r="AG242" s="935">
        <f>EOMONTH(AG241,2)</f>
        <v/>
      </c>
      <c r="AH242" s="935">
        <f>EOMONTH(AH241,2)</f>
        <v/>
      </c>
      <c r="AI242" s="935">
        <f>EOMONTH(AI241,2)</f>
        <v/>
      </c>
      <c r="AJ242" s="935">
        <f>EOMONTH(AJ241,2)</f>
        <v/>
      </c>
      <c r="AK242" s="935">
        <f>EOMONTH(AK241,2)</f>
        <v/>
      </c>
      <c r="AL242" s="935">
        <f>EOMONTH(AL241,2)</f>
        <v/>
      </c>
      <c r="AM242" s="935">
        <f>EOMONTH(AM241,2)</f>
        <v/>
      </c>
      <c r="AN242" s="935">
        <f>EOMONTH(AN241,2)</f>
        <v/>
      </c>
      <c r="AO242" s="935">
        <f>EOMONTH(AO241,2)</f>
        <v/>
      </c>
      <c r="AP242" s="935">
        <f>EOMONTH(AP241,2)</f>
        <v/>
      </c>
      <c r="AQ242" s="935">
        <f>EOMONTH(AQ241,2)</f>
        <v/>
      </c>
      <c r="AR242" s="935">
        <f>EOMONTH(AR241,2)</f>
        <v/>
      </c>
      <c r="AS242" s="935">
        <f>EOMONTH(AS241,2)</f>
        <v/>
      </c>
      <c r="AT242" s="935">
        <f>EOMONTH(AT241,2)</f>
        <v/>
      </c>
      <c r="AU242" s="935">
        <f>EOMONTH(AU241,2)</f>
        <v/>
      </c>
      <c r="AV242" s="935">
        <f>EOMONTH(AV241,2)</f>
        <v/>
      </c>
      <c r="AW242" s="935">
        <f>EOMONTH(AW241,2)</f>
        <v/>
      </c>
      <c r="AX242" s="935">
        <f>EOMONTH(AX241,2)</f>
        <v/>
      </c>
      <c r="AY242" s="935">
        <f>EOMONTH(AY241,2)</f>
        <v/>
      </c>
      <c r="AZ242" s="935">
        <f>EOMONTH(AZ241,2)</f>
        <v/>
      </c>
      <c r="BA242" s="935">
        <f>EOMONTH(BA241,2)</f>
        <v/>
      </c>
      <c r="BB242" s="935">
        <f>EOMONTH(BB241,2)</f>
        <v/>
      </c>
      <c r="BC242" s="935">
        <f>EOMONTH(BC241,2)</f>
        <v/>
      </c>
      <c r="BD242" s="935">
        <f>EOMONTH(BD241,2)</f>
        <v/>
      </c>
      <c r="BE242" s="935">
        <f>EOMONTH(BE241,2)</f>
        <v/>
      </c>
      <c r="BF242" s="935">
        <f>EOMONTH(BF241,2)</f>
        <v/>
      </c>
      <c r="BG242" s="935">
        <f>EOMONTH(BG241,2)</f>
        <v/>
      </c>
      <c r="BH242" s="935">
        <f>EOMONTH(BH241,2)</f>
        <v/>
      </c>
      <c r="BI242" s="935">
        <f>EOMONTH(BI241,2)</f>
        <v/>
      </c>
      <c r="BJ242" s="935">
        <f>EOMONTH(BJ241,2)</f>
        <v/>
      </c>
      <c r="BK242" s="935">
        <f>EOMONTH(BK241,2)</f>
        <v/>
      </c>
      <c r="BL242" s="935">
        <f>EOMONTH(BL241,2)</f>
        <v/>
      </c>
      <c r="BM242" s="935">
        <f>EOMONTH(BM241,2)</f>
        <v/>
      </c>
      <c r="BN242" s="935">
        <f>EOMONTH(BN241,2)</f>
        <v/>
      </c>
      <c r="BO242" s="935">
        <f>EOMONTH(BO241,2)</f>
        <v/>
      </c>
      <c r="BP242" s="935">
        <f>EOMONTH(BP241,2)</f>
        <v/>
      </c>
      <c r="BQ242" s="935">
        <f>EOMONTH(BQ241,2)</f>
        <v/>
      </c>
      <c r="BR242" s="935">
        <f>EOMONTH(BR241,2)</f>
        <v/>
      </c>
      <c r="BS242" s="935">
        <f>EOMONTH(BS241,2)</f>
        <v/>
      </c>
      <c r="BT242" s="935">
        <f>EOMONTH(BT241,2)</f>
        <v/>
      </c>
      <c r="BU242" s="935">
        <f>EOMONTH(BU241,2)</f>
        <v/>
      </c>
      <c r="BV242" s="935">
        <f>EOMONTH(BV241,2)</f>
        <v/>
      </c>
      <c r="BW242" s="935">
        <f>EOMONTH(BW241,2)</f>
        <v/>
      </c>
      <c r="BX242" s="935">
        <f>EOMONTH(BX241,2)</f>
        <v/>
      </c>
      <c r="BY242" s="935">
        <f>EOMONTH(BY241,2)</f>
        <v/>
      </c>
      <c r="BZ242" s="935">
        <f>EOMONTH(BZ241,2)</f>
        <v/>
      </c>
      <c r="CA242" s="935">
        <f>EOMONTH(CA241,2)</f>
        <v/>
      </c>
      <c r="CB242" s="935">
        <f>EOMONTH(CB241,2)</f>
        <v/>
      </c>
      <c r="CC242" s="935">
        <f>EOMONTH(CC241,2)</f>
        <v/>
      </c>
      <c r="CD242" s="935">
        <f>EOMONTH(CD241,2)</f>
        <v/>
      </c>
      <c r="CE242" s="935">
        <f>EOMONTH(CE241,2)</f>
        <v/>
      </c>
      <c r="CF242" s="935">
        <f>EOMONTH(CF241,2)</f>
        <v/>
      </c>
      <c r="CG242" s="935">
        <f>EOMONTH(CG241,2)</f>
        <v/>
      </c>
      <c r="CH242" s="935">
        <f>EOMONTH(CH241,2)</f>
        <v/>
      </c>
      <c r="CI242" s="935">
        <f>EOMONTH(CI241,2)</f>
        <v/>
      </c>
      <c r="CJ242" s="935">
        <f>EOMONTH(CJ241,2)</f>
        <v/>
      </c>
      <c r="CK242" s="935">
        <f>EOMONTH(CK241,2)</f>
        <v/>
      </c>
    </row>
    <row r="243" outlineLevel="1">
      <c r="A243" s="44" t="inlineStr">
        <is>
          <t>Year Starts</t>
        </is>
      </c>
      <c r="B243" s="46">
        <f>DATE(B1-1,4,1)</f>
        <v/>
      </c>
      <c r="C243" s="46">
        <f>DATE(C1-1,3,21)</f>
        <v/>
      </c>
      <c r="D243" s="46">
        <f>DATE(D1-1,3,21)</f>
        <v/>
      </c>
      <c r="E243" s="46">
        <f>DATE(E1-1,3,21)</f>
        <v/>
      </c>
      <c r="F243" s="46">
        <f>DATE(F1-1,3,21)</f>
        <v/>
      </c>
      <c r="G243" s="46">
        <f>DATE(G1-1,3,21)</f>
        <v/>
      </c>
      <c r="H243" s="46">
        <f>DATE(H1-1,3,21)</f>
        <v/>
      </c>
      <c r="I243" s="46">
        <f>DATE(I1-1,3,21)</f>
        <v/>
      </c>
      <c r="J243" s="46">
        <f>DATE(J1-1,3,21)</f>
        <v/>
      </c>
      <c r="K243" s="46">
        <f>DATE(K1-1,3,21)</f>
        <v/>
      </c>
      <c r="L243" s="46">
        <f>DATE(L1-1,3,21)</f>
        <v/>
      </c>
      <c r="M243" s="46">
        <f>DATE(M1-1,3,21)</f>
        <v/>
      </c>
      <c r="N243" s="522">
        <f>DATE(N1,1,1)</f>
        <v/>
      </c>
      <c r="O243" s="522">
        <f>DATE(O1,1,1)</f>
        <v/>
      </c>
      <c r="P243" s="522">
        <f>DATE(P1,1,1)</f>
        <v/>
      </c>
      <c r="Q243" s="522">
        <f>DATE(Q1,1,1)</f>
        <v/>
      </c>
      <c r="R243" s="522">
        <f>DATE(R1,1,1)</f>
        <v/>
      </c>
      <c r="S243" s="522">
        <f>DATE(S1,1,1)</f>
        <v/>
      </c>
      <c r="T243" s="522">
        <f>DATE(T1,1,1)</f>
        <v/>
      </c>
      <c r="U243" s="522">
        <f>DATE(U1,1,1)</f>
        <v/>
      </c>
      <c r="V243" s="522">
        <f>DATE(V1,1,1)</f>
        <v/>
      </c>
      <c r="W243" s="522">
        <f>DATE(W1,1,1)</f>
        <v/>
      </c>
      <c r="X243" s="522">
        <f>DATE(X1,1,1)</f>
        <v/>
      </c>
      <c r="Y243" s="522">
        <f>DATE(Y1,1,1)</f>
        <v/>
      </c>
      <c r="Z243" s="522">
        <f>DATE(Z1,1,1)</f>
        <v/>
      </c>
      <c r="AA243" s="522">
        <f>DATE(AA1,1,1)</f>
        <v/>
      </c>
      <c r="AB243" s="522">
        <f>DATE(AB1,1,1)</f>
        <v/>
      </c>
      <c r="AC243" s="522">
        <f>DATE(AC1,1,1)</f>
        <v/>
      </c>
      <c r="AD243" s="522">
        <f>DATE(AD1,1,1)</f>
        <v/>
      </c>
      <c r="AE243" s="522">
        <f>DATE(AE1,1,1)</f>
        <v/>
      </c>
      <c r="AF243" s="522">
        <f>DATE(AF1,1,1)</f>
        <v/>
      </c>
      <c r="AG243" s="522">
        <f>DATE(AG1,1,1)</f>
        <v/>
      </c>
      <c r="AH243" s="522">
        <f>DATE(AH1,1,1)</f>
        <v/>
      </c>
      <c r="AI243" s="522">
        <f>DATE(AI1,1,1)</f>
        <v/>
      </c>
      <c r="AJ243" s="522">
        <f>DATE(AJ1,1,1)</f>
        <v/>
      </c>
      <c r="AK243" s="522">
        <f>DATE(AK1,1,1)</f>
        <v/>
      </c>
      <c r="AL243" s="522">
        <f>DATE(AL1,1,1)</f>
        <v/>
      </c>
      <c r="AM243" s="522">
        <f>DATE(AM1,1,1)</f>
        <v/>
      </c>
      <c r="AN243" s="522">
        <f>DATE(AN1,1,1)</f>
        <v/>
      </c>
      <c r="AO243" s="522">
        <f>DATE(AO1,1,1)</f>
        <v/>
      </c>
      <c r="AP243" s="522">
        <f>DATE(AP1,1,1)</f>
        <v/>
      </c>
      <c r="AQ243" s="522">
        <f>DATE(AQ1,1,1)</f>
        <v/>
      </c>
      <c r="AR243" s="522">
        <f>DATE(AR1,1,1)</f>
        <v/>
      </c>
      <c r="AS243" s="522">
        <f>DATE(AS1,1,1)</f>
        <v/>
      </c>
      <c r="AT243" s="522">
        <f>DATE(AT1,1,1)</f>
        <v/>
      </c>
      <c r="AU243" s="522">
        <f>DATE(AU1,1,1)</f>
        <v/>
      </c>
      <c r="AV243" s="522">
        <f>DATE(AV1,1,1)</f>
        <v/>
      </c>
      <c r="AW243" s="522">
        <f>DATE(AW1,1,1)</f>
        <v/>
      </c>
      <c r="AX243" s="522">
        <f>DATE(AX1,1,1)</f>
        <v/>
      </c>
      <c r="AY243" s="522">
        <f>DATE(AY1,1,1)</f>
        <v/>
      </c>
      <c r="AZ243" s="522">
        <f>DATE(AZ1,1,1)</f>
        <v/>
      </c>
      <c r="BA243" s="522">
        <f>DATE(BA1,1,1)</f>
        <v/>
      </c>
      <c r="BB243" s="522">
        <f>DATE(BB1,1,1)</f>
        <v/>
      </c>
      <c r="BC243" s="522">
        <f>DATE(BC1,1,1)</f>
        <v/>
      </c>
      <c r="BD243" s="522">
        <f>DATE(BD1,1,1)</f>
        <v/>
      </c>
      <c r="BE243" s="522">
        <f>DATE(BE1,1,1)</f>
        <v/>
      </c>
      <c r="BF243" s="522">
        <f>DATE(BF1,1,1)</f>
        <v/>
      </c>
      <c r="BG243" s="522">
        <f>DATE(BG1,1,1)</f>
        <v/>
      </c>
      <c r="BH243" s="522">
        <f>DATE(BH1,1,1)</f>
        <v/>
      </c>
      <c r="BI243" s="522">
        <f>DATE(BI1,1,1)</f>
        <v/>
      </c>
      <c r="BJ243" s="522">
        <f>DATE(BJ1,1,1)</f>
        <v/>
      </c>
      <c r="BK243" s="522">
        <f>DATE(BK1,1,1)</f>
        <v/>
      </c>
      <c r="BL243" s="522">
        <f>DATE(BL1,1,1)</f>
        <v/>
      </c>
      <c r="BM243" s="522">
        <f>DATE(BM1,1,1)</f>
        <v/>
      </c>
      <c r="BN243" s="522">
        <f>DATE(BN1,1,1)</f>
        <v/>
      </c>
      <c r="BO243" s="522">
        <f>DATE(BO1,1,1)</f>
        <v/>
      </c>
      <c r="BP243" s="522">
        <f>DATE(BP1,1,1)</f>
        <v/>
      </c>
      <c r="BQ243" s="522">
        <f>DATE(BQ1,1,1)</f>
        <v/>
      </c>
      <c r="BR243" s="522">
        <f>DATE(BR1,1,1)</f>
        <v/>
      </c>
      <c r="BS243" s="522">
        <f>DATE(BS1,1,1)</f>
        <v/>
      </c>
      <c r="BT243" s="522">
        <f>DATE(BT1,1,1)</f>
        <v/>
      </c>
      <c r="BU243" s="522">
        <f>DATE(BU1,1,1)</f>
        <v/>
      </c>
      <c r="BV243" s="522">
        <f>DATE(BV1,1,1)</f>
        <v/>
      </c>
      <c r="BW243" s="522">
        <f>DATE(BW1,1,1)</f>
        <v/>
      </c>
      <c r="BX243" s="522">
        <f>DATE(BX1,1,1)</f>
        <v/>
      </c>
      <c r="BY243" s="522">
        <f>DATE(BY1,1,1)</f>
        <v/>
      </c>
      <c r="BZ243" s="522">
        <f>DATE(BZ1,1,1)</f>
        <v/>
      </c>
      <c r="CA243" s="522">
        <f>DATE(CA1,1,1)</f>
        <v/>
      </c>
      <c r="CB243" s="522">
        <f>DATE(CB1,1,1)</f>
        <v/>
      </c>
      <c r="CC243" s="522">
        <f>DATE(CC1,1,1)</f>
        <v/>
      </c>
      <c r="CD243" s="522">
        <f>DATE(CD1,1,1)</f>
        <v/>
      </c>
      <c r="CE243" s="522">
        <f>DATE(CE1,1,1)</f>
        <v/>
      </c>
      <c r="CF243" s="522">
        <f>DATE(CF1,1,1)</f>
        <v/>
      </c>
      <c r="CG243" s="522">
        <f>DATE(CG1,1,1)</f>
        <v/>
      </c>
      <c r="CH243" s="522">
        <f>DATE(CH1,1,1)</f>
        <v/>
      </c>
      <c r="CI243" s="522">
        <f>DATE(CI1,1,1)</f>
        <v/>
      </c>
      <c r="CJ243" s="522">
        <f>DATE(CJ1,1,1)</f>
        <v/>
      </c>
      <c r="CK243" s="522">
        <f>DATE(CK1,1,1)</f>
        <v/>
      </c>
    </row>
    <row r="244" outlineLevel="1">
      <c r="A244" s="44" t="inlineStr">
        <is>
          <t>Year Ends</t>
        </is>
      </c>
      <c r="B244" s="46">
        <f>EDATE(B243,12)-1</f>
        <v/>
      </c>
      <c r="C244" s="46">
        <f>EDATE(C243,12)-1</f>
        <v/>
      </c>
      <c r="D244" s="46">
        <f>EDATE(D243,12)-1</f>
        <v/>
      </c>
      <c r="E244" s="46">
        <f>EDATE(E243,12)-1</f>
        <v/>
      </c>
      <c r="F244" s="46">
        <f>EDATE(F243,12)-1</f>
        <v/>
      </c>
      <c r="G244" s="46">
        <f>EDATE(G243,12)-1</f>
        <v/>
      </c>
      <c r="H244" s="46">
        <f>EDATE(H243,12)-1</f>
        <v/>
      </c>
      <c r="I244" s="46">
        <f>EDATE(I243,12)-1</f>
        <v/>
      </c>
      <c r="J244" s="46">
        <f>EDATE(J243,12)-1</f>
        <v/>
      </c>
      <c r="K244" s="46">
        <f>EDATE(K243,12)-1</f>
        <v/>
      </c>
      <c r="L244" s="46">
        <f>EDATE(L243,12)-1</f>
        <v/>
      </c>
      <c r="M244" s="46">
        <f>EDATE(M243,12)-1</f>
        <v/>
      </c>
      <c r="N244" s="522">
        <f>DATE(N1,12,31)</f>
        <v/>
      </c>
      <c r="O244" s="522">
        <f>DATE(O1,12,31)</f>
        <v/>
      </c>
      <c r="P244" s="522">
        <f>DATE(P1,12,31)</f>
        <v/>
      </c>
      <c r="Q244" s="522">
        <f>DATE(Q1,12,31)</f>
        <v/>
      </c>
      <c r="R244" s="522">
        <f>DATE(R1,12,31)</f>
        <v/>
      </c>
      <c r="S244" s="522">
        <f>DATE(S1,12,31)</f>
        <v/>
      </c>
      <c r="T244" s="522">
        <f>DATE(T1,12,31)</f>
        <v/>
      </c>
      <c r="U244" s="522">
        <f>DATE(U1,12,31)</f>
        <v/>
      </c>
      <c r="V244" s="522">
        <f>DATE(V1,12,31)</f>
        <v/>
      </c>
      <c r="W244" s="522">
        <f>DATE(W1,12,31)</f>
        <v/>
      </c>
      <c r="X244" s="522">
        <f>DATE(X1,12,31)</f>
        <v/>
      </c>
      <c r="Y244" s="522">
        <f>DATE(Y1,12,31)</f>
        <v/>
      </c>
      <c r="Z244" s="522">
        <f>DATE(Z1,12,31)</f>
        <v/>
      </c>
      <c r="AA244" s="522">
        <f>DATE(AA1,12,31)</f>
        <v/>
      </c>
      <c r="AB244" s="522">
        <f>DATE(AB1,12,31)</f>
        <v/>
      </c>
      <c r="AC244" s="522">
        <f>DATE(AC1,12,31)</f>
        <v/>
      </c>
      <c r="AD244" s="522">
        <f>DATE(AD1,12,31)</f>
        <v/>
      </c>
      <c r="AE244" s="522">
        <f>DATE(AE1,12,31)</f>
        <v/>
      </c>
      <c r="AF244" s="522">
        <f>DATE(AF1,12,31)</f>
        <v/>
      </c>
      <c r="AG244" s="522">
        <f>DATE(AG1,12,31)</f>
        <v/>
      </c>
      <c r="AH244" s="522">
        <f>DATE(AH1,12,31)</f>
        <v/>
      </c>
      <c r="AI244" s="522">
        <f>DATE(AI1,12,31)</f>
        <v/>
      </c>
      <c r="AJ244" s="522">
        <f>DATE(AJ1,12,31)</f>
        <v/>
      </c>
      <c r="AK244" s="522">
        <f>DATE(AK1,12,31)</f>
        <v/>
      </c>
      <c r="AL244" s="522">
        <f>DATE(AL1,12,31)</f>
        <v/>
      </c>
      <c r="AM244" s="522">
        <f>DATE(AM1,12,31)</f>
        <v/>
      </c>
      <c r="AN244" s="522">
        <f>DATE(AN1,12,31)</f>
        <v/>
      </c>
      <c r="AO244" s="522">
        <f>DATE(AO1,12,31)</f>
        <v/>
      </c>
      <c r="AP244" s="522">
        <f>DATE(AP1,12,31)</f>
        <v/>
      </c>
      <c r="AQ244" s="522">
        <f>DATE(AQ1,12,31)</f>
        <v/>
      </c>
      <c r="AR244" s="522">
        <f>DATE(AR1,12,31)</f>
        <v/>
      </c>
      <c r="AS244" s="522">
        <f>DATE(AS1,12,31)</f>
        <v/>
      </c>
      <c r="AT244" s="522">
        <f>DATE(AT1,12,31)</f>
        <v/>
      </c>
      <c r="AU244" s="522">
        <f>DATE(AU1,12,31)</f>
        <v/>
      </c>
      <c r="AV244" s="522">
        <f>DATE(AV1,12,31)</f>
        <v/>
      </c>
      <c r="AW244" s="522">
        <f>DATE(AW1,12,31)</f>
        <v/>
      </c>
      <c r="AX244" s="522">
        <f>DATE(AX1,12,31)</f>
        <v/>
      </c>
      <c r="AY244" s="522">
        <f>DATE(AY1,12,31)</f>
        <v/>
      </c>
      <c r="AZ244" s="522">
        <f>DATE(AZ1,12,31)</f>
        <v/>
      </c>
      <c r="BA244" s="522">
        <f>DATE(BA1,12,31)</f>
        <v/>
      </c>
      <c r="BB244" s="522">
        <f>DATE(BB1,12,31)</f>
        <v/>
      </c>
      <c r="BC244" s="522">
        <f>DATE(BC1,12,31)</f>
        <v/>
      </c>
      <c r="BD244" s="522">
        <f>DATE(BD1,12,31)</f>
        <v/>
      </c>
      <c r="BE244" s="522">
        <f>DATE(BE1,12,31)</f>
        <v/>
      </c>
      <c r="BF244" s="522">
        <f>DATE(BF1,12,31)</f>
        <v/>
      </c>
      <c r="BG244" s="522">
        <f>DATE(BG1,12,31)</f>
        <v/>
      </c>
      <c r="BH244" s="522">
        <f>DATE(BH1,12,31)</f>
        <v/>
      </c>
      <c r="BI244" s="522">
        <f>DATE(BI1,12,31)</f>
        <v/>
      </c>
      <c r="BJ244" s="522">
        <f>DATE(BJ1,12,31)</f>
        <v/>
      </c>
      <c r="BK244" s="522">
        <f>DATE(BK1,12,31)</f>
        <v/>
      </c>
      <c r="BL244" s="522">
        <f>DATE(BL1,12,31)</f>
        <v/>
      </c>
      <c r="BM244" s="522">
        <f>DATE(BM1,12,31)</f>
        <v/>
      </c>
      <c r="BN244" s="522">
        <f>DATE(BN1,12,31)</f>
        <v/>
      </c>
      <c r="BO244" s="522">
        <f>DATE(BO1,12,31)</f>
        <v/>
      </c>
      <c r="BP244" s="522">
        <f>DATE(BP1,12,31)</f>
        <v/>
      </c>
      <c r="BQ244" s="522">
        <f>DATE(BQ1,12,31)</f>
        <v/>
      </c>
      <c r="BR244" s="522">
        <f>DATE(BR1,12,31)</f>
        <v/>
      </c>
      <c r="BS244" s="522">
        <f>DATE(BS1,12,31)</f>
        <v/>
      </c>
      <c r="BT244" s="522">
        <f>DATE(BT1,12,31)</f>
        <v/>
      </c>
      <c r="BU244" s="522">
        <f>DATE(BU1,12,31)</f>
        <v/>
      </c>
      <c r="BV244" s="522">
        <f>DATE(BV1,12,31)</f>
        <v/>
      </c>
      <c r="BW244" s="522">
        <f>DATE(BW1,12,31)</f>
        <v/>
      </c>
      <c r="BX244" s="522">
        <f>DATE(BX1,12,31)</f>
        <v/>
      </c>
      <c r="BY244" s="522">
        <f>DATE(BY1,12,31)</f>
        <v/>
      </c>
      <c r="BZ244" s="522">
        <f>DATE(BZ1,12,31)</f>
        <v/>
      </c>
      <c r="CA244" s="522">
        <f>DATE(CA1,12,31)</f>
        <v/>
      </c>
      <c r="CB244" s="522">
        <f>DATE(CB1,12,31)</f>
        <v/>
      </c>
      <c r="CC244" s="522">
        <f>DATE(CC1,12,31)</f>
        <v/>
      </c>
      <c r="CD244" s="522">
        <f>DATE(CD1,12,31)</f>
        <v/>
      </c>
      <c r="CE244" s="522">
        <f>DATE(CE1,12,31)</f>
        <v/>
      </c>
      <c r="CF244" s="522">
        <f>DATE(CF1,12,31)</f>
        <v/>
      </c>
      <c r="CG244" s="522">
        <f>DATE(CG1,12,31)</f>
        <v/>
      </c>
      <c r="CH244" s="522">
        <f>DATE(CH1,12,31)</f>
        <v/>
      </c>
      <c r="CI244" s="522">
        <f>DATE(CI1,12,31)</f>
        <v/>
      </c>
      <c r="CJ244" s="522">
        <f>DATE(CJ1,12,31)</f>
        <v/>
      </c>
      <c r="CK244" s="522">
        <f>DATE(CK1,12,31)</f>
        <v/>
      </c>
    </row>
    <row r="245" outlineLevel="1">
      <c r="A245" s="44" t="inlineStr">
        <is>
          <t>Period Days</t>
        </is>
      </c>
      <c r="B245" s="82">
        <f>B242-B241+1</f>
        <v/>
      </c>
      <c r="C245" s="82">
        <f>C242-C241+1</f>
        <v/>
      </c>
      <c r="D245" s="82">
        <f>D242-D241+1</f>
        <v/>
      </c>
      <c r="E245" s="82">
        <f>E242-E241+1</f>
        <v/>
      </c>
      <c r="F245" s="82">
        <f>F242-F241+1</f>
        <v/>
      </c>
      <c r="G245" s="82">
        <f>G242-G241+1</f>
        <v/>
      </c>
      <c r="H245" s="82">
        <f>H242-H241+1</f>
        <v/>
      </c>
      <c r="I245" s="82">
        <f>I242-I241+1</f>
        <v/>
      </c>
      <c r="J245" s="82">
        <f>J242-J241+1</f>
        <v/>
      </c>
      <c r="K245" s="82">
        <f>K242-K241+1</f>
        <v/>
      </c>
      <c r="L245" s="82">
        <f>L242-L241+1</f>
        <v/>
      </c>
      <c r="M245" s="82">
        <f>M242-M241+1</f>
        <v/>
      </c>
      <c r="N245" s="82">
        <f>N242-N241+1</f>
        <v/>
      </c>
      <c r="O245" s="82">
        <f>O242-O241+1</f>
        <v/>
      </c>
      <c r="P245" s="82">
        <f>P242-P241+1</f>
        <v/>
      </c>
      <c r="Q245" s="82">
        <f>Q242-Q241+1</f>
        <v/>
      </c>
      <c r="R245" s="82">
        <f>R242-R241+1</f>
        <v/>
      </c>
      <c r="S245" s="82">
        <f>S242-S241+1</f>
        <v/>
      </c>
      <c r="T245" s="82">
        <f>T242-T241+1</f>
        <v/>
      </c>
      <c r="U245" s="82">
        <f>U242-U241+1</f>
        <v/>
      </c>
      <c r="V245" s="82">
        <f>V242-V241+1</f>
        <v/>
      </c>
      <c r="W245" s="82">
        <f>W242-W241+1</f>
        <v/>
      </c>
      <c r="X245" s="82">
        <f>X242-X241+1</f>
        <v/>
      </c>
      <c r="Y245" s="82">
        <f>Y242-Y241+1</f>
        <v/>
      </c>
      <c r="Z245" s="82">
        <f>Z242-Z241+1</f>
        <v/>
      </c>
      <c r="AA245" s="82">
        <f>AA242-AA241+1</f>
        <v/>
      </c>
      <c r="AB245" s="82">
        <f>AB242-AB241+1</f>
        <v/>
      </c>
      <c r="AC245" s="82">
        <f>AC242-AC241+1</f>
        <v/>
      </c>
      <c r="AD245" s="82">
        <f>AD242-AD241+1</f>
        <v/>
      </c>
      <c r="AE245" s="82">
        <f>AE242-AE241+1</f>
        <v/>
      </c>
      <c r="AF245" s="82">
        <f>AF242-AF241+1</f>
        <v/>
      </c>
      <c r="AG245" s="82">
        <f>AG242-AG241+1</f>
        <v/>
      </c>
      <c r="AH245" s="82">
        <f>AH242-AH241+1</f>
        <v/>
      </c>
      <c r="AI245" s="82">
        <f>AI242-AI241+1</f>
        <v/>
      </c>
      <c r="AJ245" s="82">
        <f>AJ242-AJ241+1</f>
        <v/>
      </c>
      <c r="AK245" s="82">
        <f>AK242-AK241+1</f>
        <v/>
      </c>
      <c r="AL245" s="82">
        <f>AL242-AL241+1</f>
        <v/>
      </c>
      <c r="AM245" s="82">
        <f>AM242-AM241+1</f>
        <v/>
      </c>
      <c r="AN245" s="82">
        <f>AN242-AN241+1</f>
        <v/>
      </c>
      <c r="AO245" s="82">
        <f>AO242-AO241+1</f>
        <v/>
      </c>
      <c r="AP245" s="82">
        <f>AP242-AP241+1</f>
        <v/>
      </c>
      <c r="AQ245" s="82">
        <f>AQ242-AQ241+1</f>
        <v/>
      </c>
      <c r="AR245" s="82">
        <f>AR242-AR241+1</f>
        <v/>
      </c>
      <c r="AS245" s="82">
        <f>AS242-AS241+1</f>
        <v/>
      </c>
      <c r="AT245" s="82">
        <f>AT242-AT241+1</f>
        <v/>
      </c>
      <c r="AU245" s="82">
        <f>AU242-AU241+1</f>
        <v/>
      </c>
      <c r="AV245" s="82">
        <f>AV242-AV241+1</f>
        <v/>
      </c>
      <c r="AW245" s="82">
        <f>AW242-AW241+1</f>
        <v/>
      </c>
      <c r="AX245" s="82">
        <f>AX242-AX241+1</f>
        <v/>
      </c>
      <c r="AY245" s="82">
        <f>AY242-AY241+1</f>
        <v/>
      </c>
      <c r="AZ245" s="82">
        <f>AZ242-AZ241+1</f>
        <v/>
      </c>
      <c r="BA245" s="82">
        <f>BA242-BA241+1</f>
        <v/>
      </c>
      <c r="BB245" s="82">
        <f>BB242-BB241+1</f>
        <v/>
      </c>
      <c r="BC245" s="82">
        <f>BC242-BC241+1</f>
        <v/>
      </c>
      <c r="BD245" s="82">
        <f>BD242-BD241+1</f>
        <v/>
      </c>
      <c r="BE245" s="82">
        <f>BE242-BE241+1</f>
        <v/>
      </c>
      <c r="BF245" s="82">
        <f>BF242-BF241+1</f>
        <v/>
      </c>
      <c r="BG245" s="82">
        <f>BG242-BG241+1</f>
        <v/>
      </c>
      <c r="BH245" s="82">
        <f>BH242-BH241+1</f>
        <v/>
      </c>
      <c r="BI245" s="82">
        <f>BI242-BI241+1</f>
        <v/>
      </c>
      <c r="BJ245" s="82">
        <f>BJ242-BJ241+1</f>
        <v/>
      </c>
      <c r="BK245" s="82">
        <f>BK242-BK241+1</f>
        <v/>
      </c>
      <c r="BL245" s="82">
        <f>BL242-BL241+1</f>
        <v/>
      </c>
      <c r="BM245" s="82">
        <f>BM242-BM241+1</f>
        <v/>
      </c>
      <c r="BN245" s="82">
        <f>BN242-BN241+1</f>
        <v/>
      </c>
      <c r="BO245" s="82">
        <f>BO242-BO241+1</f>
        <v/>
      </c>
      <c r="BP245" s="82">
        <f>BP242-BP241+1</f>
        <v/>
      </c>
      <c r="BQ245" s="82">
        <f>BQ242-BQ241+1</f>
        <v/>
      </c>
      <c r="BR245" s="82">
        <f>BR242-BR241+1</f>
        <v/>
      </c>
      <c r="BS245" s="82">
        <f>BS242-BS241+1</f>
        <v/>
      </c>
      <c r="BT245" s="82">
        <f>BT242-BT241+1</f>
        <v/>
      </c>
      <c r="BU245" s="82">
        <f>BU242-BU241+1</f>
        <v/>
      </c>
      <c r="BV245" s="82">
        <f>BV242-BV241+1</f>
        <v/>
      </c>
      <c r="BW245" s="82">
        <f>BW242-BW241+1</f>
        <v/>
      </c>
      <c r="BX245" s="82">
        <f>BX242-BX241+1</f>
        <v/>
      </c>
      <c r="BY245" s="82">
        <f>BY242-BY241+1</f>
        <v/>
      </c>
      <c r="BZ245" s="82">
        <f>BZ242-BZ241+1</f>
        <v/>
      </c>
      <c r="CA245" s="82">
        <f>CA242-CA241+1</f>
        <v/>
      </c>
      <c r="CB245" s="82">
        <f>CB242-CB241+1</f>
        <v/>
      </c>
      <c r="CC245" s="82">
        <f>CC242-CC241+1</f>
        <v/>
      </c>
      <c r="CD245" s="82">
        <f>CD242-CD241+1</f>
        <v/>
      </c>
      <c r="CE245" s="82">
        <f>CE242-CE241+1</f>
        <v/>
      </c>
      <c r="CF245" s="82">
        <f>CF242-CF241+1</f>
        <v/>
      </c>
      <c r="CG245" s="82">
        <f>CG242-CG241+1</f>
        <v/>
      </c>
      <c r="CH245" s="82">
        <f>CH242-CH241+1</f>
        <v/>
      </c>
      <c r="CI245" s="82">
        <f>CI242-CI241+1</f>
        <v/>
      </c>
      <c r="CJ245" s="82">
        <f>CJ242-CJ241+1</f>
        <v/>
      </c>
      <c r="CK245" s="82">
        <f>CK242-CK241+1</f>
        <v/>
      </c>
    </row>
    <row r="246" outlineLevel="1">
      <c r="A246" s="44" t="inlineStr">
        <is>
          <t>Year Days</t>
        </is>
      </c>
      <c r="B246" s="82">
        <f>B244-B243+1</f>
        <v/>
      </c>
      <c r="C246" s="82">
        <f>C244-C243+1</f>
        <v/>
      </c>
      <c r="D246" s="82">
        <f>D244-D243+1</f>
        <v/>
      </c>
      <c r="E246" s="82">
        <f>E244-E243+1</f>
        <v/>
      </c>
      <c r="F246" s="82">
        <f>F244-F243+1</f>
        <v/>
      </c>
      <c r="G246" s="82">
        <f>G244-G243+1</f>
        <v/>
      </c>
      <c r="H246" s="82">
        <f>H244-H243+1</f>
        <v/>
      </c>
      <c r="I246" s="82">
        <f>I244-I243+1</f>
        <v/>
      </c>
      <c r="J246" s="82">
        <f>J244-J243+1</f>
        <v/>
      </c>
      <c r="K246" s="82">
        <f>K244-K243+1</f>
        <v/>
      </c>
      <c r="L246" s="82">
        <f>L244-L243+1</f>
        <v/>
      </c>
      <c r="M246" s="82">
        <f>M244-M243+1</f>
        <v/>
      </c>
      <c r="N246" s="82">
        <f>N244-N243+1</f>
        <v/>
      </c>
      <c r="O246" s="82">
        <f>O244-O243+1</f>
        <v/>
      </c>
      <c r="P246" s="82">
        <f>P244-P243+1</f>
        <v/>
      </c>
      <c r="Q246" s="82">
        <f>Q244-Q243+1</f>
        <v/>
      </c>
      <c r="R246" s="82">
        <f>R244-R243+1</f>
        <v/>
      </c>
      <c r="S246" s="82">
        <f>S244-S243+1</f>
        <v/>
      </c>
      <c r="T246" s="82">
        <f>T244-T243+1</f>
        <v/>
      </c>
      <c r="U246" s="82">
        <f>U244-U243+1</f>
        <v/>
      </c>
      <c r="V246" s="82">
        <f>V244-V243+1</f>
        <v/>
      </c>
      <c r="W246" s="82">
        <f>W244-W243+1</f>
        <v/>
      </c>
      <c r="X246" s="82">
        <f>X244-X243+1</f>
        <v/>
      </c>
      <c r="Y246" s="82">
        <f>Y244-Y243+1</f>
        <v/>
      </c>
      <c r="Z246" s="82">
        <f>Z244-Z243+1</f>
        <v/>
      </c>
      <c r="AA246" s="82">
        <f>AA244-AA243+1</f>
        <v/>
      </c>
      <c r="AB246" s="82">
        <f>AB244-AB243+1</f>
        <v/>
      </c>
      <c r="AC246" s="82">
        <f>AC244-AC243+1</f>
        <v/>
      </c>
      <c r="AD246" s="82">
        <f>AD244-AD243+1</f>
        <v/>
      </c>
      <c r="AE246" s="82">
        <f>AE244-AE243+1</f>
        <v/>
      </c>
      <c r="AF246" s="82">
        <f>AF244-AF243+1</f>
        <v/>
      </c>
      <c r="AG246" s="82">
        <f>AG244-AG243+1</f>
        <v/>
      </c>
      <c r="AH246" s="82">
        <f>AH244-AH243+1</f>
        <v/>
      </c>
      <c r="AI246" s="82">
        <f>AI244-AI243+1</f>
        <v/>
      </c>
      <c r="AJ246" s="82">
        <f>AJ244-AJ243+1</f>
        <v/>
      </c>
      <c r="AK246" s="82">
        <f>AK244-AK243+1</f>
        <v/>
      </c>
      <c r="AL246" s="82">
        <f>AL244-AL243+1</f>
        <v/>
      </c>
      <c r="AM246" s="82">
        <f>AM244-AM243+1</f>
        <v/>
      </c>
      <c r="AN246" s="82">
        <f>AN244-AN243+1</f>
        <v/>
      </c>
      <c r="AO246" s="82">
        <f>AO244-AO243+1</f>
        <v/>
      </c>
      <c r="AP246" s="82">
        <f>AP244-AP243+1</f>
        <v/>
      </c>
      <c r="AQ246" s="82">
        <f>AQ244-AQ243+1</f>
        <v/>
      </c>
      <c r="AR246" s="82">
        <f>AR244-AR243+1</f>
        <v/>
      </c>
      <c r="AS246" s="82">
        <f>AS244-AS243+1</f>
        <v/>
      </c>
      <c r="AT246" s="82">
        <f>AT244-AT243+1</f>
        <v/>
      </c>
      <c r="AU246" s="82">
        <f>AU244-AU243+1</f>
        <v/>
      </c>
      <c r="AV246" s="82">
        <f>AV244-AV243+1</f>
        <v/>
      </c>
      <c r="AW246" s="82">
        <f>AW244-AW243+1</f>
        <v/>
      </c>
      <c r="AX246" s="82">
        <f>AX244-AX243+1</f>
        <v/>
      </c>
      <c r="AY246" s="82">
        <f>AY244-AY243+1</f>
        <v/>
      </c>
      <c r="AZ246" s="82">
        <f>AZ244-AZ243+1</f>
        <v/>
      </c>
      <c r="BA246" s="82">
        <f>BA244-BA243+1</f>
        <v/>
      </c>
      <c r="BB246" s="82">
        <f>BB244-BB243+1</f>
        <v/>
      </c>
      <c r="BC246" s="82">
        <f>BC244-BC243+1</f>
        <v/>
      </c>
      <c r="BD246" s="82">
        <f>BD244-BD243+1</f>
        <v/>
      </c>
      <c r="BE246" s="82">
        <f>BE244-BE243+1</f>
        <v/>
      </c>
      <c r="BF246" s="82">
        <f>BF244-BF243+1</f>
        <v/>
      </c>
      <c r="BG246" s="82">
        <f>BG244-BG243+1</f>
        <v/>
      </c>
      <c r="BH246" s="82">
        <f>BH244-BH243+1</f>
        <v/>
      </c>
      <c r="BI246" s="82">
        <f>BI244-BI243+1</f>
        <v/>
      </c>
      <c r="BJ246" s="82">
        <f>BJ244-BJ243+1</f>
        <v/>
      </c>
      <c r="BK246" s="82">
        <f>BK244-BK243+1</f>
        <v/>
      </c>
      <c r="BL246" s="82">
        <f>BL244-BL243+1</f>
        <v/>
      </c>
      <c r="BM246" s="82">
        <f>BM244-BM243+1</f>
        <v/>
      </c>
      <c r="BN246" s="82">
        <f>BN244-BN243+1</f>
        <v/>
      </c>
      <c r="BO246" s="82">
        <f>BO244-BO243+1</f>
        <v/>
      </c>
      <c r="BP246" s="82">
        <f>BP244-BP243+1</f>
        <v/>
      </c>
      <c r="BQ246" s="82">
        <f>BQ244-BQ243+1</f>
        <v/>
      </c>
      <c r="BR246" s="82">
        <f>BR244-BR243+1</f>
        <v/>
      </c>
      <c r="BS246" s="82">
        <f>BS244-BS243+1</f>
        <v/>
      </c>
      <c r="BT246" s="82">
        <f>BT244-BT243+1</f>
        <v/>
      </c>
      <c r="BU246" s="82">
        <f>BU244-BU243+1</f>
        <v/>
      </c>
      <c r="BV246" s="82">
        <f>BV244-BV243+1</f>
        <v/>
      </c>
      <c r="BW246" s="82">
        <f>BW244-BW243+1</f>
        <v/>
      </c>
      <c r="BX246" s="82">
        <f>BX244-BX243+1</f>
        <v/>
      </c>
      <c r="BY246" s="82">
        <f>BY244-BY243+1</f>
        <v/>
      </c>
      <c r="BZ246" s="82">
        <f>BZ244-BZ243+1</f>
        <v/>
      </c>
      <c r="CA246" s="82">
        <f>CA244-CA243+1</f>
        <v/>
      </c>
      <c r="CB246" s="82">
        <f>CB244-CB243+1</f>
        <v/>
      </c>
      <c r="CC246" s="82">
        <f>CC244-CC243+1</f>
        <v/>
      </c>
      <c r="CD246" s="82">
        <f>CD244-CD243+1</f>
        <v/>
      </c>
      <c r="CE246" s="82">
        <f>CE244-CE243+1</f>
        <v/>
      </c>
      <c r="CF246" s="82">
        <f>CF244-CF243+1</f>
        <v/>
      </c>
      <c r="CG246" s="82">
        <f>CG244-CG243+1</f>
        <v/>
      </c>
      <c r="CH246" s="82">
        <f>CH244-CH243+1</f>
        <v/>
      </c>
      <c r="CI246" s="82">
        <f>CI244-CI243+1</f>
        <v/>
      </c>
      <c r="CJ246" s="82">
        <f>CJ244-CJ243+1</f>
        <v/>
      </c>
      <c r="CK246" s="82">
        <f>CK244-CK243+1</f>
        <v/>
      </c>
    </row>
    <row r="247" outlineLevel="1">
      <c r="A247" s="44" t="inlineStr">
        <is>
          <t>Annualization Factor</t>
        </is>
      </c>
      <c r="B247" s="47">
        <f>+B246/B245</f>
        <v/>
      </c>
      <c r="C247" s="47">
        <f>+C246/C245</f>
        <v/>
      </c>
      <c r="D247" s="47">
        <f>+D246/D245</f>
        <v/>
      </c>
      <c r="E247" s="47">
        <f>+E246/E245</f>
        <v/>
      </c>
      <c r="F247" s="47">
        <f>+F246/F245</f>
        <v/>
      </c>
      <c r="G247" s="47">
        <f>+G246/G245</f>
        <v/>
      </c>
      <c r="H247" s="47">
        <f>+H246/H245</f>
        <v/>
      </c>
      <c r="I247" s="47">
        <f>+I246/I245</f>
        <v/>
      </c>
      <c r="J247" s="47">
        <f>+J246/J245</f>
        <v/>
      </c>
      <c r="K247" s="47">
        <f>+K246/K245</f>
        <v/>
      </c>
      <c r="L247" s="47">
        <f>+L246/L245</f>
        <v/>
      </c>
      <c r="M247" s="47">
        <f>+M246/M245</f>
        <v/>
      </c>
      <c r="N247" s="47">
        <f>N246/N245</f>
        <v/>
      </c>
      <c r="O247" s="47">
        <f>O246/O245</f>
        <v/>
      </c>
      <c r="P247" s="47">
        <f>P246/P245</f>
        <v/>
      </c>
      <c r="Q247" s="47">
        <f>Q246/Q245</f>
        <v/>
      </c>
      <c r="R247" s="47">
        <f>R246/R245</f>
        <v/>
      </c>
      <c r="S247" s="47">
        <f>S246/S245</f>
        <v/>
      </c>
      <c r="T247" s="47">
        <f>T246/T245</f>
        <v/>
      </c>
      <c r="U247" s="47">
        <f>U246/U245</f>
        <v/>
      </c>
      <c r="V247" s="47">
        <f>V246/V245</f>
        <v/>
      </c>
      <c r="W247" s="47">
        <f>W246/W245</f>
        <v/>
      </c>
      <c r="X247" s="47">
        <f>X246/X245</f>
        <v/>
      </c>
      <c r="Y247" s="47">
        <f>Y246/Y245</f>
        <v/>
      </c>
      <c r="Z247" s="47">
        <f>Z246/Z245</f>
        <v/>
      </c>
      <c r="AA247" s="47">
        <f>AA246/AA245</f>
        <v/>
      </c>
      <c r="AB247" s="47">
        <f>AB246/AB245</f>
        <v/>
      </c>
      <c r="AC247" s="47">
        <f>AC246/AC245</f>
        <v/>
      </c>
      <c r="AD247" s="47">
        <f>AD246/AD245</f>
        <v/>
      </c>
      <c r="AE247" s="47">
        <f>AE246/AE245</f>
        <v/>
      </c>
      <c r="AF247" s="47">
        <f>AF246/AF245</f>
        <v/>
      </c>
      <c r="AG247" s="47">
        <f>AG246/AG245</f>
        <v/>
      </c>
      <c r="AH247" s="47">
        <f>AH246/AH245</f>
        <v/>
      </c>
      <c r="AI247" s="47">
        <f>AI246/AI245</f>
        <v/>
      </c>
      <c r="AJ247" s="47">
        <f>AJ246/AJ245</f>
        <v/>
      </c>
      <c r="AK247" s="47">
        <f>AK246/AK245</f>
        <v/>
      </c>
      <c r="AL247" s="47">
        <f>AL246/AL245</f>
        <v/>
      </c>
      <c r="AM247" s="47">
        <f>AM246/AM245</f>
        <v/>
      </c>
      <c r="AN247" s="47">
        <f>AN246/AN245</f>
        <v/>
      </c>
      <c r="AO247" s="47">
        <f>AO246/AO245</f>
        <v/>
      </c>
      <c r="AP247" s="47">
        <f>AP246/AP245</f>
        <v/>
      </c>
      <c r="AQ247" s="47">
        <f>AQ246/AQ245</f>
        <v/>
      </c>
      <c r="AR247" s="47">
        <f>AR246/AR245</f>
        <v/>
      </c>
      <c r="AS247" s="47">
        <f>AS246/AS245</f>
        <v/>
      </c>
      <c r="AT247" s="47">
        <f>AT246/AT245</f>
        <v/>
      </c>
      <c r="AU247" s="47">
        <f>AU246/AU245</f>
        <v/>
      </c>
      <c r="AV247" s="47">
        <f>AV246/AV245</f>
        <v/>
      </c>
      <c r="AW247" s="47">
        <f>AW246/AW245</f>
        <v/>
      </c>
      <c r="AX247" s="47">
        <f>AX246/AX245</f>
        <v/>
      </c>
      <c r="AY247" s="47">
        <f>AY246/AY245</f>
        <v/>
      </c>
      <c r="AZ247" s="47">
        <f>AZ246/AZ245</f>
        <v/>
      </c>
      <c r="BA247" s="47">
        <f>BA246/BA245</f>
        <v/>
      </c>
      <c r="BB247" s="47">
        <f>BB246/BB245</f>
        <v/>
      </c>
      <c r="BC247" s="47">
        <f>BC246/BC245</f>
        <v/>
      </c>
      <c r="BD247" s="47">
        <f>BD246/BD245</f>
        <v/>
      </c>
      <c r="BE247" s="47">
        <f>BE246/BE245</f>
        <v/>
      </c>
      <c r="BF247" s="47">
        <f>BF246/BF245</f>
        <v/>
      </c>
      <c r="BG247" s="47">
        <f>BG246/BG245</f>
        <v/>
      </c>
      <c r="BH247" s="47">
        <f>BH246/BH245</f>
        <v/>
      </c>
      <c r="BI247" s="47">
        <f>BI246/BI245</f>
        <v/>
      </c>
      <c r="BJ247" s="47">
        <f>BJ246/BJ245</f>
        <v/>
      </c>
      <c r="BK247" s="47">
        <f>BK246/BK245</f>
        <v/>
      </c>
      <c r="BL247" s="47">
        <f>BL246/BL245</f>
        <v/>
      </c>
      <c r="BM247" s="47">
        <f>BM246/BM245</f>
        <v/>
      </c>
      <c r="BN247" s="47">
        <f>BN246/BN245</f>
        <v/>
      </c>
      <c r="BO247" s="47">
        <f>BO246/BO245</f>
        <v/>
      </c>
      <c r="BP247" s="47">
        <f>BP246/BP245</f>
        <v/>
      </c>
      <c r="BQ247" s="47">
        <f>BQ246/BQ245</f>
        <v/>
      </c>
      <c r="BR247" s="47">
        <f>BR246/BR245</f>
        <v/>
      </c>
      <c r="BS247" s="47">
        <f>BS246/BS245</f>
        <v/>
      </c>
      <c r="BT247" s="47">
        <f>BT246/BT245</f>
        <v/>
      </c>
      <c r="BU247" s="47">
        <f>BU246/BU245</f>
        <v/>
      </c>
      <c r="BV247" s="47">
        <f>BV246/BV245</f>
        <v/>
      </c>
      <c r="BW247" s="47">
        <f>BW246/BW245</f>
        <v/>
      </c>
      <c r="BX247" s="47">
        <f>BX246/BX245</f>
        <v/>
      </c>
      <c r="BY247" s="47">
        <f>BY246/BY245</f>
        <v/>
      </c>
      <c r="BZ247" s="47">
        <f>BZ246/BZ245</f>
        <v/>
      </c>
      <c r="CA247" s="47">
        <f>CA246/CA245</f>
        <v/>
      </c>
      <c r="CB247" s="47">
        <f>CB246/CB245</f>
        <v/>
      </c>
      <c r="CC247" s="47">
        <f>CC246/CC245</f>
        <v/>
      </c>
      <c r="CD247" s="47">
        <f>CD246/CD245</f>
        <v/>
      </c>
      <c r="CE247" s="47">
        <f>CE246/CE245</f>
        <v/>
      </c>
      <c r="CF247" s="47">
        <f>CF246/CF245</f>
        <v/>
      </c>
      <c r="CG247" s="47">
        <f>CG246/CG245</f>
        <v/>
      </c>
      <c r="CH247" s="47">
        <f>CH246/CH245</f>
        <v/>
      </c>
      <c r="CI247" s="47">
        <f>CI246/CI245</f>
        <v/>
      </c>
      <c r="CJ247" s="47">
        <f>CJ246/CJ245</f>
        <v/>
      </c>
      <c r="CK247" s="47">
        <f>CK246/CK245</f>
        <v/>
      </c>
    </row>
    <row r="248" outlineLevel="1">
      <c r="A248" s="44" t="inlineStr">
        <is>
          <t>Balance Sheet Annualization Factor</t>
        </is>
      </c>
    </row>
    <row r="249" outlineLevel="1">
      <c r="A249" s="427" t="n"/>
    </row>
    <row r="250" outlineLevel="1">
      <c r="A250" s="44" t="n"/>
      <c r="B250" s="892" t="n"/>
      <c r="C250" s="892" t="n"/>
      <c r="D250" s="892" t="n"/>
      <c r="E250" s="892" t="n"/>
      <c r="F250" s="892" t="n"/>
      <c r="G250" s="892" t="n"/>
      <c r="H250" s="936" t="n"/>
      <c r="I250" s="936" t="n"/>
      <c r="J250" s="936" t="n"/>
      <c r="K250" s="936" t="n"/>
      <c r="L250" s="936" t="n"/>
      <c r="M250" s="936" t="n"/>
      <c r="N250" s="936" t="n"/>
      <c r="O250" s="936" t="n"/>
      <c r="P250" s="936" t="n"/>
      <c r="Q250" s="936" t="n"/>
      <c r="R250" s="936" t="n"/>
      <c r="S250" s="936" t="n"/>
      <c r="T250" s="936" t="n"/>
      <c r="U250" s="936" t="n"/>
      <c r="V250" s="936" t="n"/>
      <c r="W250" s="936" t="n"/>
      <c r="X250" s="936" t="n"/>
      <c r="Y250" s="936" t="n"/>
      <c r="Z250" s="936" t="n"/>
      <c r="AA250" s="936" t="n"/>
      <c r="AB250" s="936" t="n"/>
      <c r="AC250" s="936" t="n"/>
      <c r="AD250" s="936" t="n"/>
      <c r="AE250" s="936" t="n"/>
      <c r="AF250" s="936" t="n"/>
      <c r="AG250" s="936" t="n"/>
      <c r="AH250" s="936" t="n"/>
      <c r="AI250" s="936" t="n"/>
      <c r="AJ250" s="936" t="n"/>
      <c r="AK250" s="936" t="n"/>
      <c r="AL250" s="936" t="n"/>
      <c r="AM250" s="936" t="n"/>
      <c r="AN250" s="936" t="n"/>
      <c r="AO250" s="936" t="n"/>
      <c r="AP250" s="936" t="n"/>
      <c r="AQ250" s="936" t="n"/>
      <c r="AR250" s="936" t="n"/>
      <c r="AS250" s="936" t="n"/>
      <c r="AT250" s="936" t="n"/>
      <c r="AU250" s="936" t="n"/>
      <c r="AV250" s="936" t="n"/>
      <c r="AW250" s="936" t="n"/>
      <c r="AX250" s="936" t="n"/>
      <c r="AY250" s="936" t="n"/>
      <c r="AZ250" s="936" t="n"/>
      <c r="BA250" s="936" t="n"/>
      <c r="BB250" s="936" t="n"/>
      <c r="BC250" s="936" t="n"/>
      <c r="BD250" s="936" t="n"/>
      <c r="BE250" s="936" t="n"/>
      <c r="BF250" s="936" t="n"/>
      <c r="BG250" s="936" t="n"/>
      <c r="BH250" s="936" t="n"/>
      <c r="BI250" s="936" t="n"/>
      <c r="BJ250" s="936" t="n"/>
      <c r="BK250" s="936" t="n"/>
      <c r="BL250" s="936" t="n"/>
      <c r="BM250" s="936" t="n"/>
      <c r="BN250" s="936" t="n"/>
      <c r="BO250" s="936" t="n"/>
      <c r="BP250" s="936" t="n"/>
      <c r="BQ250" s="936" t="n"/>
      <c r="BR250" s="936" t="n"/>
      <c r="BS250" s="936" t="n"/>
      <c r="BT250" s="936" t="n"/>
      <c r="BU250" s="936" t="n"/>
      <c r="BV250" s="936" t="n"/>
      <c r="BW250" s="936" t="n"/>
      <c r="BX250" s="936" t="n"/>
      <c r="BY250" s="936" t="n"/>
      <c r="BZ250" s="44" t="n"/>
      <c r="CA250" s="44" t="n"/>
    </row>
    <row r="251" customFormat="1" s="283">
      <c r="A251" s="534" t="inlineStr">
        <is>
          <t>check</t>
        </is>
      </c>
      <c r="Y251" s="468" t="n"/>
    </row>
    <row r="252"/>
    <row r="253"/>
    <row r="254"/>
    <row r="255"/>
    <row r="256"/>
    <row r="257"/>
    <row r="258"/>
    <row r="259"/>
    <row r="260"/>
    <row r="261"/>
    <row r="262"/>
    <row r="263"/>
    <row r="264"/>
    <row r="265"/>
    <row r="266"/>
    <row r="267"/>
    <row r="268"/>
    <row r="269"/>
    <row r="270"/>
    <row r="271"/>
    <row r="272"/>
  </sheetData>
  <pageMargins left="0.7" right="0.7" top="0.75" bottom="0.75" header="0.3" footer="0.3"/>
  <pageSetup orientation="portrait" paperSize="9"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DR283"/>
  <sheetViews>
    <sheetView tabSelected="1" zoomScale="115" zoomScaleNormal="115" workbookViewId="0">
      <pane xSplit="13" ySplit="7" topLeftCell="BI13" activePane="bottomRight" state="frozen"/>
      <selection pane="topRight" activeCell="N1" sqref="N1"/>
      <selection pane="bottomLeft" activeCell="A8" sqref="A8"/>
      <selection pane="bottomRight" activeCell="A35" sqref="A35"/>
    </sheetView>
  </sheetViews>
  <sheetFormatPr baseColWidth="10" defaultColWidth="8.83203125" defaultRowHeight="13"/>
  <cols>
    <col width="78.33203125" bestFit="1" customWidth="1" min="1" max="1"/>
    <col hidden="1" width="9.33203125" customWidth="1" min="2" max="13"/>
    <col width="12.6640625" customWidth="1" min="14" max="55"/>
    <col width="10.33203125" bestFit="1" customWidth="1" min="56" max="56"/>
    <col width="10.6640625" bestFit="1" customWidth="1" min="57" max="57"/>
    <col width="10.33203125" bestFit="1" customWidth="1" min="58" max="58"/>
    <col width="10.6640625" customWidth="1" min="59" max="59"/>
    <col width="10.6640625" bestFit="1" customWidth="1" min="60" max="60"/>
    <col width="10.5" customWidth="1" min="61" max="61"/>
    <col width="10.6640625" customWidth="1" min="62" max="62"/>
    <col width="10.5" customWidth="1" min="63" max="64"/>
    <col width="11.33203125" customWidth="1" min="65" max="67"/>
    <col width="12.83203125" customWidth="1" min="68" max="68"/>
    <col width="11" customWidth="1" min="69" max="69"/>
    <col width="11.33203125" customWidth="1" min="70" max="70"/>
    <col width="8.83203125" customWidth="1" style="660" min="71" max="71"/>
    <col width="9.33203125" customWidth="1" min="86" max="89"/>
    <col width="9.33203125" customWidth="1" min="90" max="103"/>
    <col width="12.6640625" customWidth="1" min="105" max="122"/>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840">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c r="DA1" s="23" t="n"/>
      <c r="DB1" s="23" t="n"/>
      <c r="DC1" s="23" t="n"/>
      <c r="DD1" s="23" t="n"/>
      <c r="DE1" s="23" t="n"/>
      <c r="DF1" s="23" t="n"/>
      <c r="DG1" s="23" t="n"/>
      <c r="DH1" s="23" t="n"/>
      <c r="DI1" s="23" t="n"/>
      <c r="DJ1" s="23" t="n"/>
      <c r="DK1" s="23" t="n"/>
      <c r="DL1" s="23" t="n"/>
      <c r="DM1" s="23" t="n"/>
      <c r="DN1" s="23" t="n"/>
      <c r="DO1" s="23" t="n"/>
      <c r="DP1" s="23" t="n"/>
      <c r="DQ1" s="23" t="n"/>
      <c r="DR1" s="23" t="n"/>
    </row>
    <row r="2">
      <c r="A2" t="inlineStr">
        <is>
          <t>Reported</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841">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842">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c r="DA5" s="22" t="n"/>
      <c r="DB5" s="22" t="n"/>
      <c r="DC5" s="22" t="n"/>
      <c r="DD5" s="22" t="n"/>
      <c r="DE5" s="22" t="n"/>
      <c r="DF5" s="22" t="n"/>
      <c r="DG5" s="22" t="n"/>
      <c r="DH5" s="22" t="n"/>
      <c r="DI5" s="22" t="n"/>
      <c r="DJ5" s="22" t="n"/>
      <c r="DK5" s="22" t="n"/>
      <c r="DL5" s="22" t="n"/>
      <c r="DM5" s="22" t="n"/>
      <c r="DN5" s="22" t="n"/>
      <c r="DO5" s="22" t="n"/>
      <c r="DP5" s="22" t="n"/>
      <c r="DQ5" s="22" t="n"/>
      <c r="DR5" s="22" t="n"/>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T7" s="39" t="n"/>
      <c r="BU7" s="39" t="n"/>
      <c r="BV7" s="39" t="n"/>
      <c r="BW7" s="39" t="n"/>
      <c r="BX7" s="39" t="n"/>
      <c r="BY7" s="39" t="n"/>
      <c r="BZ7" s="39" t="n"/>
      <c r="CA7" s="39" t="n"/>
      <c r="CB7" s="39" t="n"/>
      <c r="CC7" s="39" t="n"/>
      <c r="CD7" s="39" t="n"/>
      <c r="CE7" s="39" t="n"/>
      <c r="CF7" s="39" t="n"/>
      <c r="CG7" s="39" t="n"/>
      <c r="CH7" s="39" t="n"/>
      <c r="CI7" s="39" t="n"/>
      <c r="CJ7" s="39" t="n"/>
      <c r="CK7" s="39" t="n"/>
    </row>
    <row r="8">
      <c r="AI8" s="20" t="n"/>
      <c r="AJ8" s="20" t="n"/>
      <c r="AK8" s="20" t="n"/>
      <c r="AL8" s="20" t="n"/>
      <c r="AM8" s="20" t="n"/>
      <c r="AN8" s="20" t="n"/>
      <c r="AO8" s="20" t="n"/>
      <c r="AP8" s="20" t="n"/>
      <c r="AQ8" s="20" t="n"/>
      <c r="AR8" s="20" t="n"/>
      <c r="AS8" s="20" t="n"/>
      <c r="AT8" s="20" t="n"/>
      <c r="AU8" s="20" t="n"/>
      <c r="AV8" s="20" t="n"/>
      <c r="AW8" s="20" t="n"/>
      <c r="AX8" s="20" t="n"/>
      <c r="AY8" s="20" t="n"/>
      <c r="AZ8" s="20" t="n"/>
      <c r="BA8" s="20" t="n"/>
      <c r="BB8" s="20" t="n"/>
      <c r="BC8" s="20" t="n"/>
      <c r="BD8" s="20" t="n"/>
      <c r="BE8" s="20" t="n"/>
      <c r="BF8" s="20" t="n"/>
      <c r="BG8" s="20" t="n"/>
      <c r="BH8" s="20" t="n"/>
      <c r="BI8" s="20" t="n"/>
      <c r="BJ8" s="20" t="n"/>
      <c r="BK8" s="20" t="n"/>
      <c r="BL8" s="20" t="n"/>
      <c r="BM8" s="20" t="n"/>
      <c r="BN8" s="20" t="n"/>
      <c r="BO8" s="20" t="n"/>
      <c r="BP8" s="20" t="n"/>
      <c r="BQ8" s="20" t="n"/>
      <c r="BR8" s="20" t="n"/>
      <c r="BT8" s="20" t="n"/>
      <c r="BU8" s="20" t="n"/>
      <c r="BV8" s="20" t="n"/>
      <c r="BW8" s="20" t="n"/>
      <c r="BX8" s="20" t="n"/>
      <c r="BY8" s="20" t="n"/>
      <c r="BZ8" s="20" t="n"/>
      <c r="CA8" s="20" t="n"/>
      <c r="CB8" s="20" t="n"/>
      <c r="CC8" s="20" t="n"/>
      <c r="CD8" s="20" t="n"/>
      <c r="CE8" s="20" t="n"/>
      <c r="CF8" s="20" t="n"/>
      <c r="CG8" s="20" t="n"/>
      <c r="CH8" s="20" t="n"/>
      <c r="CI8" s="20" t="n"/>
      <c r="CJ8" s="20" t="n"/>
      <c r="CK8" s="20" t="n"/>
    </row>
    <row r="9">
      <c r="A9" s="81" t="inlineStr">
        <is>
          <t>Segment Information (in '000 USD) - YTD</t>
        </is>
      </c>
      <c r="B9" s="50" t="n"/>
      <c r="C9" s="50" t="n"/>
      <c r="D9" s="50" t="n"/>
      <c r="E9" s="50" t="n"/>
      <c r="F9" s="50" t="n"/>
      <c r="G9" s="50" t="n"/>
      <c r="H9" s="50" t="n"/>
      <c r="I9" s="50" t="n"/>
      <c r="J9" s="50" t="n"/>
      <c r="K9" s="50" t="n"/>
      <c r="L9" s="50" t="n"/>
      <c r="M9" s="50" t="n"/>
      <c r="N9" s="50" t="n"/>
      <c r="O9" s="50" t="n"/>
      <c r="P9" s="50" t="n"/>
      <c r="Q9" s="50" t="n"/>
      <c r="R9" s="50" t="n"/>
      <c r="S9" s="50"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S9" s="20" t="n"/>
    </row>
    <row r="10">
      <c r="B10" s="50" t="n"/>
      <c r="C10" s="50" t="n"/>
      <c r="D10" s="50" t="n"/>
      <c r="E10" s="50" t="n"/>
      <c r="F10" s="50" t="n"/>
      <c r="G10" s="50" t="n"/>
      <c r="H10" s="50" t="n"/>
      <c r="I10" s="50" t="n"/>
      <c r="J10" s="50" t="n"/>
      <c r="K10" s="50" t="n"/>
      <c r="L10" s="50" t="n"/>
      <c r="M10" s="50" t="n"/>
      <c r="N10" s="50" t="n"/>
      <c r="O10" s="50" t="n"/>
      <c r="P10" s="50" t="n"/>
      <c r="Q10" s="50" t="n"/>
      <c r="R10" s="50" t="n"/>
      <c r="S10" s="50" t="n"/>
      <c r="T10" s="20" t="n"/>
      <c r="U10" s="20" t="n"/>
      <c r="V10" s="20" t="n"/>
      <c r="W10" s="20" t="n"/>
      <c r="X10" s="20" t="n"/>
      <c r="Y10" s="20" t="n"/>
      <c r="Z10" s="20" t="n"/>
      <c r="AA10" s="20" t="n"/>
      <c r="AB10" s="20" t="n"/>
      <c r="AC10" s="20" t="n"/>
      <c r="AD10" s="20" t="n"/>
      <c r="AE10" s="20" t="n"/>
      <c r="AF10" s="20" t="n"/>
      <c r="AG10" s="20" t="n"/>
      <c r="AH10" s="20" t="n"/>
      <c r="AI10" s="20" t="n"/>
      <c r="AJ10" s="20" t="n"/>
      <c r="AK10" s="20" t="n"/>
      <c r="AL10" s="20" t="n"/>
      <c r="AM10" s="20" t="n"/>
      <c r="AN10" s="20" t="n"/>
      <c r="AO10" s="20" t="n"/>
      <c r="AP10" s="20" t="n"/>
      <c r="AQ10" s="20" t="n"/>
      <c r="AR10" s="20" t="n"/>
      <c r="AS10" s="20" t="n"/>
    </row>
    <row r="11">
      <c r="A11" s="22" t="inlineStr">
        <is>
          <t>Region breakdown</t>
        </is>
      </c>
      <c r="B11" s="50" t="n"/>
      <c r="C11" s="50" t="n"/>
      <c r="D11" s="50" t="n"/>
      <c r="E11" s="50" t="n"/>
      <c r="F11" s="50" t="n"/>
      <c r="G11" s="50" t="n"/>
      <c r="H11" s="50" t="n"/>
      <c r="I11" s="50" t="n"/>
      <c r="J11" s="50" t="n"/>
      <c r="K11" s="50" t="n"/>
      <c r="L11" s="50" t="n"/>
      <c r="M11" s="50" t="n"/>
      <c r="N11" s="50" t="n"/>
      <c r="O11" s="50" t="n"/>
      <c r="P11" s="50" t="n"/>
      <c r="Q11" s="50" t="n"/>
      <c r="R11" s="50" t="n"/>
      <c r="S11" s="50" t="n"/>
      <c r="T11" s="20" t="n"/>
      <c r="U11" s="20" t="n"/>
      <c r="V11" s="20" t="n"/>
      <c r="W11" s="20" t="n"/>
      <c r="X11" s="20" t="n"/>
      <c r="Y11" s="20" t="n"/>
      <c r="Z11" s="20" t="n"/>
      <c r="AA11" s="20" t="n"/>
      <c r="AC11" s="20" t="n"/>
      <c r="AD11" s="20" t="n"/>
      <c r="AE11" s="20" t="n"/>
      <c r="AF11" s="20" t="n"/>
      <c r="AG11" s="145" t="n"/>
      <c r="AH11" s="20" t="n"/>
      <c r="AI11" s="20" t="n"/>
      <c r="AJ11" s="20" t="n"/>
      <c r="AK11" s="20" t="n"/>
      <c r="AL11" s="20" t="n"/>
      <c r="AM11" s="20" t="n"/>
      <c r="AN11" s="20" t="n"/>
      <c r="AO11" s="20" t="n"/>
      <c r="AP11" s="20" t="n"/>
      <c r="AQ11" s="20" t="n"/>
      <c r="AR11" s="20" t="n"/>
      <c r="AS11" s="20" t="n"/>
    </row>
    <row r="12">
      <c r="A12" s="74" t="inlineStr">
        <is>
          <t>United States and other North America</t>
        </is>
      </c>
      <c r="B12" s="50" t="n"/>
      <c r="C12" s="50" t="n"/>
      <c r="D12" s="50" t="n"/>
      <c r="E12" s="50" t="n"/>
      <c r="F12" s="50" t="n"/>
      <c r="G12" s="50" t="n"/>
      <c r="H12" s="50" t="n"/>
      <c r="I12" s="50" t="n"/>
      <c r="J12" s="50" t="n"/>
      <c r="K12" s="50" t="n"/>
      <c r="L12" s="50" t="n"/>
      <c r="M12" s="50" t="n"/>
      <c r="N12" s="145" t="n"/>
      <c r="O12" s="145" t="n"/>
      <c r="P12" s="145" t="n"/>
      <c r="Q12" s="145" t="n">
        <v>61706</v>
      </c>
      <c r="R12" s="145" t="n"/>
      <c r="S12" s="145" t="n"/>
      <c r="T12" s="145" t="n"/>
      <c r="U12" s="145" t="n">
        <v>86181</v>
      </c>
      <c r="V12" s="145" t="n"/>
      <c r="W12" s="145" t="n"/>
      <c r="X12" s="145" t="n"/>
      <c r="Y12" s="145" t="n">
        <v>108316</v>
      </c>
      <c r="Z12" s="145" t="n">
        <v>24231</v>
      </c>
      <c r="AA12" s="145" t="n">
        <v>52878</v>
      </c>
      <c r="AB12" s="145" t="n">
        <v>84275</v>
      </c>
      <c r="AC12" s="145" t="n">
        <v>116935</v>
      </c>
      <c r="AD12" s="145" t="n">
        <v>22848</v>
      </c>
      <c r="AE12" s="145" t="n">
        <v>47613</v>
      </c>
      <c r="AF12" s="145" t="n">
        <v>72724</v>
      </c>
      <c r="AG12" s="145" t="n">
        <v>113233</v>
      </c>
      <c r="AH12" s="145" t="n">
        <v>28638</v>
      </c>
      <c r="AI12" s="145" t="n">
        <v>55331</v>
      </c>
      <c r="AJ12" s="145" t="n">
        <v>91586</v>
      </c>
      <c r="AK12" s="145" t="n">
        <v>131525</v>
      </c>
      <c r="AL12" s="145" t="n">
        <v>31727</v>
      </c>
      <c r="AM12" s="145" t="n">
        <v>64068</v>
      </c>
      <c r="AN12" s="145" t="n">
        <v>100806</v>
      </c>
      <c r="AO12" s="145" t="n">
        <v>141184</v>
      </c>
      <c r="AP12" s="145" t="n">
        <v>37905</v>
      </c>
      <c r="AQ12" s="145" t="n">
        <v>76869</v>
      </c>
      <c r="AR12" s="145" t="n">
        <v>118432</v>
      </c>
      <c r="AS12" s="145" t="n">
        <v>165363</v>
      </c>
      <c r="AT12" s="145" t="n">
        <v>39177</v>
      </c>
      <c r="AU12" s="145" t="n">
        <v>86943</v>
      </c>
      <c r="AV12" s="145" t="n">
        <v>140705</v>
      </c>
      <c r="AW12" s="145" t="n">
        <v>202742</v>
      </c>
      <c r="AX12" s="145" t="n">
        <v>64807</v>
      </c>
      <c r="AY12" s="145" t="n">
        <v>128947</v>
      </c>
      <c r="AZ12" s="145" t="n">
        <v>199947</v>
      </c>
      <c r="BA12" s="145" t="n">
        <v>280886</v>
      </c>
      <c r="BB12" s="145" t="n">
        <v>67339</v>
      </c>
      <c r="BC12" s="145" t="n">
        <v>121240</v>
      </c>
      <c r="BD12" s="145" t="n">
        <v>173972</v>
      </c>
      <c r="BE12" s="145" t="n">
        <v>246189</v>
      </c>
      <c r="BF12" s="145" t="n">
        <v>73384</v>
      </c>
      <c r="BG12" s="145" t="n">
        <v>139518</v>
      </c>
      <c r="BH12" s="145" t="n">
        <v>221123</v>
      </c>
      <c r="BI12" s="145" t="n">
        <v>314984</v>
      </c>
      <c r="BJ12" s="145" t="n">
        <v>77225</v>
      </c>
      <c r="BK12" s="145" t="n">
        <v>165376</v>
      </c>
      <c r="BL12" s="145" t="n">
        <v>247495</v>
      </c>
      <c r="BM12" s="145" t="n">
        <v>338713</v>
      </c>
      <c r="BN12" s="145" t="n">
        <v>76080</v>
      </c>
      <c r="BO12" s="145" t="n">
        <v>154300</v>
      </c>
      <c r="BP12" s="145" t="n">
        <v>225649</v>
      </c>
      <c r="BQ12" s="145" t="n">
        <v>313986</v>
      </c>
      <c r="BR12" s="145" t="n">
        <v>63964</v>
      </c>
      <c r="BS12" t="n">
        <v>76905</v>
      </c>
      <c r="BT12" t="inlineStr">
        <is>
          <t>IPGP-Financial-Data-Workbook-2024-Q2.xlsx|Key Metrics|6|93</t>
        </is>
      </c>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row>
    <row r="13">
      <c r="A13" s="74" t="inlineStr">
        <is>
          <t>Germany</t>
        </is>
      </c>
      <c r="B13" s="50" t="n"/>
      <c r="C13" s="50" t="n"/>
      <c r="D13" s="50" t="n"/>
      <c r="E13" s="50" t="n"/>
      <c r="F13" s="50" t="n"/>
      <c r="G13" s="50" t="n"/>
      <c r="H13" s="50" t="n"/>
      <c r="I13" s="50" t="n"/>
      <c r="J13" s="50" t="n"/>
      <c r="K13" s="50" t="n"/>
      <c r="L13" s="50" t="n"/>
      <c r="M13" s="50" t="n"/>
      <c r="N13" s="145" t="n"/>
      <c r="O13" s="145" t="n"/>
      <c r="P13" s="145" t="n"/>
      <c r="Q13" s="145" t="n">
        <v>46282</v>
      </c>
      <c r="R13" s="145" t="n"/>
      <c r="S13" s="145" t="n"/>
      <c r="T13" s="145" t="n"/>
      <c r="U13" s="145" t="n">
        <v>76279</v>
      </c>
      <c r="V13" s="145" t="n"/>
      <c r="W13" s="145" t="n"/>
      <c r="X13" s="145" t="n"/>
      <c r="Y13" s="145" t="n">
        <v>89848</v>
      </c>
      <c r="Z13" s="145" t="n">
        <v>14618</v>
      </c>
      <c r="AA13" s="145" t="n">
        <v>30849</v>
      </c>
      <c r="AB13" s="145" t="n">
        <v>48775</v>
      </c>
      <c r="AC13" s="145" t="n">
        <v>65147</v>
      </c>
      <c r="AD13" s="145" t="n">
        <v>14765</v>
      </c>
      <c r="AE13" s="145" t="n">
        <v>36187</v>
      </c>
      <c r="AF13" s="145" t="n">
        <v>56750</v>
      </c>
      <c r="AG13" s="145" t="n">
        <v>77404</v>
      </c>
      <c r="AH13" s="145" t="n">
        <v>22727</v>
      </c>
      <c r="AI13" s="145" t="n">
        <v>42053</v>
      </c>
      <c r="AJ13" s="145" t="n">
        <v>67786</v>
      </c>
      <c r="AK13" s="145" t="n">
        <v>93802</v>
      </c>
      <c r="AL13" s="145" t="n">
        <v>22875</v>
      </c>
      <c r="AM13" s="145" t="n">
        <v>46531</v>
      </c>
      <c r="AN13" s="145" t="n">
        <v>68661</v>
      </c>
      <c r="AO13" s="145" t="n">
        <v>90893</v>
      </c>
      <c r="AP13" s="145" t="n">
        <v>23362</v>
      </c>
      <c r="AQ13" s="145" t="n">
        <v>49321</v>
      </c>
      <c r="AR13" s="145" t="n">
        <v>83984</v>
      </c>
      <c r="AS13" s="145" t="n">
        <v>114608</v>
      </c>
      <c r="AT13" s="145" t="n">
        <v>33236</v>
      </c>
      <c r="AU13" s="145" t="n">
        <v>65225</v>
      </c>
      <c r="AV13" s="145" t="n">
        <v>86939</v>
      </c>
      <c r="AW13" s="145" t="n">
        <v>111259</v>
      </c>
      <c r="AX13" s="145" t="n">
        <v>18619</v>
      </c>
      <c r="AY13" s="145" t="n">
        <v>42283</v>
      </c>
      <c r="AZ13" s="145" t="n">
        <v>59487</v>
      </c>
      <c r="BA13" s="145" t="n">
        <v>81365</v>
      </c>
      <c r="BB13" s="145" t="n">
        <v>17411</v>
      </c>
      <c r="BC13" s="145" t="n">
        <v>35045</v>
      </c>
      <c r="BD13" s="145" t="n">
        <v>51208</v>
      </c>
      <c r="BE13" s="145" t="n">
        <v>65646</v>
      </c>
      <c r="BF13" s="145" t="n">
        <v>26260</v>
      </c>
      <c r="BG13" s="145" t="n">
        <v>48008</v>
      </c>
      <c r="BH13" s="145" t="n">
        <v>74840</v>
      </c>
      <c r="BI13" s="145" t="n">
        <v>101738</v>
      </c>
      <c r="BJ13" s="145" t="n">
        <v>27417</v>
      </c>
      <c r="BK13" s="145" t="n">
        <v>50209</v>
      </c>
      <c r="BL13" s="145" t="n">
        <v>70831</v>
      </c>
      <c r="BM13" s="145" t="n">
        <v>85491</v>
      </c>
      <c r="BN13" s="145" t="n">
        <v>19833</v>
      </c>
      <c r="BO13" s="145" t="n">
        <v>48795</v>
      </c>
      <c r="BP13" s="145" t="n">
        <v>72218</v>
      </c>
      <c r="BQ13" s="145" t="n">
        <v>88026</v>
      </c>
      <c r="BR13" s="145" t="n">
        <v>20019</v>
      </c>
      <c r="BS13" t="n">
        <v>20809</v>
      </c>
      <c r="BT13" t="inlineStr">
        <is>
          <t>IPGP-Financial-Data-Workbook-2024-Q2.xlsx|Key Metrics|7|93</t>
        </is>
      </c>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row>
    <row r="14">
      <c r="A14" s="74" t="inlineStr">
        <is>
          <t>Other including Eastern Europe/CIS</t>
        </is>
      </c>
      <c r="B14" s="50" t="n"/>
      <c r="C14" s="50" t="n"/>
      <c r="D14" s="50" t="n"/>
      <c r="E14" s="50" t="n"/>
      <c r="F14" s="50" t="n"/>
      <c r="G14" s="50" t="n"/>
      <c r="H14" s="50" t="n"/>
      <c r="I14" s="50" t="n"/>
      <c r="J14" s="50" t="n"/>
      <c r="K14" s="50" t="n"/>
      <c r="L14" s="50" t="n"/>
      <c r="M14" s="50" t="n"/>
      <c r="N14" s="145" t="n"/>
      <c r="O14" s="145" t="n"/>
      <c r="P14" s="145" t="n"/>
      <c r="Q14" s="145" t="n">
        <v>66174</v>
      </c>
      <c r="R14" s="145" t="n"/>
      <c r="S14" s="145" t="n"/>
      <c r="T14" s="145" t="n"/>
      <c r="U14" s="145" t="n">
        <v>103305</v>
      </c>
      <c r="V14" s="145" t="n"/>
      <c r="W14" s="145" t="n"/>
      <c r="X14" s="145" t="n"/>
      <c r="Y14" s="145" t="n">
        <v>110860</v>
      </c>
      <c r="Z14" s="145" t="n">
        <v>30719</v>
      </c>
      <c r="AA14" s="145" t="n">
        <v>61616</v>
      </c>
      <c r="AB14" s="145" t="n">
        <v>92865</v>
      </c>
      <c r="AC14" s="145" t="n">
        <v>140279</v>
      </c>
      <c r="AD14" s="145" t="n">
        <v>40527</v>
      </c>
      <c r="AE14" s="145" t="n">
        <v>83054</v>
      </c>
      <c r="AF14" s="145" t="n">
        <v>122890</v>
      </c>
      <c r="AG14" s="145" t="n">
        <v>173018</v>
      </c>
      <c r="AH14" s="145" t="n">
        <v>42364</v>
      </c>
      <c r="AI14" s="145" t="n">
        <v>93581</v>
      </c>
      <c r="AJ14" s="145" t="n">
        <v>144341</v>
      </c>
      <c r="AK14" s="145" t="n">
        <v>189123</v>
      </c>
      <c r="AL14" s="145" t="n">
        <v>45420</v>
      </c>
      <c r="AM14" s="145" t="n">
        <v>98739</v>
      </c>
      <c r="AN14" s="145" t="n">
        <v>155394</v>
      </c>
      <c r="AO14" s="145" t="n">
        <v>224836</v>
      </c>
      <c r="AP14" s="145" t="n">
        <v>62584</v>
      </c>
      <c r="AQ14" s="145" t="n">
        <v>128700</v>
      </c>
      <c r="AR14" s="145" t="n">
        <v>212159</v>
      </c>
      <c r="AS14" s="145" t="n">
        <v>290067</v>
      </c>
      <c r="AT14" s="145" t="n">
        <v>82978</v>
      </c>
      <c r="AU14" s="145" t="n">
        <v>159325</v>
      </c>
      <c r="AV14" s="145" t="n">
        <v>225717</v>
      </c>
      <c r="AW14" s="145" t="n">
        <v>296917</v>
      </c>
      <c r="AX14" s="145" t="n">
        <v>69200</v>
      </c>
      <c r="AY14" s="145" t="n">
        <v>130331</v>
      </c>
      <c r="AZ14" s="145" t="n">
        <v>192527</v>
      </c>
      <c r="BA14" s="145" t="n">
        <v>249871</v>
      </c>
      <c r="BB14" s="145" t="n">
        <v>57232</v>
      </c>
      <c r="BC14" s="145" t="n">
        <v>103779</v>
      </c>
      <c r="BD14" s="145" t="n">
        <v>158686</v>
      </c>
      <c r="BE14" s="145" t="n">
        <v>219540</v>
      </c>
      <c r="BF14" s="145" t="n">
        <v>58593</v>
      </c>
      <c r="BG14" s="145" t="n">
        <v>132932</v>
      </c>
      <c r="BH14" s="145" t="n">
        <v>212709</v>
      </c>
      <c r="BI14" s="145" t="n">
        <v>289136</v>
      </c>
      <c r="BJ14" s="145" t="n">
        <v>80000</v>
      </c>
      <c r="BK14" s="145" t="n">
        <v>155407</v>
      </c>
      <c r="BL14" s="145" t="n">
        <v>227739</v>
      </c>
      <c r="BM14" s="145" t="n">
        <v>294481</v>
      </c>
      <c r="BN14" s="145" t="n">
        <v>80420</v>
      </c>
      <c r="BO14" s="145" t="n">
        <v>153285</v>
      </c>
      <c r="BP14" s="145" t="n">
        <v>225231</v>
      </c>
      <c r="BQ14" s="145" t="n">
        <v>291336</v>
      </c>
      <c r="BR14" s="145" t="n">
        <v>59497</v>
      </c>
      <c r="BS14" t="n">
        <v>53722</v>
      </c>
      <c r="BT14" t="inlineStr">
        <is>
          <t>IPGP-Financial-Data-Workbook-2024-Q2.xlsx|Key Metrics|8|93</t>
        </is>
      </c>
      <c r="DA14" s="406" t="n"/>
      <c r="DB14" s="406" t="n"/>
      <c r="DC14" s="406" t="n"/>
      <c r="DD14" s="406" t="n"/>
      <c r="DE14" s="406" t="n"/>
      <c r="DF14" s="406" t="n"/>
      <c r="DG14" s="406" t="n"/>
      <c r="DH14" s="406" t="n"/>
      <c r="DI14" s="406" t="n"/>
      <c r="DJ14" s="406" t="n"/>
      <c r="DK14" s="406" t="n"/>
      <c r="DL14" s="406" t="n"/>
      <c r="DM14" s="406" t="n"/>
      <c r="DN14" s="406" t="n"/>
      <c r="DO14" s="406" t="n"/>
      <c r="DP14" s="406" t="n"/>
      <c r="DQ14" s="406" t="n"/>
      <c r="DR14" s="406" t="n"/>
    </row>
    <row r="15">
      <c r="A15" s="74" t="inlineStr">
        <is>
          <t>China</t>
        </is>
      </c>
      <c r="B15" s="50" t="n"/>
      <c r="C15" s="50" t="n"/>
      <c r="D15" s="50" t="n"/>
      <c r="E15" s="50" t="n"/>
      <c r="F15" s="50" t="n"/>
      <c r="G15" s="50" t="n"/>
      <c r="H15" s="50" t="n"/>
      <c r="I15" s="50" t="n"/>
      <c r="J15" s="50" t="n"/>
      <c r="K15" s="50" t="n"/>
      <c r="L15" s="50" t="n"/>
      <c r="M15" s="50" t="n"/>
      <c r="N15" s="145" t="n"/>
      <c r="O15" s="145" t="n"/>
      <c r="P15" s="145" t="n"/>
      <c r="Q15" s="145" t="n">
        <v>35878</v>
      </c>
      <c r="R15" s="145" t="n"/>
      <c r="S15" s="145" t="n"/>
      <c r="T15" s="145" t="n"/>
      <c r="U15" s="145" t="n">
        <v>63261</v>
      </c>
      <c r="V15" s="145" t="n"/>
      <c r="W15" s="145" t="n"/>
      <c r="X15" s="145" t="n"/>
      <c r="Y15" s="145" t="n">
        <v>69576</v>
      </c>
      <c r="Z15" s="145" t="n">
        <v>37013</v>
      </c>
      <c r="AA15" s="145" t="n">
        <v>95458</v>
      </c>
      <c r="AB15" s="145" t="n">
        <v>151731</v>
      </c>
      <c r="AC15" s="145" t="n">
        <v>67981</v>
      </c>
      <c r="AD15" s="145" t="n">
        <v>47241</v>
      </c>
      <c r="AE15" s="145" t="n">
        <v>112859</v>
      </c>
      <c r="AF15" s="145" t="n">
        <v>185242</v>
      </c>
      <c r="AG15" s="145" t="n">
        <v>245102</v>
      </c>
      <c r="AH15" s="145" t="n">
        <v>56533</v>
      </c>
      <c r="AI15" s="145" t="n">
        <v>149412</v>
      </c>
      <c r="AJ15" s="145" t="n">
        <v>242862</v>
      </c>
      <c r="AK15" s="145" t="n">
        <v>311946</v>
      </c>
      <c r="AL15" s="145" t="n">
        <v>61634</v>
      </c>
      <c r="AM15" s="145" t="n">
        <v>157989</v>
      </c>
      <c r="AN15" s="145" t="n">
        <v>260051</v>
      </c>
      <c r="AO15" s="145" t="n">
        <v>358476</v>
      </c>
      <c r="AP15" s="145" t="n">
        <v>116674</v>
      </c>
      <c r="AQ15" s="145" t="n">
        <v>301819</v>
      </c>
      <c r="AR15" s="145" t="n">
        <v>476911</v>
      </c>
      <c r="AS15" s="145" t="n">
        <v>621283</v>
      </c>
      <c r="AT15" s="145" t="n">
        <v>149973</v>
      </c>
      <c r="AU15" s="145" t="n">
        <v>352999</v>
      </c>
      <c r="AV15" s="145" t="n">
        <v>511852</v>
      </c>
      <c r="AW15" s="145" t="n">
        <v>629079</v>
      </c>
      <c r="AX15" s="145" t="n">
        <v>114366</v>
      </c>
      <c r="AY15" s="145" t="n">
        <v>277956</v>
      </c>
      <c r="AZ15" s="145" t="n">
        <v>399246</v>
      </c>
      <c r="BA15" s="145" t="n">
        <v>491890</v>
      </c>
      <c r="BB15" s="145" t="n">
        <v>68599</v>
      </c>
      <c r="BC15" s="145" t="n">
        <v>213815</v>
      </c>
      <c r="BD15" s="145" t="n">
        <v>361864</v>
      </c>
      <c r="BE15" s="145" t="n">
        <v>502278</v>
      </c>
      <c r="BF15" s="145" t="n">
        <v>139833</v>
      </c>
      <c r="BG15" s="145" t="n">
        <v>298908</v>
      </c>
      <c r="BH15" s="145" t="n">
        <v>436119</v>
      </c>
      <c r="BI15" s="145" t="n">
        <v>548348</v>
      </c>
      <c r="BJ15" s="145" t="n">
        <v>129748</v>
      </c>
      <c r="BK15" s="145" t="n">
        <v>267128</v>
      </c>
      <c r="BL15" s="145" t="n">
        <v>385080</v>
      </c>
      <c r="BM15" s="145" t="n">
        <v>479926</v>
      </c>
      <c r="BN15" s="145" t="n">
        <v>101287</v>
      </c>
      <c r="BO15" s="145" t="n">
        <v>199854</v>
      </c>
      <c r="BP15" s="145" t="n">
        <v>284262</v>
      </c>
      <c r="BQ15" s="145" t="n">
        <v>355321</v>
      </c>
      <c r="BR15" s="145" t="n">
        <v>62730</v>
      </c>
      <c r="BS15" t="n">
        <v>64875</v>
      </c>
      <c r="BT15" t="inlineStr">
        <is>
          <t>IPGP-Financial-Data-Workbook-2024-Q2.xlsx|Key Metrics|9|93</t>
        </is>
      </c>
      <c r="DA15" s="406" t="n"/>
      <c r="DB15" s="406" t="n"/>
      <c r="DC15" s="406" t="n"/>
      <c r="DD15" s="406" t="n"/>
      <c r="DE15" s="406" t="n"/>
      <c r="DF15" s="406" t="n"/>
      <c r="DG15" s="406" t="n"/>
      <c r="DH15" s="406" t="n"/>
      <c r="DI15" s="406" t="n"/>
      <c r="DJ15" s="406" t="n"/>
      <c r="DK15" s="406" t="n"/>
      <c r="DL15" s="406" t="n"/>
      <c r="DM15" s="406" t="n"/>
      <c r="DN15" s="406" t="n"/>
      <c r="DO15" s="406" t="n"/>
      <c r="DP15" s="406" t="n"/>
      <c r="DQ15" s="406" t="n"/>
      <c r="DR15" s="406" t="n"/>
    </row>
    <row r="16">
      <c r="A16" s="74" t="inlineStr">
        <is>
          <t>Japan</t>
        </is>
      </c>
      <c r="B16" s="50" t="n"/>
      <c r="C16" s="50" t="n"/>
      <c r="D16" s="50" t="n"/>
      <c r="E16" s="50" t="n"/>
      <c r="F16" s="50" t="n"/>
      <c r="G16" s="50" t="n"/>
      <c r="H16" s="50" t="n"/>
      <c r="I16" s="50" t="n"/>
      <c r="J16" s="50" t="n"/>
      <c r="K16" s="50" t="n"/>
      <c r="L16" s="50" t="n"/>
      <c r="M16" s="50" t="n"/>
      <c r="N16" s="145" t="n"/>
      <c r="O16" s="145" t="n"/>
      <c r="P16" s="145" t="n"/>
      <c r="Q16" s="145" t="n">
        <v>57762</v>
      </c>
      <c r="R16" s="145" t="n"/>
      <c r="S16" s="145" t="n"/>
      <c r="T16" s="145" t="n"/>
      <c r="U16" s="145" t="n">
        <v>104560</v>
      </c>
      <c r="V16" s="145" t="n"/>
      <c r="W16" s="145" t="n"/>
      <c r="X16" s="145" t="n"/>
      <c r="Y16" s="145" t="n">
        <v>138782</v>
      </c>
      <c r="Z16" s="145" t="n">
        <v>17647</v>
      </c>
      <c r="AA16" s="145" t="n">
        <v>32017</v>
      </c>
      <c r="AB16" s="145" t="n">
        <v>52054</v>
      </c>
      <c r="AC16" s="145" t="n">
        <v>192134</v>
      </c>
      <c r="AD16" s="145" t="n">
        <v>24482</v>
      </c>
      <c r="AE16" s="145" t="n">
        <v>39116</v>
      </c>
      <c r="AF16" s="145" t="n">
        <v>55788</v>
      </c>
      <c r="AG16" s="145" t="n">
        <v>72573</v>
      </c>
      <c r="AH16" s="145" t="n">
        <v>20808</v>
      </c>
      <c r="AI16" s="145" t="n">
        <v>39586</v>
      </c>
      <c r="AJ16" s="145" t="n">
        <v>52770</v>
      </c>
      <c r="AK16" s="145" t="n">
        <v>76033</v>
      </c>
      <c r="AL16" s="145" t="n">
        <v>19843</v>
      </c>
      <c r="AM16" s="145" t="n">
        <v>40183</v>
      </c>
      <c r="AN16" s="145" t="n">
        <v>63542</v>
      </c>
      <c r="AO16" s="145" t="n">
        <v>88592</v>
      </c>
      <c r="AP16" s="145" t="n">
        <v>14156</v>
      </c>
      <c r="AQ16" s="145" t="n">
        <v>33915</v>
      </c>
      <c r="AR16" s="145" t="n">
        <v>54965</v>
      </c>
      <c r="AS16" s="145" t="n">
        <v>80612</v>
      </c>
      <c r="AT16" s="145" t="n">
        <v>19629</v>
      </c>
      <c r="AU16" s="145" t="n">
        <v>39057</v>
      </c>
      <c r="AV16" s="145" t="n">
        <v>60928</v>
      </c>
      <c r="AW16" s="145" t="n">
        <v>87619</v>
      </c>
      <c r="AX16" s="145" t="n">
        <v>15614</v>
      </c>
      <c r="AY16" s="145" t="n">
        <v>33020</v>
      </c>
      <c r="AZ16" s="145" t="n">
        <v>54879</v>
      </c>
      <c r="BA16" s="145" t="n">
        <v>71757</v>
      </c>
      <c r="BB16" s="145" t="n">
        <v>13685</v>
      </c>
      <c r="BC16" s="145" t="n">
        <v>28357</v>
      </c>
      <c r="BD16" s="145" t="n">
        <v>41241</v>
      </c>
      <c r="BE16" s="145" t="n">
        <v>53180</v>
      </c>
      <c r="BF16" s="145" t="n">
        <v>10877</v>
      </c>
      <c r="BG16" s="145" t="n">
        <v>21199</v>
      </c>
      <c r="BH16" s="145" t="n">
        <v>35485</v>
      </c>
      <c r="BI16" s="145" t="n">
        <v>54077</v>
      </c>
      <c r="BJ16" s="145" t="n">
        <v>12886</v>
      </c>
      <c r="BK16" s="145" t="n">
        <v>27627</v>
      </c>
      <c r="BL16" s="145" t="n">
        <v>38847</v>
      </c>
      <c r="BM16" s="145" t="n">
        <v>57865</v>
      </c>
      <c r="BN16" s="145" t="n">
        <v>21618</v>
      </c>
      <c r="BO16" s="145" t="n">
        <v>38367</v>
      </c>
      <c r="BP16" s="145" t="n">
        <v>54196</v>
      </c>
      <c r="BQ16" s="145" t="n">
        <v>72333</v>
      </c>
      <c r="BR16" s="145" t="n">
        <v>16698</v>
      </c>
      <c r="BS16" t="n">
        <v>10215</v>
      </c>
      <c r="BT16" t="inlineStr">
        <is>
          <t>IPGP-Financial-Data-Workbook-2024-Q2.xlsx|Key Metrics|10|93</t>
        </is>
      </c>
      <c r="DA16" s="406" t="n"/>
      <c r="DB16" s="406" t="n"/>
      <c r="DC16" s="406" t="n"/>
      <c r="DD16" s="406" t="n"/>
      <c r="DE16" s="406" t="n"/>
      <c r="DF16" s="406" t="n"/>
      <c r="DG16" s="406" t="n"/>
      <c r="DH16" s="406" t="n"/>
      <c r="DI16" s="406" t="n"/>
      <c r="DJ16" s="406" t="n"/>
      <c r="DK16" s="406" t="n"/>
      <c r="DL16" s="406" t="n"/>
      <c r="DM16" s="406" t="n"/>
      <c r="DN16" s="406" t="n"/>
      <c r="DO16" s="406" t="n"/>
      <c r="DP16" s="406" t="n"/>
      <c r="DQ16" s="406" t="n"/>
      <c r="DR16" s="406" t="n"/>
    </row>
    <row r="17">
      <c r="A17" s="74" t="inlineStr">
        <is>
          <t>Other Asian countries</t>
        </is>
      </c>
      <c r="B17" s="50" t="n"/>
      <c r="C17" s="50" t="n"/>
      <c r="D17" s="50" t="n"/>
      <c r="E17" s="50" t="n"/>
      <c r="F17" s="50" t="n"/>
      <c r="G17" s="50" t="n"/>
      <c r="H17" s="50" t="n"/>
      <c r="I17" s="50" t="n"/>
      <c r="J17" s="50" t="n"/>
      <c r="K17" s="50" t="n"/>
      <c r="L17" s="50" t="n"/>
      <c r="M17" s="50" t="n"/>
      <c r="N17" s="145" t="n"/>
      <c r="O17" s="145" t="n"/>
      <c r="P17" s="145" t="n"/>
      <c r="Q17" s="145" t="n">
        <v>30614</v>
      </c>
      <c r="R17" s="145" t="n"/>
      <c r="S17" s="145" t="n"/>
      <c r="T17" s="145" t="n"/>
      <c r="U17" s="145" t="n">
        <v>36937</v>
      </c>
      <c r="V17" s="145" t="n"/>
      <c r="W17" s="145" t="n"/>
      <c r="X17" s="145" t="n"/>
      <c r="Y17" s="145" t="n">
        <v>43445</v>
      </c>
      <c r="Z17" s="145" t="n">
        <v>17060</v>
      </c>
      <c r="AA17" s="145" t="n">
        <v>35316</v>
      </c>
      <c r="AB17" s="145" t="n">
        <v>49475</v>
      </c>
      <c r="AC17" s="145" t="n">
        <v>64346</v>
      </c>
      <c r="AD17" s="145" t="n">
        <v>20022</v>
      </c>
      <c r="AE17" s="145" t="n">
        <v>41503</v>
      </c>
      <c r="AF17" s="145" t="n">
        <v>65564</v>
      </c>
      <c r="AG17" s="145" t="n">
        <v>85426</v>
      </c>
      <c r="AH17" s="145" t="n">
        <v>27154</v>
      </c>
      <c r="AI17" s="145" t="n">
        <v>53023</v>
      </c>
      <c r="AJ17" s="145" t="n">
        <v>76290</v>
      </c>
      <c r="AK17" s="145" t="n">
        <v>95494</v>
      </c>
      <c r="AL17" s="145" t="n">
        <v>25097</v>
      </c>
      <c r="AM17" s="145" t="n">
        <v>51463</v>
      </c>
      <c r="AN17" s="145" t="n">
        <v>76092</v>
      </c>
      <c r="AO17" s="145" t="n">
        <v>100052</v>
      </c>
      <c r="AP17" s="145" t="n">
        <v>29369</v>
      </c>
      <c r="AQ17" s="145" t="n">
        <v>61387</v>
      </c>
      <c r="AR17" s="145" t="n">
        <v>97362</v>
      </c>
      <c r="AS17" s="145" t="n">
        <v>131511</v>
      </c>
      <c r="AT17" s="145" t="n">
        <v>34207</v>
      </c>
      <c r="AU17" s="145" t="n">
        <v>67521</v>
      </c>
      <c r="AV17" s="145" t="n">
        <v>99474</v>
      </c>
      <c r="AW17" s="145" t="n">
        <v>127252</v>
      </c>
      <c r="AX17" s="145" t="n">
        <v>31738</v>
      </c>
      <c r="AY17" s="145" t="n">
        <v>60667</v>
      </c>
      <c r="AZ17" s="145" t="n">
        <v>89544</v>
      </c>
      <c r="BA17" s="145" t="n">
        <v>121586</v>
      </c>
      <c r="BB17" s="145" t="n">
        <v>22823</v>
      </c>
      <c r="BC17" s="145" t="n">
        <v>39697</v>
      </c>
      <c r="BD17" s="145" t="n">
        <v>70924</v>
      </c>
      <c r="BE17" s="145" t="n">
        <v>103785</v>
      </c>
      <c r="BF17" s="145" t="n">
        <v>33110</v>
      </c>
      <c r="BG17" s="145" t="n">
        <v>70764</v>
      </c>
      <c r="BH17" s="145" t="n">
        <v>106608</v>
      </c>
      <c r="BI17" s="145" t="n">
        <v>139148</v>
      </c>
      <c r="BJ17" s="145" t="n">
        <v>38675</v>
      </c>
      <c r="BK17" s="145" t="n">
        <v>72370</v>
      </c>
      <c r="BL17" s="145" t="n">
        <v>111500</v>
      </c>
      <c r="BM17" s="145" t="n">
        <v>152373</v>
      </c>
      <c r="BN17" s="145" t="n">
        <v>43654</v>
      </c>
      <c r="BO17" s="145" t="n">
        <v>81716</v>
      </c>
      <c r="BP17" s="145" t="n">
        <v>111457</v>
      </c>
      <c r="BQ17" s="145" t="n">
        <v>142378</v>
      </c>
      <c r="BR17" s="145" t="n">
        <v>24978</v>
      </c>
      <c r="BS17" t="n">
        <v>27643</v>
      </c>
      <c r="BT17" t="inlineStr">
        <is>
          <t>IPGP-Financial-Data-Workbook-2024-Q2.xlsx|Key Metrics|11|93</t>
        </is>
      </c>
      <c r="DA17" s="406" t="n"/>
      <c r="DB17" s="406" t="n"/>
      <c r="DC17" s="406" t="n"/>
      <c r="DD17" s="406" t="n"/>
      <c r="DE17" s="406" t="n"/>
      <c r="DF17" s="406" t="n"/>
      <c r="DG17" s="406" t="n"/>
      <c r="DH17" s="406" t="n"/>
      <c r="DI17" s="406" t="n"/>
      <c r="DJ17" s="406" t="n"/>
      <c r="DK17" s="406" t="n"/>
      <c r="DL17" s="406" t="n"/>
      <c r="DM17" s="406" t="n"/>
      <c r="DN17" s="406" t="n"/>
      <c r="DO17" s="406" t="n"/>
      <c r="DP17" s="406" t="n"/>
      <c r="DQ17" s="406" t="n"/>
      <c r="DR17" s="406" t="n"/>
    </row>
    <row r="18">
      <c r="A18" s="74" t="inlineStr">
        <is>
          <t>Rest of World</t>
        </is>
      </c>
      <c r="B18" s="50" t="n"/>
      <c r="C18" s="50" t="n"/>
      <c r="D18" s="50" t="n"/>
      <c r="E18" s="50" t="n"/>
      <c r="F18" s="50" t="n"/>
      <c r="G18" s="50" t="n"/>
      <c r="H18" s="50" t="n"/>
      <c r="I18" s="50" t="n"/>
      <c r="J18" s="50" t="n"/>
      <c r="K18" s="50" t="n"/>
      <c r="L18" s="50" t="n"/>
      <c r="M18" s="50" t="n"/>
      <c r="N18" s="145" t="n"/>
      <c r="O18" s="145" t="n"/>
      <c r="P18" s="145" t="n"/>
      <c r="Q18" s="145" t="n">
        <v>840</v>
      </c>
      <c r="R18" s="145" t="n"/>
      <c r="S18" s="145" t="n"/>
      <c r="T18" s="145" t="n"/>
      <c r="U18" s="145" t="n">
        <v>3959</v>
      </c>
      <c r="V18" s="145" t="n"/>
      <c r="W18" s="145" t="n"/>
      <c r="X18" s="145" t="n"/>
      <c r="Y18" s="145" t="n">
        <v>1701</v>
      </c>
      <c r="Z18" s="145" t="n">
        <v>564</v>
      </c>
      <c r="AA18" s="145" t="n">
        <v>1889</v>
      </c>
      <c r="AB18" s="145" t="n">
        <v>3000</v>
      </c>
      <c r="AC18" s="145" t="n">
        <v>1212</v>
      </c>
      <c r="AD18" s="145" t="n">
        <v>690</v>
      </c>
      <c r="AE18" s="145" t="n">
        <v>2447</v>
      </c>
      <c r="AF18" s="145" t="n">
        <v>3472</v>
      </c>
      <c r="AG18" s="145" t="n">
        <v>3076</v>
      </c>
      <c r="AH18" s="145" t="n">
        <v>736</v>
      </c>
      <c r="AI18" s="145" t="n">
        <v>1112</v>
      </c>
      <c r="AJ18" s="145" t="n">
        <v>2004</v>
      </c>
      <c r="AK18" s="145" t="n">
        <v>3342</v>
      </c>
      <c r="AL18" s="145" t="n">
        <v>652</v>
      </c>
      <c r="AM18" s="145" t="n">
        <v>1062</v>
      </c>
      <c r="AN18" s="145" t="n">
        <v>1506</v>
      </c>
      <c r="AO18" s="145" t="n">
        <v>2140</v>
      </c>
      <c r="AP18" s="145" t="n">
        <v>1796</v>
      </c>
      <c r="AQ18" s="145" t="n">
        <v>3208</v>
      </c>
      <c r="AR18" s="145" t="n">
        <v>4021</v>
      </c>
      <c r="AS18" s="145" t="n">
        <v>5445</v>
      </c>
      <c r="AT18" s="145" t="n">
        <v>664</v>
      </c>
      <c r="AU18" s="145" t="n">
        <v>2407</v>
      </c>
      <c r="AV18" s="145" t="n">
        <v>4208</v>
      </c>
      <c r="AW18" s="145" t="n">
        <v>5006</v>
      </c>
      <c r="AX18" s="145" t="n">
        <v>703</v>
      </c>
      <c r="AY18" s="145" t="n">
        <v>5612</v>
      </c>
      <c r="AZ18" s="145" t="n">
        <v>12324</v>
      </c>
      <c r="BA18" s="145" t="n">
        <v>17226</v>
      </c>
      <c r="BB18" s="145" t="n">
        <v>2153</v>
      </c>
      <c r="BC18" s="145" t="n">
        <v>3720</v>
      </c>
      <c r="BD18" s="145" t="n">
        <v>6199</v>
      </c>
      <c r="BE18" s="145" t="n">
        <v>10106</v>
      </c>
      <c r="BF18" s="145" t="n">
        <v>3528</v>
      </c>
      <c r="BG18" s="145" t="n">
        <v>5914</v>
      </c>
      <c r="BH18" s="145" t="n">
        <v>9509</v>
      </c>
      <c r="BI18" s="145" t="n">
        <v>13429</v>
      </c>
      <c r="BJ18" s="145" t="n">
        <v>4028</v>
      </c>
      <c r="BK18" s="145" t="n">
        <v>8885</v>
      </c>
      <c r="BL18" s="145" t="n">
        <v>14516</v>
      </c>
      <c r="BM18" s="145" t="n">
        <v>20698</v>
      </c>
      <c r="BN18" s="145" t="n">
        <v>4282</v>
      </c>
      <c r="BO18" s="145" t="n">
        <v>10828</v>
      </c>
      <c r="BP18" s="145" t="n">
        <v>15533</v>
      </c>
      <c r="BQ18" s="145" t="n">
        <v>24059</v>
      </c>
      <c r="BR18" s="145" t="n">
        <v>4123</v>
      </c>
      <c r="BS18" t="n">
        <v>3476</v>
      </c>
      <c r="BT18" t="inlineStr">
        <is>
          <t>IPGP-Financial-Data-Workbook-2024-Q2.xlsx|Key Metrics|12|93</t>
        </is>
      </c>
      <c r="DA18" s="406" t="n"/>
      <c r="DB18" s="406" t="n"/>
      <c r="DC18" s="406" t="n"/>
      <c r="DD18" s="406" t="n"/>
      <c r="DE18" s="406" t="n"/>
      <c r="DF18" s="406" t="n"/>
      <c r="DG18" s="406" t="n"/>
      <c r="DH18" s="406" t="n"/>
      <c r="DI18" s="406" t="n"/>
      <c r="DJ18" s="406" t="n"/>
      <c r="DK18" s="406" t="n"/>
      <c r="DL18" s="406" t="n"/>
      <c r="DM18" s="406" t="n"/>
      <c r="DN18" s="406" t="n"/>
      <c r="DO18" s="406" t="n"/>
      <c r="DP18" s="406" t="n"/>
      <c r="DQ18" s="406" t="n"/>
      <c r="DR18" s="406" t="n"/>
    </row>
    <row r="19">
      <c r="A19" s="22" t="inlineStr">
        <is>
          <t>Total</t>
        </is>
      </c>
      <c r="B19" s="403" t="n"/>
      <c r="C19" s="403" t="n"/>
      <c r="D19" s="403" t="n"/>
      <c r="E19" s="403" t="n"/>
      <c r="F19" s="403" t="n"/>
      <c r="G19" s="403" t="n"/>
      <c r="H19" s="403" t="n"/>
      <c r="I19" s="403" t="n"/>
      <c r="J19" s="403" t="n"/>
      <c r="K19" s="403" t="n"/>
      <c r="L19" s="403" t="n"/>
      <c r="M19" s="403" t="n"/>
      <c r="N19" s="133" t="n"/>
      <c r="O19" s="133" t="n"/>
      <c r="P19" s="133" t="n"/>
      <c r="Q19" s="133" t="n">
        <v>299256</v>
      </c>
      <c r="R19" s="133" t="n"/>
      <c r="S19" s="133" t="n"/>
      <c r="T19" s="133" t="n"/>
      <c r="U19" s="133" t="n">
        <v>474482</v>
      </c>
      <c r="V19" s="133" t="n"/>
      <c r="W19" s="133" t="n"/>
      <c r="X19" s="133" t="n"/>
      <c r="Y19" s="133" t="n">
        <v>562528</v>
      </c>
      <c r="Z19" s="133" t="n">
        <v>141852</v>
      </c>
      <c r="AA19" s="133" t="n">
        <v>310023</v>
      </c>
      <c r="AB19" s="133" t="n">
        <v>482175</v>
      </c>
      <c r="AC19" s="133" t="n">
        <v>648034</v>
      </c>
      <c r="AD19" s="133" t="n">
        <v>170575</v>
      </c>
      <c r="AE19" s="133" t="n">
        <v>362779</v>
      </c>
      <c r="AF19" s="133" t="n">
        <v>562430</v>
      </c>
      <c r="AG19" s="133" t="n">
        <v>769832</v>
      </c>
      <c r="AH19" s="133" t="n">
        <v>198960</v>
      </c>
      <c r="AI19" s="133" t="n">
        <v>434098</v>
      </c>
      <c r="AJ19" s="133" t="n">
        <v>677639</v>
      </c>
      <c r="AK19" s="133" t="n">
        <v>901265</v>
      </c>
      <c r="AL19" s="133" t="n">
        <v>207248</v>
      </c>
      <c r="AM19" s="133" t="n">
        <v>460035</v>
      </c>
      <c r="AN19" s="133" t="n">
        <v>726052</v>
      </c>
      <c r="AO19" s="133" t="n">
        <v>1006173</v>
      </c>
      <c r="AP19" s="133" t="n">
        <v>285846</v>
      </c>
      <c r="AQ19" s="133" t="n">
        <v>655219</v>
      </c>
      <c r="AR19" s="133" t="n">
        <v>1047834</v>
      </c>
      <c r="AS19" s="133" t="n">
        <v>1408889</v>
      </c>
      <c r="AT19" s="133" t="n">
        <v>359864</v>
      </c>
      <c r="AU19" s="133" t="n">
        <v>773477</v>
      </c>
      <c r="AV19" s="133" t="n">
        <v>1129823</v>
      </c>
      <c r="AW19" s="133" t="n">
        <v>1459874</v>
      </c>
      <c r="AX19" s="133" t="n">
        <v>315047</v>
      </c>
      <c r="AY19" s="133" t="n">
        <v>678816</v>
      </c>
      <c r="AZ19" s="133" t="n">
        <v>1007954</v>
      </c>
      <c r="BA19" s="133" t="n">
        <v>1314581</v>
      </c>
      <c r="BB19" s="133" t="n">
        <v>249242</v>
      </c>
      <c r="BC19" s="133" t="n">
        <v>545653</v>
      </c>
      <c r="BD19" s="133" t="n">
        <v>864094</v>
      </c>
      <c r="BE19" s="133" t="n">
        <v>1200724</v>
      </c>
      <c r="BF19" s="133" t="n">
        <v>345585</v>
      </c>
      <c r="BG19" s="133" t="n">
        <v>717243</v>
      </c>
      <c r="BH19" s="133" t="n">
        <v>1096393</v>
      </c>
      <c r="BI19" s="133" t="n">
        <v>1460860</v>
      </c>
      <c r="BJ19" s="133" t="n">
        <v>369979</v>
      </c>
      <c r="BK19" s="133" t="n">
        <v>747002</v>
      </c>
      <c r="BL19" s="133" t="n">
        <v>1096008</v>
      </c>
      <c r="BM19" s="133" t="n">
        <v>1429547</v>
      </c>
      <c r="BN19" s="133" t="n">
        <v>347174</v>
      </c>
      <c r="BO19" s="133" t="n">
        <v>687145</v>
      </c>
      <c r="BP19" s="133" t="n">
        <v>988546</v>
      </c>
      <c r="BQ19" s="133" t="n">
        <v>1287439</v>
      </c>
      <c r="BR19" s="133" t="n">
        <v>252009</v>
      </c>
      <c r="BS19" t="n">
        <v>257645</v>
      </c>
      <c r="BT19" t="inlineStr">
        <is>
          <t>IPGP-Financial-Data-Workbook-2024-Q2.xlsx|Key Metrics|13|93</t>
        </is>
      </c>
      <c r="DA19" s="406" t="n"/>
      <c r="DB19" s="406" t="n"/>
      <c r="DC19" s="406" t="n"/>
      <c r="DD19" s="406" t="n"/>
      <c r="DE19" s="406" t="n"/>
      <c r="DF19" s="406" t="n"/>
      <c r="DG19" s="406" t="n"/>
      <c r="DH19" s="406" t="n"/>
      <c r="DI19" s="406" t="n"/>
      <c r="DJ19" s="406" t="n"/>
      <c r="DK19" s="406" t="n"/>
      <c r="DL19" s="406" t="n"/>
      <c r="DM19" s="406" t="n"/>
      <c r="DN19" s="406" t="n"/>
      <c r="DO19" s="406" t="n"/>
      <c r="DP19" s="406" t="n"/>
      <c r="DQ19" s="406" t="n"/>
      <c r="DR19" s="406" t="n"/>
    </row>
    <row r="20">
      <c r="B20" s="50" t="n"/>
      <c r="C20" s="50" t="n"/>
      <c r="D20" s="50" t="n"/>
      <c r="E20" s="50" t="n"/>
      <c r="F20" s="50" t="n"/>
      <c r="G20" s="50" t="n"/>
      <c r="H20" s="50" t="n"/>
      <c r="I20" s="50" t="n"/>
      <c r="J20" s="50" t="n"/>
      <c r="K20" s="50" t="n"/>
      <c r="L20" s="50" t="n"/>
      <c r="M20" s="50" t="n"/>
      <c r="N20" s="20" t="n"/>
      <c r="O20" s="20" t="n"/>
      <c r="P20" s="20" t="n"/>
      <c r="Q20" s="20" t="n"/>
      <c r="R20" s="20" t="n"/>
      <c r="S20" s="20" t="n"/>
      <c r="T20" s="20" t="n"/>
      <c r="U20" s="20" t="n"/>
      <c r="V20" s="20" t="n"/>
      <c r="W20" s="20" t="n"/>
      <c r="X20" s="20" t="n"/>
      <c r="Y20" s="20" t="n"/>
      <c r="Z20" s="20" t="n"/>
      <c r="AA20" s="20" t="n"/>
      <c r="AC20" s="20" t="n"/>
      <c r="AD20" s="20" t="n"/>
      <c r="AE20" s="20" t="n"/>
      <c r="AF20" s="20" t="n"/>
      <c r="AG20" s="20" t="n"/>
      <c r="AH20" s="20" t="n"/>
      <c r="AI20" s="20" t="n"/>
      <c r="AJ20" s="20" t="n"/>
      <c r="AK20" s="20" t="n"/>
      <c r="AL20" s="20" t="n"/>
      <c r="AM20" s="20" t="n"/>
      <c r="AN20" s="20" t="n"/>
      <c r="AO20" s="20" t="n"/>
      <c r="AP20" s="20" t="n"/>
      <c r="AQ20" s="20" t="n"/>
      <c r="AR20" s="20" t="n"/>
      <c r="AS20" s="20" t="n"/>
    </row>
    <row r="21">
      <c r="A21" s="22" t="inlineStr">
        <is>
          <t>End market breakdown</t>
        </is>
      </c>
      <c r="B21" s="140" t="n"/>
      <c r="C21" s="140" t="n"/>
      <c r="D21" s="140" t="n"/>
      <c r="E21" s="50" t="n"/>
      <c r="F21" s="50" t="n"/>
      <c r="G21" s="50" t="n"/>
      <c r="H21" s="50" t="n"/>
      <c r="I21" s="50" t="n"/>
      <c r="J21" s="50" t="n"/>
      <c r="K21" s="50" t="n"/>
      <c r="L21" s="50" t="n"/>
      <c r="M21" s="50" t="n"/>
      <c r="N21" s="67" t="n"/>
      <c r="O21" s="67" t="n"/>
      <c r="P21" s="67" t="n"/>
      <c r="Q21" s="67" t="n"/>
      <c r="R21" s="67" t="n"/>
      <c r="S21" s="67" t="n"/>
      <c r="T21" s="67" t="n"/>
      <c r="U21" s="67" t="n"/>
      <c r="V21" s="67" t="n"/>
      <c r="W21" s="67" t="n"/>
      <c r="X21" s="67" t="n"/>
      <c r="Y21" s="67" t="n"/>
      <c r="Z21" s="67" t="n"/>
      <c r="AA21" s="67" t="n"/>
      <c r="AB21" s="67" t="n"/>
      <c r="AC21" s="67" t="n"/>
      <c r="AD21" s="67" t="n"/>
      <c r="AE21" s="67" t="n"/>
      <c r="AF21" s="67" t="n"/>
      <c r="AG21" s="67" t="n"/>
      <c r="AH21" s="67" t="n"/>
      <c r="AI21" s="67" t="n"/>
      <c r="AJ21" s="67" t="n"/>
      <c r="AK21" s="67" t="n"/>
      <c r="AL21" s="67" t="n"/>
      <c r="AM21" s="67" t="n"/>
      <c r="AN21" s="67" t="n"/>
      <c r="AO21" s="67" t="n"/>
      <c r="AP21" s="67" t="n"/>
      <c r="AQ21" s="67" t="n"/>
      <c r="AR21" s="67" t="n"/>
      <c r="AS21" s="67" t="n"/>
    </row>
    <row r="22">
      <c r="A22" s="74" t="inlineStr">
        <is>
          <t>Materials Processing</t>
        </is>
      </c>
      <c r="B22" s="145" t="n"/>
      <c r="C22" s="145" t="n"/>
      <c r="D22" s="145" t="n"/>
      <c r="E22" s="145" t="n"/>
      <c r="F22" s="145" t="n"/>
      <c r="H22" s="145" t="n"/>
      <c r="I22" s="145" t="n"/>
      <c r="J22" s="145" t="n"/>
      <c r="K22" s="145" t="n"/>
      <c r="L22" s="145" t="n"/>
      <c r="M22" s="145" t="n"/>
      <c r="N22" s="145" t="n">
        <v>42740</v>
      </c>
      <c r="O22" s="145" t="n">
        <v>100006</v>
      </c>
      <c r="P22" s="145" t="n">
        <v>167546</v>
      </c>
      <c r="Q22" s="145" t="n">
        <v>252014</v>
      </c>
      <c r="R22" s="145" t="n">
        <v>86397</v>
      </c>
      <c r="S22" s="145" t="n">
        <v>194297</v>
      </c>
      <c r="T22" s="145" t="n">
        <v>308542</v>
      </c>
      <c r="U22" s="145" t="n">
        <v>419443</v>
      </c>
      <c r="V22" s="145" t="n">
        <v>103188</v>
      </c>
      <c r="W22" s="145" t="n">
        <v>227800</v>
      </c>
      <c r="X22" s="145" t="n">
        <v>365525</v>
      </c>
      <c r="Y22" s="145" t="n">
        <v>492013</v>
      </c>
      <c r="Z22" s="145" t="n">
        <v>133045</v>
      </c>
      <c r="AA22" s="145" t="n">
        <v>290663</v>
      </c>
      <c r="AB22" s="145" t="n">
        <v>454764</v>
      </c>
      <c r="AC22" s="145" t="n">
        <v>608702</v>
      </c>
      <c r="AD22" s="145" t="n">
        <v>162724</v>
      </c>
      <c r="AE22" s="145" t="n">
        <v>347996</v>
      </c>
      <c r="AF22" s="145" t="n">
        <v>540284</v>
      </c>
      <c r="AG22" s="145" t="n">
        <v>731274</v>
      </c>
      <c r="AH22" s="145" t="n">
        <v>192003</v>
      </c>
      <c r="AI22" s="145" t="n">
        <v>416489</v>
      </c>
      <c r="AJ22" s="145" t="n">
        <v>640302</v>
      </c>
      <c r="AK22" s="145" t="n">
        <v>849335</v>
      </c>
      <c r="AL22" s="145" t="n">
        <v>198207</v>
      </c>
      <c r="AM22" s="145" t="n">
        <v>437263</v>
      </c>
      <c r="AN22" s="145" t="n">
        <v>683562</v>
      </c>
      <c r="AO22" s="145" t="n">
        <v>942119</v>
      </c>
      <c r="AP22" s="145" t="n">
        <v>264131</v>
      </c>
      <c r="AQ22" s="145" t="n">
        <v>617196</v>
      </c>
      <c r="AR22" s="145" t="n">
        <v>991921</v>
      </c>
      <c r="AS22" s="145" t="n">
        <v>1332607</v>
      </c>
      <c r="AT22" s="145" t="n">
        <v>339214</v>
      </c>
      <c r="AU22" s="145" t="n">
        <v>731215</v>
      </c>
      <c r="AV22" s="145" t="n">
        <v>1065712</v>
      </c>
      <c r="AW22" s="145" t="n">
        <v>1374448</v>
      </c>
      <c r="AX22" s="145" t="n">
        <v>301085</v>
      </c>
      <c r="AY22" s="145" t="n">
        <v>646676</v>
      </c>
      <c r="AZ22" s="145" t="n">
        <v>952936</v>
      </c>
      <c r="BA22" s="145" t="n">
        <v>1229211</v>
      </c>
      <c r="BB22" s="145" t="n">
        <v>218074</v>
      </c>
      <c r="BC22" s="145" t="n">
        <v>489782</v>
      </c>
      <c r="BD22" s="145" t="n">
        <v>779810</v>
      </c>
      <c r="BE22" s="145" t="n">
        <v>1082478</v>
      </c>
      <c r="BF22" s="145" t="n">
        <v>317241</v>
      </c>
      <c r="BG22" s="145" t="n">
        <v>662894</v>
      </c>
      <c r="BH22" s="145" t="n">
        <v>1008939</v>
      </c>
      <c r="BI22" s="145" t="n">
        <v>1325404</v>
      </c>
      <c r="BJ22" s="145" t="n">
        <v>338963</v>
      </c>
      <c r="BK22" s="145" t="n">
        <v>682320</v>
      </c>
      <c r="BL22" s="145" t="n">
        <v>994866</v>
      </c>
      <c r="BM22" s="145" t="n">
        <v>1291262</v>
      </c>
      <c r="BN22" s="145" t="n">
        <v>312969</v>
      </c>
      <c r="BO22" s="145" t="n">
        <v>627153</v>
      </c>
      <c r="BP22" s="145" t="n">
        <v>892379</v>
      </c>
      <c r="BQ22" s="145" t="n">
        <v>1152804</v>
      </c>
      <c r="BR22" s="145" t="n">
        <v>226365</v>
      </c>
      <c r="BS22" t="n">
        <v>225773</v>
      </c>
      <c r="BT22" t="inlineStr">
        <is>
          <t>IPGP-Financial-Data-Workbook-2024-Q2.xlsx|Key Metrics|26|93</t>
        </is>
      </c>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row>
    <row r="23">
      <c r="A23" s="74" t="inlineStr">
        <is>
          <t>Other application, of which</t>
        </is>
      </c>
      <c r="B23" s="145" t="n"/>
      <c r="C23" s="145" t="n"/>
      <c r="D23" s="145" t="n"/>
      <c r="E23" s="145" t="n"/>
      <c r="F23" s="145" t="n"/>
      <c r="H23" s="145" t="n"/>
      <c r="I23" s="145" t="n"/>
      <c r="J23" s="145" t="n"/>
      <c r="K23" s="145" t="n"/>
      <c r="L23" s="145" t="n"/>
      <c r="M23" s="145" t="n"/>
      <c r="N23" s="143">
        <f>SUM(N24:N26)</f>
        <v/>
      </c>
      <c r="O23" s="143">
        <f>SUM(O24:O26)</f>
        <v/>
      </c>
      <c r="P23" s="143">
        <f>SUM(P24:P26)</f>
        <v/>
      </c>
      <c r="Q23" s="143">
        <f>SUM(Q24:Q26)</f>
        <v/>
      </c>
      <c r="R23" s="143">
        <f>SUM(R24:R26)</f>
        <v/>
      </c>
      <c r="S23" s="143">
        <f>SUM(S24:S26)</f>
        <v/>
      </c>
      <c r="T23" s="143">
        <f>SUM(T24:T26)</f>
        <v/>
      </c>
      <c r="U23" s="143">
        <f>SUM(U24:U26)</f>
        <v/>
      </c>
      <c r="V23" s="145" t="n">
        <v>20004</v>
      </c>
      <c r="W23" s="145" t="n">
        <v>33319</v>
      </c>
      <c r="X23" s="145" t="n">
        <v>51973</v>
      </c>
      <c r="Y23" s="145" t="n">
        <v>70515</v>
      </c>
      <c r="Z23" s="145" t="n">
        <v>8807</v>
      </c>
      <c r="AA23" s="145" t="n">
        <v>19360</v>
      </c>
      <c r="AB23" s="145" t="n">
        <v>27411</v>
      </c>
      <c r="AC23" s="145" t="n">
        <v>39332</v>
      </c>
      <c r="AD23" s="145" t="n">
        <v>7851</v>
      </c>
      <c r="AE23" s="145" t="n">
        <v>14783</v>
      </c>
      <c r="AF23" s="145" t="n">
        <v>22146</v>
      </c>
      <c r="AG23" s="145" t="n">
        <v>38558</v>
      </c>
      <c r="AH23" s="145" t="n">
        <v>6957</v>
      </c>
      <c r="AI23" s="145" t="n">
        <v>17609</v>
      </c>
      <c r="AJ23" s="145" t="n">
        <v>37337</v>
      </c>
      <c r="AK23" s="145" t="n">
        <v>51930</v>
      </c>
      <c r="AL23" s="145" t="n">
        <v>9041</v>
      </c>
      <c r="AM23" s="145" t="n">
        <v>22772</v>
      </c>
      <c r="AN23" s="145" t="n">
        <v>42490</v>
      </c>
      <c r="AO23" s="145" t="n">
        <v>64054</v>
      </c>
      <c r="AP23" s="145" t="n">
        <v>21715</v>
      </c>
      <c r="AQ23" s="145" t="n">
        <v>38023</v>
      </c>
      <c r="AR23" s="145" t="n">
        <v>55913</v>
      </c>
      <c r="AS23" s="145" t="n">
        <v>76282</v>
      </c>
      <c r="AT23" s="145" t="n">
        <v>20650</v>
      </c>
      <c r="AU23" s="145" t="n">
        <v>42262</v>
      </c>
      <c r="AV23" s="145" t="n">
        <v>64111</v>
      </c>
      <c r="AW23" s="145" t="n">
        <v>85426</v>
      </c>
      <c r="AX23" s="145" t="n">
        <v>13962</v>
      </c>
      <c r="AY23" s="145" t="n">
        <v>32140</v>
      </c>
      <c r="AZ23" s="145" t="n">
        <v>55018</v>
      </c>
      <c r="BA23" s="145" t="n">
        <v>85370</v>
      </c>
      <c r="BB23" s="145" t="n">
        <v>31168</v>
      </c>
      <c r="BC23" s="145" t="n">
        <v>55871</v>
      </c>
      <c r="BD23" s="145" t="n">
        <v>84284</v>
      </c>
      <c r="BE23" s="145" t="n">
        <v>118246</v>
      </c>
      <c r="BF23" s="145" t="n">
        <v>28344</v>
      </c>
      <c r="BG23" s="145" t="n">
        <v>54349</v>
      </c>
      <c r="BH23" s="145" t="n">
        <v>87454</v>
      </c>
      <c r="BI23" s="145" t="n">
        <v>135456</v>
      </c>
      <c r="BJ23" s="145" t="n">
        <v>31016</v>
      </c>
      <c r="BK23" s="145" t="n">
        <v>64682</v>
      </c>
      <c r="BL23" s="145" t="n">
        <v>101142</v>
      </c>
      <c r="BM23" s="145" t="n">
        <v>138285</v>
      </c>
      <c r="BN23" s="145" t="n">
        <v>34205</v>
      </c>
      <c r="BO23" s="145" t="n">
        <v>59992</v>
      </c>
      <c r="BP23" s="145" t="n">
        <v>96167</v>
      </c>
      <c r="BQ23" s="145" t="n">
        <v>134635</v>
      </c>
      <c r="BR23" s="145" t="n">
        <v>25644</v>
      </c>
      <c r="BS23" t="n">
        <v>31872</v>
      </c>
      <c r="BT23" t="inlineStr">
        <is>
          <t>IPGP-Financial-Data-Workbook-2024-Q2.xlsx|Key Metrics|27|93</t>
        </is>
      </c>
      <c r="DA23" s="406" t="n"/>
      <c r="DB23" s="406" t="n"/>
      <c r="DC23" s="406" t="n"/>
      <c r="DD23" s="406" t="n"/>
      <c r="DE23" s="406" t="n"/>
      <c r="DF23" s="406" t="n"/>
      <c r="DG23" s="406" t="n"/>
      <c r="DH23" s="406" t="n"/>
      <c r="DI23" s="406" t="n"/>
      <c r="DJ23" s="406" t="n"/>
      <c r="DK23" s="406" t="n"/>
      <c r="DL23" s="406" t="n"/>
      <c r="DM23" s="406" t="n"/>
      <c r="DN23" s="406" t="n"/>
      <c r="DO23" s="406" t="n"/>
      <c r="DP23" s="406" t="n"/>
      <c r="DQ23" s="406" t="n"/>
      <c r="DR23" s="406" t="n"/>
    </row>
    <row r="24">
      <c r="A24" s="33" t="inlineStr">
        <is>
          <t>Advanced Applications</t>
        </is>
      </c>
      <c r="B24" s="145" t="n"/>
      <c r="C24" s="145" t="n"/>
      <c r="D24" s="145" t="n"/>
      <c r="E24" s="145" t="n"/>
      <c r="F24" s="145" t="n"/>
      <c r="H24" s="145" t="n"/>
      <c r="I24" s="145" t="n"/>
      <c r="J24" s="145" t="n"/>
      <c r="K24" s="145" t="n"/>
      <c r="L24" s="145" t="n"/>
      <c r="M24" s="145" t="n"/>
      <c r="N24" s="145" t="n">
        <v>4684</v>
      </c>
      <c r="O24" s="145" t="n">
        <v>10065</v>
      </c>
      <c r="P24" s="145" t="n">
        <v>15749</v>
      </c>
      <c r="Q24" s="145" t="n">
        <v>25196</v>
      </c>
      <c r="R24" s="145" t="n">
        <v>8232</v>
      </c>
      <c r="S24" s="145" t="n">
        <v>14485</v>
      </c>
      <c r="T24" s="145" t="n">
        <v>19550</v>
      </c>
      <c r="U24" s="145" t="n">
        <v>25918</v>
      </c>
      <c r="V24" s="145" t="n"/>
      <c r="W24" s="145" t="n"/>
      <c r="X24" s="145" t="n"/>
      <c r="Y24" s="145" t="n">
        <v>43052</v>
      </c>
      <c r="Z24" s="145" t="n"/>
      <c r="AA24" s="145" t="n"/>
      <c r="AB24" s="145" t="n"/>
      <c r="AC24" s="145" t="n">
        <v>26190</v>
      </c>
      <c r="AD24" s="145" t="n"/>
      <c r="AE24" s="145" t="n"/>
      <c r="AF24" s="145" t="n"/>
      <c r="AG24" s="145" t="n">
        <v>25704</v>
      </c>
      <c r="AH24" s="145" t="n"/>
      <c r="AI24" s="145" t="n"/>
      <c r="AJ24" s="145" t="n"/>
      <c r="AK24" s="145" t="n">
        <v>28866</v>
      </c>
      <c r="AL24" s="145" t="n"/>
      <c r="AM24" s="145" t="n"/>
      <c r="AN24" s="145" t="n"/>
      <c r="AO24" s="145" t="n">
        <v>28166</v>
      </c>
      <c r="AP24" s="145" t="n"/>
      <c r="AQ24" s="145" t="n"/>
      <c r="AR24" s="145" t="n"/>
      <c r="AS24" s="145" t="n">
        <v>36836</v>
      </c>
      <c r="AT24" s="145" t="n"/>
      <c r="AU24" s="145" t="n"/>
      <c r="AV24" s="145" t="n"/>
      <c r="AW24" s="145" t="n">
        <v>43469</v>
      </c>
      <c r="AX24" s="145" t="n"/>
      <c r="AY24" s="145" t="n"/>
      <c r="AZ24" s="145" t="n"/>
      <c r="BA24" s="145" t="n">
        <v>40779</v>
      </c>
      <c r="BB24" s="145" t="n"/>
      <c r="BC24" s="145" t="n"/>
      <c r="BD24" s="145" t="n"/>
      <c r="BE24" s="145" t="n">
        <v>63859</v>
      </c>
      <c r="BF24" s="145" t="n"/>
      <c r="BG24" s="145" t="n"/>
      <c r="BH24" s="145" t="n"/>
      <c r="BI24" s="145" t="n">
        <v>69257</v>
      </c>
      <c r="BJ24" s="145" t="n"/>
      <c r="BK24" s="145" t="n"/>
      <c r="BL24" s="145" t="n"/>
      <c r="BM24" s="145" t="n">
        <v>54308</v>
      </c>
      <c r="BN24" s="145" t="n"/>
      <c r="BO24" s="145" t="n"/>
      <c r="BP24" s="145" t="n"/>
      <c r="BQ24" s="145" t="n">
        <v>55576</v>
      </c>
      <c r="BR24" s="145" t="n"/>
      <c r="DA24" s="406" t="n"/>
      <c r="DB24" s="406" t="n"/>
      <c r="DC24" s="406" t="n"/>
      <c r="DD24" s="406" t="n"/>
      <c r="DE24" s="406" t="n"/>
      <c r="DF24" s="406" t="n"/>
      <c r="DG24" s="406" t="n"/>
      <c r="DH24" s="406" t="n"/>
      <c r="DI24" s="406" t="n"/>
      <c r="DJ24" s="406" t="n"/>
      <c r="DK24" s="406" t="n"/>
      <c r="DL24" s="406" t="n"/>
      <c r="DM24" s="406" t="n"/>
      <c r="DN24" s="406" t="n"/>
      <c r="DO24" s="406" t="n"/>
      <c r="DP24" s="406" t="n"/>
      <c r="DQ24" s="406" t="n"/>
      <c r="DR24" s="406" t="n"/>
    </row>
    <row r="25">
      <c r="A25" s="33" t="inlineStr">
        <is>
          <t>Communications</t>
        </is>
      </c>
      <c r="B25" s="145" t="n"/>
      <c r="C25" s="145" t="n"/>
      <c r="D25" s="145" t="n"/>
      <c r="E25" s="145" t="n"/>
      <c r="F25" s="145" t="n"/>
      <c r="H25" s="145" t="n"/>
      <c r="I25" s="145" t="n"/>
      <c r="J25" s="145" t="n"/>
      <c r="K25" s="145" t="n"/>
      <c r="L25" s="145" t="n"/>
      <c r="M25" s="145" t="n"/>
      <c r="N25" s="145" t="n">
        <v>1854</v>
      </c>
      <c r="O25" s="145" t="n">
        <v>3986</v>
      </c>
      <c r="P25" s="145" t="n">
        <v>9192</v>
      </c>
      <c r="Q25" s="145" t="n">
        <v>14020</v>
      </c>
      <c r="R25" s="145" t="n">
        <v>3202</v>
      </c>
      <c r="S25" s="145" t="n">
        <v>9068</v>
      </c>
      <c r="T25" s="145" t="n">
        <v>16419</v>
      </c>
      <c r="U25" s="145" t="n">
        <v>20368</v>
      </c>
      <c r="V25" s="145" t="n"/>
      <c r="W25" s="145" t="n"/>
      <c r="X25" s="145" t="n"/>
      <c r="Y25" s="145" t="n">
        <v>21706</v>
      </c>
      <c r="Z25" s="145" t="n"/>
      <c r="AA25" s="145" t="n"/>
      <c r="AB25" s="145" t="n"/>
      <c r="AC25" s="145" t="n">
        <v>9135</v>
      </c>
      <c r="AD25" s="145" t="n"/>
      <c r="AE25" s="145" t="n"/>
      <c r="AF25" s="145" t="n"/>
      <c r="AG25" s="145" t="n">
        <v>8523</v>
      </c>
      <c r="AH25" s="145" t="n"/>
      <c r="AI25" s="145" t="n"/>
      <c r="AJ25" s="145" t="n"/>
      <c r="AK25" s="145" t="n">
        <v>14399</v>
      </c>
      <c r="AL25" s="145" t="n"/>
      <c r="AM25" s="145" t="n"/>
      <c r="AN25" s="145" t="n"/>
      <c r="AO25" s="145" t="n">
        <v>28823</v>
      </c>
      <c r="AP25" s="145" t="n"/>
      <c r="AQ25" s="145" t="n"/>
      <c r="AR25" s="145" t="n"/>
      <c r="AS25" s="145" t="n">
        <v>32023</v>
      </c>
      <c r="AT25" s="145" t="n"/>
      <c r="AU25" s="145" t="n"/>
      <c r="AV25" s="145" t="n"/>
      <c r="AW25" s="145" t="n">
        <v>34397</v>
      </c>
      <c r="AX25" s="145" t="n"/>
      <c r="AY25" s="145" t="n"/>
      <c r="AZ25" s="145" t="n"/>
      <c r="BA25" s="145" t="n">
        <v>30111</v>
      </c>
      <c r="BB25" s="145" t="n"/>
      <c r="BC25" s="145" t="n"/>
      <c r="BD25" s="145" t="n"/>
      <c r="BE25" s="145" t="n">
        <v>23144</v>
      </c>
      <c r="BF25" s="145" t="n"/>
      <c r="BG25" s="145" t="n"/>
      <c r="BH25" s="145" t="n"/>
      <c r="BI25" s="145" t="n">
        <v>23263</v>
      </c>
      <c r="BJ25" s="145" t="n"/>
      <c r="BK25" s="145" t="n"/>
      <c r="BL25" s="145" t="n"/>
      <c r="BM25" s="145" t="n">
        <v>13575</v>
      </c>
      <c r="BN25" s="145" t="n"/>
      <c r="BO25" s="145" t="n"/>
      <c r="BP25" s="145" t="n"/>
      <c r="BQ25" s="145" t="n">
        <v>7488</v>
      </c>
      <c r="BR25" s="145" t="n"/>
      <c r="DA25" s="406" t="n"/>
      <c r="DB25" s="406" t="n"/>
      <c r="DC25" s="406" t="n"/>
      <c r="DD25" s="406" t="n"/>
      <c r="DE25" s="406" t="n"/>
      <c r="DF25" s="406" t="n"/>
      <c r="DG25" s="406" t="n"/>
      <c r="DH25" s="406" t="n"/>
      <c r="DI25" s="406" t="n"/>
      <c r="DJ25" s="406" t="n"/>
      <c r="DK25" s="406" t="n"/>
      <c r="DL25" s="406" t="n"/>
      <c r="DM25" s="406" t="n"/>
      <c r="DN25" s="406" t="n"/>
      <c r="DO25" s="406" t="n"/>
      <c r="DP25" s="406" t="n"/>
      <c r="DQ25" s="406" t="n"/>
      <c r="DR25" s="406" t="n"/>
    </row>
    <row r="26">
      <c r="A26" s="33" t="inlineStr">
        <is>
          <t>Medical</t>
        </is>
      </c>
      <c r="B26" s="145" t="n"/>
      <c r="C26" s="145" t="n"/>
      <c r="D26" s="145" t="n"/>
      <c r="E26" s="145" t="n"/>
      <c r="F26" s="145" t="n"/>
      <c r="H26" s="145" t="n"/>
      <c r="I26" s="145" t="n"/>
      <c r="J26" s="145" t="n"/>
      <c r="K26" s="145" t="n"/>
      <c r="L26" s="145" t="n"/>
      <c r="M26" s="145" t="n"/>
      <c r="N26" s="145" t="n">
        <v>1926</v>
      </c>
      <c r="O26" s="145" t="n">
        <v>4405</v>
      </c>
      <c r="P26" s="145" t="n">
        <v>5784</v>
      </c>
      <c r="Q26" s="145" t="n">
        <v>8026</v>
      </c>
      <c r="R26" s="145" t="n">
        <v>2127</v>
      </c>
      <c r="S26" s="145" t="n">
        <v>4044</v>
      </c>
      <c r="T26" s="145" t="n">
        <v>6447</v>
      </c>
      <c r="U26" s="145" t="n">
        <v>8753</v>
      </c>
      <c r="V26" s="145" t="n"/>
      <c r="W26" s="145" t="n"/>
      <c r="X26" s="145" t="n"/>
      <c r="Y26" s="145" t="n">
        <v>5757</v>
      </c>
      <c r="Z26" s="145" t="n"/>
      <c r="AA26" s="145" t="n"/>
      <c r="AB26" s="145" t="n"/>
      <c r="AC26" s="145" t="n">
        <v>4007</v>
      </c>
      <c r="AD26" s="145" t="n"/>
      <c r="AE26" s="145" t="n"/>
      <c r="AF26" s="145" t="n"/>
      <c r="AG26" s="145" t="n">
        <v>4331</v>
      </c>
      <c r="AH26" s="145" t="n"/>
      <c r="AI26" s="145" t="n"/>
      <c r="AJ26" s="145" t="n"/>
      <c r="AK26" s="145" t="n">
        <v>8665</v>
      </c>
      <c r="AL26" s="145" t="n"/>
      <c r="AM26" s="145" t="n"/>
      <c r="AN26" s="145" t="n"/>
      <c r="AO26" s="145" t="n">
        <v>7065</v>
      </c>
      <c r="AP26" s="145" t="n"/>
      <c r="AQ26" s="145" t="n"/>
      <c r="AR26" s="145" t="n"/>
      <c r="AS26" s="145" t="n">
        <v>7423</v>
      </c>
      <c r="AT26" s="145" t="n"/>
      <c r="AU26" s="145" t="n"/>
      <c r="AV26" s="145" t="n"/>
      <c r="AW26" s="145" t="n">
        <v>7560</v>
      </c>
      <c r="AX26" s="145" t="n"/>
      <c r="AY26" s="145" t="n"/>
      <c r="AZ26" s="145" t="n"/>
      <c r="BA26" s="145" t="n">
        <v>14480</v>
      </c>
      <c r="BB26" s="145" t="n"/>
      <c r="BC26" s="145" t="n"/>
      <c r="BD26" s="145" t="n"/>
      <c r="BE26" s="145" t="n">
        <v>31243</v>
      </c>
      <c r="BF26" s="145" t="n"/>
      <c r="BG26" s="145" t="n"/>
      <c r="BH26" s="145" t="n"/>
      <c r="BI26" s="145" t="n">
        <v>42936</v>
      </c>
      <c r="BJ26" s="145" t="n"/>
      <c r="BK26" s="145" t="n"/>
      <c r="BL26" s="145" t="n"/>
      <c r="BM26" s="145" t="n">
        <v>70402</v>
      </c>
      <c r="BN26" s="145" t="n"/>
      <c r="BO26" s="145" t="n"/>
      <c r="BP26" s="145" t="n"/>
      <c r="BQ26" s="145" t="n">
        <v>71571</v>
      </c>
      <c r="BR26" s="145" t="n"/>
      <c r="DA26" s="406" t="n"/>
      <c r="DB26" s="406" t="n"/>
      <c r="DC26" s="406" t="n"/>
      <c r="DD26" s="406" t="n"/>
      <c r="DE26" s="406" t="n"/>
      <c r="DF26" s="406" t="n"/>
      <c r="DG26" s="406" t="n"/>
      <c r="DH26" s="406" t="n"/>
      <c r="DI26" s="406" t="n"/>
      <c r="DJ26" s="406" t="n"/>
      <c r="DK26" s="406" t="n"/>
      <c r="DL26" s="406" t="n"/>
      <c r="DM26" s="406" t="n"/>
      <c r="DN26" s="406" t="n"/>
      <c r="DO26" s="406" t="n"/>
      <c r="DP26" s="406" t="n"/>
      <c r="DQ26" s="406" t="n"/>
      <c r="DR26" s="406" t="n"/>
    </row>
    <row r="27">
      <c r="A27" s="40" t="inlineStr">
        <is>
          <t>Total</t>
        </is>
      </c>
      <c r="B27" s="121" t="n"/>
      <c r="C27" s="121" t="n"/>
      <c r="D27" s="121" t="n"/>
      <c r="E27" s="121" t="n"/>
      <c r="F27" s="121" t="n"/>
      <c r="G27" s="121" t="n"/>
      <c r="H27" s="121" t="n"/>
      <c r="I27" s="121" t="n"/>
      <c r="J27" s="121" t="n"/>
      <c r="K27" s="121" t="n"/>
      <c r="L27" s="121" t="n"/>
      <c r="M27" s="121" t="n"/>
      <c r="N27" s="133" t="n">
        <v>51204</v>
      </c>
      <c r="O27" s="133" t="n">
        <v>118462</v>
      </c>
      <c r="P27" s="133" t="n">
        <v>198271</v>
      </c>
      <c r="Q27" s="133" t="n">
        <v>299256</v>
      </c>
      <c r="R27" s="133" t="n">
        <v>99958</v>
      </c>
      <c r="S27" s="133" t="n">
        <v>221894</v>
      </c>
      <c r="T27" s="133" t="n">
        <v>350958</v>
      </c>
      <c r="U27" s="133" t="n">
        <v>474482</v>
      </c>
      <c r="V27" s="133" t="n">
        <v>123192</v>
      </c>
      <c r="W27" s="133" t="n">
        <v>261119</v>
      </c>
      <c r="X27" s="133" t="n">
        <v>417498</v>
      </c>
      <c r="Y27" s="133" t="n">
        <v>562528</v>
      </c>
      <c r="Z27" s="133" t="n">
        <v>141852</v>
      </c>
      <c r="AA27" s="133" t="n">
        <v>310023</v>
      </c>
      <c r="AB27" s="133" t="n">
        <v>482175</v>
      </c>
      <c r="AC27" s="133" t="n">
        <v>648034</v>
      </c>
      <c r="AD27" s="133" t="n">
        <v>170575</v>
      </c>
      <c r="AE27" s="133" t="n">
        <v>362779</v>
      </c>
      <c r="AF27" s="133" t="n">
        <v>562430</v>
      </c>
      <c r="AG27" s="133" t="n">
        <v>769832</v>
      </c>
      <c r="AH27" s="133" t="n">
        <v>198960</v>
      </c>
      <c r="AI27" s="133" t="n">
        <v>434098</v>
      </c>
      <c r="AJ27" s="133" t="n">
        <v>677639</v>
      </c>
      <c r="AK27" s="133" t="n">
        <v>901265</v>
      </c>
      <c r="AL27" s="133" t="n">
        <v>207248</v>
      </c>
      <c r="AM27" s="133" t="n">
        <v>460035</v>
      </c>
      <c r="AN27" s="133" t="n">
        <v>726052</v>
      </c>
      <c r="AO27" s="133" t="n">
        <v>1006173</v>
      </c>
      <c r="AP27" s="133" t="n">
        <v>285846</v>
      </c>
      <c r="AQ27" s="133" t="n">
        <v>655219</v>
      </c>
      <c r="AR27" s="133" t="n">
        <v>1047834</v>
      </c>
      <c r="AS27" s="133" t="n">
        <v>1408889</v>
      </c>
      <c r="AT27" s="133" t="n">
        <v>359864</v>
      </c>
      <c r="AU27" s="133" t="n">
        <v>773477</v>
      </c>
      <c r="AV27" s="133" t="n">
        <v>1129823</v>
      </c>
      <c r="AW27" s="133" t="n">
        <v>1459874</v>
      </c>
      <c r="AX27" s="133" t="n">
        <v>315047</v>
      </c>
      <c r="AY27" s="133" t="n">
        <v>678816</v>
      </c>
      <c r="AZ27" s="133" t="n">
        <v>1007954</v>
      </c>
      <c r="BA27" s="133" t="n">
        <v>1314581</v>
      </c>
      <c r="BB27" s="133" t="n">
        <v>249242</v>
      </c>
      <c r="BC27" s="133" t="n">
        <v>545653</v>
      </c>
      <c r="BD27" s="133" t="n">
        <v>864094</v>
      </c>
      <c r="BE27" s="133" t="n">
        <v>1200724</v>
      </c>
      <c r="BF27" s="133" t="n">
        <v>345585</v>
      </c>
      <c r="BG27" s="133" t="n">
        <v>717243</v>
      </c>
      <c r="BH27" s="133" t="n">
        <v>1096393</v>
      </c>
      <c r="BI27" s="133" t="n">
        <v>1460860</v>
      </c>
      <c r="BJ27" s="133" t="n">
        <v>369979</v>
      </c>
      <c r="BK27" s="133" t="n">
        <v>747002</v>
      </c>
      <c r="BL27" s="133" t="n">
        <v>1096008</v>
      </c>
      <c r="BM27" s="133" t="n">
        <v>1429547</v>
      </c>
      <c r="BN27" s="133" t="n">
        <v>347174</v>
      </c>
      <c r="BO27" s="133" t="n">
        <v>687145</v>
      </c>
      <c r="BP27" s="133" t="n">
        <v>988546</v>
      </c>
      <c r="BQ27" s="133" t="n">
        <v>1287439</v>
      </c>
      <c r="BR27" s="133" t="n">
        <v>252009</v>
      </c>
      <c r="BS27" t="n">
        <v>257645</v>
      </c>
      <c r="BT27" t="inlineStr">
        <is>
          <t>IPGP-Financial-Data-Workbook-2024-Q2.xlsx|Key Metrics|31|93</t>
        </is>
      </c>
      <c r="DA27" s="406" t="n"/>
      <c r="DB27" s="406" t="n"/>
      <c r="DC27" s="406" t="n"/>
      <c r="DD27" s="406" t="n"/>
      <c r="DE27" s="406" t="n"/>
      <c r="DF27" s="406" t="n"/>
      <c r="DG27" s="406" t="n"/>
      <c r="DH27" s="406" t="n"/>
      <c r="DI27" s="406" t="n"/>
      <c r="DJ27" s="406" t="n"/>
      <c r="DK27" s="406" t="n"/>
      <c r="DL27" s="406" t="n"/>
      <c r="DM27" s="406" t="n"/>
      <c r="DN27" s="406" t="n"/>
      <c r="DO27" s="406" t="n"/>
      <c r="DP27" s="406" t="n"/>
      <c r="DQ27" s="406" t="n"/>
      <c r="DR27" s="406" t="n"/>
    </row>
    <row r="28">
      <c r="A28" s="40" t="n"/>
      <c r="B28" s="121" t="n"/>
      <c r="C28" s="121" t="n"/>
      <c r="D28" s="121" t="n"/>
      <c r="E28" s="121" t="n"/>
      <c r="F28" s="121" t="n"/>
      <c r="G28" s="121" t="n"/>
      <c r="H28" s="121" t="n"/>
      <c r="I28" s="121" t="n"/>
      <c r="J28" s="121" t="n"/>
      <c r="K28" s="121" t="n"/>
      <c r="L28" s="121" t="n"/>
      <c r="M28" s="121" t="n"/>
      <c r="N28" s="133" t="n"/>
      <c r="O28" s="133" t="n"/>
      <c r="P28" s="133" t="n"/>
      <c r="Q28" s="133" t="n"/>
      <c r="R28" s="133" t="n"/>
      <c r="S28" s="133" t="n"/>
      <c r="T28" s="133" t="n"/>
      <c r="U28" s="133" t="n"/>
      <c r="V28" s="133" t="n"/>
      <c r="W28" s="133" t="n"/>
      <c r="X28" s="133" t="n"/>
      <c r="Y28" s="133" t="n"/>
      <c r="Z28" s="133" t="n"/>
      <c r="AA28" s="133" t="n"/>
      <c r="AC28" s="133" t="n"/>
      <c r="AD28" s="133" t="n"/>
      <c r="AE28" s="133" t="n"/>
      <c r="AF28" s="133" t="n"/>
      <c r="AG28" s="133" t="n"/>
      <c r="AH28" s="133" t="n"/>
      <c r="AI28" s="133" t="n"/>
      <c r="AJ28" s="133" t="n"/>
      <c r="AK28" s="133" t="n"/>
      <c r="AL28" s="133" t="n"/>
      <c r="AM28" s="133" t="n"/>
      <c r="AN28" s="133" t="n"/>
      <c r="AO28" s="133" t="n"/>
      <c r="AP28" s="133" t="n"/>
      <c r="AQ28" s="133" t="n"/>
      <c r="AR28" s="133" t="n"/>
      <c r="AS28" s="133" t="n"/>
    </row>
    <row r="29">
      <c r="A29" s="40" t="inlineStr">
        <is>
          <t>Segment breakdown</t>
        </is>
      </c>
      <c r="B29" s="121" t="n"/>
      <c r="C29" s="121" t="n"/>
      <c r="D29" s="121" t="n"/>
      <c r="E29" s="121" t="n"/>
      <c r="F29" s="121" t="n"/>
      <c r="G29" s="121" t="n"/>
      <c r="H29" s="121" t="n"/>
      <c r="I29" s="121" t="n"/>
      <c r="J29" s="121" t="n"/>
      <c r="K29" s="121" t="n"/>
      <c r="L29" s="121" t="n"/>
      <c r="M29" s="121" t="n"/>
      <c r="N29" s="133" t="n"/>
      <c r="O29" s="133" t="n"/>
      <c r="P29" s="133" t="n"/>
      <c r="Q29" s="133" t="n"/>
      <c r="R29" s="133" t="n"/>
      <c r="S29" s="133" t="n"/>
      <c r="T29" s="133" t="n"/>
      <c r="U29" s="133" t="n"/>
      <c r="V29" s="133" t="n"/>
      <c r="W29" s="133" t="n"/>
      <c r="X29" s="133" t="n"/>
      <c r="Y29" s="133" t="n"/>
      <c r="Z29" s="133" t="n"/>
      <c r="AA29" s="133" t="n"/>
      <c r="AC29" s="133" t="n"/>
      <c r="AD29" s="133" t="n"/>
      <c r="AE29" s="133" t="n"/>
      <c r="AF29" s="133" t="n"/>
      <c r="AG29" s="133" t="n"/>
      <c r="AH29" s="133" t="n"/>
      <c r="AI29" s="133" t="n"/>
      <c r="AJ29" s="133" t="n"/>
      <c r="AK29" s="133" t="n"/>
      <c r="AL29" s="133" t="n"/>
      <c r="AM29" s="133" t="n"/>
      <c r="AN29" s="133" t="n"/>
      <c r="AO29" s="133" t="n"/>
      <c r="AP29" s="133" t="n"/>
      <c r="AQ29" s="133" t="n"/>
      <c r="AR29" s="133" t="n"/>
      <c r="AS29" s="133" t="n"/>
      <c r="AW29" s="110" t="n"/>
      <c r="AX29" s="110" t="n"/>
      <c r="AY29" s="110" t="n"/>
      <c r="AZ29" s="110" t="n"/>
      <c r="BA29" s="110" t="n"/>
      <c r="BB29" s="110" t="n"/>
      <c r="BC29" s="110" t="n"/>
      <c r="BD29" s="110" t="n"/>
      <c r="BE29" s="110" t="n"/>
      <c r="BF29" s="110" t="n"/>
      <c r="BG29" s="110" t="n"/>
      <c r="BH29" s="110" t="n"/>
      <c r="BJ29" s="110" t="n"/>
      <c r="BN29" s="110" t="n"/>
      <c r="BO29" s="110" t="n"/>
    </row>
    <row r="30">
      <c r="A30" s="74" t="inlineStr">
        <is>
          <t>High-power CW lasers (1 Kilowatt or Greater)</t>
        </is>
      </c>
      <c r="B30" s="121" t="n"/>
      <c r="C30" s="121" t="n"/>
      <c r="D30" s="121" t="n"/>
      <c r="E30" s="121" t="n"/>
      <c r="F30" s="121" t="n"/>
      <c r="G30" s="121" t="n"/>
      <c r="H30" s="121" t="n"/>
      <c r="I30" s="121" t="n"/>
      <c r="J30" s="121" t="n"/>
      <c r="K30" s="121" t="n"/>
      <c r="L30" s="121" t="n"/>
      <c r="M30" s="121" t="n"/>
      <c r="N30" s="145" t="n"/>
      <c r="O30" s="145" t="n"/>
      <c r="P30" s="145" t="n"/>
      <c r="Q30" s="145" t="n"/>
      <c r="R30" s="145" t="n"/>
      <c r="S30" s="145" t="n"/>
      <c r="T30" s="145" t="n"/>
      <c r="U30" s="145" t="n"/>
      <c r="V30" s="145" t="n"/>
      <c r="W30" s="145" t="n"/>
      <c r="X30" s="145" t="n"/>
      <c r="Y30" s="145" t="n"/>
      <c r="Z30" s="145" t="n">
        <v>74572</v>
      </c>
      <c r="AA30" s="145" t="n">
        <v>159586</v>
      </c>
      <c r="AB30" s="145" t="n">
        <v>255299</v>
      </c>
      <c r="AC30" s="145" t="n">
        <v>342784</v>
      </c>
      <c r="AD30" s="145" t="n">
        <v>99455</v>
      </c>
      <c r="AE30" s="145" t="n">
        <v>203153</v>
      </c>
      <c r="AF30" s="145" t="n">
        <v>308595</v>
      </c>
      <c r="AG30" s="145" t="n">
        <v>423984</v>
      </c>
      <c r="AH30" s="145" t="n">
        <v>114316</v>
      </c>
      <c r="AI30" s="145" t="n">
        <v>246096</v>
      </c>
      <c r="AJ30" s="145" t="n">
        <v>377013</v>
      </c>
      <c r="AK30" s="145" t="n">
        <v>499598</v>
      </c>
      <c r="AL30" s="145" t="n">
        <v>118220</v>
      </c>
      <c r="AM30" s="145" t="n">
        <v>259626</v>
      </c>
      <c r="AN30" s="145" t="n">
        <v>412628</v>
      </c>
      <c r="AO30" s="145" t="n">
        <v>578668</v>
      </c>
      <c r="AP30" s="145" t="n">
        <v>167944</v>
      </c>
      <c r="AQ30" s="145" t="n">
        <v>390148</v>
      </c>
      <c r="AR30" s="145" t="n">
        <v>634387</v>
      </c>
      <c r="AS30" s="145" t="n">
        <v>867463</v>
      </c>
      <c r="AT30" s="145" t="n">
        <v>230574</v>
      </c>
      <c r="AU30" s="145" t="n">
        <v>496649</v>
      </c>
      <c r="AV30" s="145" t="n">
        <v>724111</v>
      </c>
      <c r="AW30" s="145" t="n">
        <v>909726</v>
      </c>
      <c r="AX30" s="145" t="n">
        <v>179019</v>
      </c>
      <c r="AY30" s="145" t="n">
        <v>392430</v>
      </c>
      <c r="AZ30" s="145" t="n">
        <v>577354</v>
      </c>
      <c r="BA30" s="145" t="n">
        <v>734745</v>
      </c>
      <c r="BB30" s="145" t="n">
        <v>119316</v>
      </c>
      <c r="BC30" s="145" t="n">
        <v>276794</v>
      </c>
      <c r="BD30" s="145" t="n">
        <v>461181</v>
      </c>
      <c r="BE30" s="145" t="n">
        <v>646062</v>
      </c>
      <c r="BF30" s="145" t="n">
        <v>170482</v>
      </c>
      <c r="BG30" s="145" t="n">
        <v>360226</v>
      </c>
      <c r="BH30" s="145" t="n">
        <v>538013</v>
      </c>
      <c r="BI30" s="145" t="n">
        <v>687406</v>
      </c>
      <c r="BJ30" s="145" t="n">
        <v>167691</v>
      </c>
      <c r="BK30" s="145" t="n">
        <v>330688</v>
      </c>
      <c r="BL30" s="145" t="n">
        <v>483455</v>
      </c>
      <c r="BM30" s="145" t="n">
        <v>613734</v>
      </c>
      <c r="BN30" s="145" t="n">
        <v>154034</v>
      </c>
      <c r="BO30" s="145" t="n">
        <v>300026</v>
      </c>
      <c r="BP30" s="145" t="n">
        <v>419538</v>
      </c>
      <c r="BQ30" s="145" t="n">
        <v>524981</v>
      </c>
      <c r="BR30" s="145" t="n">
        <v>90793</v>
      </c>
      <c r="BS30" t="n">
        <v>82225</v>
      </c>
      <c r="BT30" t="inlineStr">
        <is>
          <t>IPGP-Financial-Data-Workbook-2024-Q2.xlsx|Key Metrics|46|93</t>
        </is>
      </c>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row>
    <row r="31">
      <c r="A31" s="74" t="inlineStr">
        <is>
          <t>Medium-power CW lasers (Less Than 1 Kilowatt)</t>
        </is>
      </c>
      <c r="B31" s="121" t="n"/>
      <c r="C31" s="121" t="n"/>
      <c r="D31" s="121" t="n"/>
      <c r="E31" s="121" t="n"/>
      <c r="F31" s="121" t="n"/>
      <c r="G31" s="121" t="n"/>
      <c r="H31" s="121" t="n"/>
      <c r="I31" s="121" t="n"/>
      <c r="J31" s="121" t="n"/>
      <c r="K31" s="121" t="n"/>
      <c r="L31" s="121" t="n"/>
      <c r="M31" s="121" t="n"/>
      <c r="N31" s="145" t="n"/>
      <c r="O31" s="145" t="n"/>
      <c r="P31" s="145" t="n"/>
      <c r="Q31" s="145" t="n"/>
      <c r="R31" s="145" t="n"/>
      <c r="S31" s="145" t="n"/>
      <c r="T31" s="145" t="n"/>
      <c r="U31" s="145" t="n"/>
      <c r="V31" s="145" t="n"/>
      <c r="W31" s="145" t="n"/>
      <c r="X31" s="145" t="n"/>
      <c r="Y31" s="145" t="n"/>
      <c r="Z31" s="145" t="n">
        <v>14604</v>
      </c>
      <c r="AA31" s="145" t="n">
        <v>33848</v>
      </c>
      <c r="AB31" s="145" t="n">
        <v>50814</v>
      </c>
      <c r="AC31" s="145" t="n">
        <v>67014</v>
      </c>
      <c r="AD31" s="145" t="n">
        <v>20593</v>
      </c>
      <c r="AE31" s="145" t="n">
        <v>44753</v>
      </c>
      <c r="AF31" s="145" t="n">
        <v>68597</v>
      </c>
      <c r="AG31" s="145" t="n">
        <v>93426</v>
      </c>
      <c r="AH31" s="145" t="n">
        <v>25613</v>
      </c>
      <c r="AI31" s="145" t="n">
        <v>56554</v>
      </c>
      <c r="AJ31" s="145" t="n">
        <v>86953</v>
      </c>
      <c r="AK31" s="145" t="n">
        <v>114672</v>
      </c>
      <c r="AL31" s="145" t="n">
        <v>26292</v>
      </c>
      <c r="AM31" s="145" t="n">
        <v>56871</v>
      </c>
      <c r="AN31" s="145" t="n">
        <v>84874</v>
      </c>
      <c r="AO31" s="145" t="n">
        <v>112726</v>
      </c>
      <c r="AP31" s="145" t="n">
        <v>23136</v>
      </c>
      <c r="AQ31" s="145" t="n">
        <v>56409</v>
      </c>
      <c r="AR31" s="145" t="n">
        <v>89970</v>
      </c>
      <c r="AS31" s="145" t="n">
        <v>118705</v>
      </c>
      <c r="AT31" s="145" t="n">
        <v>25399</v>
      </c>
      <c r="AU31" s="145" t="n">
        <v>56371</v>
      </c>
      <c r="AV31" s="145" t="n">
        <v>75472</v>
      </c>
      <c r="AW31" s="145" t="n">
        <v>95764</v>
      </c>
      <c r="AX31" s="145" t="n">
        <v>15598</v>
      </c>
      <c r="AY31" s="145" t="n">
        <v>31013</v>
      </c>
      <c r="AZ31" s="145" t="n">
        <v>42904</v>
      </c>
      <c r="BA31" s="145" t="n">
        <v>56625</v>
      </c>
      <c r="BB31" s="145" t="n">
        <v>11253</v>
      </c>
      <c r="BC31" s="145" t="n">
        <v>21945</v>
      </c>
      <c r="BD31" s="145" t="n">
        <v>33701</v>
      </c>
      <c r="BE31" s="145" t="n">
        <v>50796</v>
      </c>
      <c r="BF31" s="145" t="n">
        <v>15882</v>
      </c>
      <c r="BG31" s="145" t="n">
        <v>34059</v>
      </c>
      <c r="BH31" s="145" t="n">
        <v>58579</v>
      </c>
      <c r="BI31" s="145" t="n">
        <v>80501</v>
      </c>
      <c r="BJ31" s="145" t="n">
        <v>23668</v>
      </c>
      <c r="BK31" s="145" t="n">
        <v>42591</v>
      </c>
      <c r="BL31" s="145" t="n">
        <v>63230</v>
      </c>
      <c r="BM31" s="145" t="n">
        <v>77079</v>
      </c>
      <c r="BN31" s="145" t="n">
        <v>13839</v>
      </c>
      <c r="BO31" s="145" t="n">
        <v>36209</v>
      </c>
      <c r="BP31" s="145" t="n">
        <v>57146</v>
      </c>
      <c r="BQ31" s="145" t="n">
        <v>71672</v>
      </c>
      <c r="BR31" s="145" t="n">
        <v>16214</v>
      </c>
      <c r="BS31" t="n">
        <v>15758</v>
      </c>
      <c r="BT31" t="inlineStr">
        <is>
          <t>IPGP-Financial-Data-Workbook-2024-Q2.xlsx|Key Metrics|47|93</t>
        </is>
      </c>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row>
    <row r="32">
      <c r="A32" s="74" t="inlineStr">
        <is>
          <t>Pulsed lasers</t>
        </is>
      </c>
      <c r="B32" s="121" t="n"/>
      <c r="C32" s="121" t="n"/>
      <c r="D32" s="121" t="n"/>
      <c r="E32" s="121" t="n"/>
      <c r="F32" s="121" t="n"/>
      <c r="G32" s="121" t="n"/>
      <c r="H32" s="121" t="n"/>
      <c r="I32" s="121" t="n"/>
      <c r="J32" s="121" t="n"/>
      <c r="K32" s="121" t="n"/>
      <c r="L32" s="121" t="n"/>
      <c r="M32" s="121" t="n"/>
      <c r="N32" s="145" t="n"/>
      <c r="O32" s="145" t="n"/>
      <c r="P32" s="145" t="n"/>
      <c r="Q32" s="145" t="n"/>
      <c r="R32" s="145" t="n"/>
      <c r="S32" s="145" t="n"/>
      <c r="T32" s="145" t="n"/>
      <c r="U32" s="145" t="n"/>
      <c r="V32" s="145" t="n"/>
      <c r="W32" s="145" t="n"/>
      <c r="X32" s="145" t="n"/>
      <c r="Y32" s="145" t="n"/>
      <c r="Z32" s="145" t="n">
        <v>33230</v>
      </c>
      <c r="AA32" s="145" t="n">
        <v>73072</v>
      </c>
      <c r="AB32" s="145" t="n">
        <v>107367</v>
      </c>
      <c r="AC32" s="145" t="n">
        <v>134652</v>
      </c>
      <c r="AD32" s="145" t="n">
        <v>28642</v>
      </c>
      <c r="AE32" s="145" t="n">
        <v>61069</v>
      </c>
      <c r="AF32" s="145" t="n">
        <v>99442</v>
      </c>
      <c r="AG32" s="145" t="n">
        <v>131420</v>
      </c>
      <c r="AH32" s="145" t="n">
        <v>29850</v>
      </c>
      <c r="AI32" s="145" t="n">
        <v>61990</v>
      </c>
      <c r="AJ32" s="145" t="n">
        <v>97036</v>
      </c>
      <c r="AK32" s="145" t="n">
        <v>124843</v>
      </c>
      <c r="AL32" s="145" t="n">
        <v>28625</v>
      </c>
      <c r="AM32" s="145" t="n">
        <v>65257</v>
      </c>
      <c r="AN32" s="145" t="n">
        <v>99686</v>
      </c>
      <c r="AO32" s="145" t="n">
        <v>128970</v>
      </c>
      <c r="AP32" s="145" t="n">
        <v>32456</v>
      </c>
      <c r="AQ32" s="145" t="n">
        <v>73562</v>
      </c>
      <c r="AR32" s="145" t="n">
        <v>113443</v>
      </c>
      <c r="AS32" s="145" t="n">
        <v>148702</v>
      </c>
      <c r="AT32" s="145" t="n">
        <v>38253</v>
      </c>
      <c r="AU32" s="145" t="n">
        <v>79835</v>
      </c>
      <c r="AV32" s="145" t="n">
        <v>115243</v>
      </c>
      <c r="AW32" s="145" t="n">
        <v>162048</v>
      </c>
      <c r="AX32" s="145" t="n">
        <v>31437</v>
      </c>
      <c r="AY32" s="145" t="n">
        <v>72250</v>
      </c>
      <c r="AZ32" s="145" t="n">
        <v>106100</v>
      </c>
      <c r="BA32" s="145" t="n">
        <v>137675</v>
      </c>
      <c r="BB32" s="145" t="n">
        <v>31839</v>
      </c>
      <c r="BC32" s="145" t="n">
        <v>74416</v>
      </c>
      <c r="BD32" s="145" t="n">
        <v>109391</v>
      </c>
      <c r="BE32" s="145" t="n">
        <v>158448</v>
      </c>
      <c r="BF32" s="145" t="n">
        <v>55395</v>
      </c>
      <c r="BG32" s="145" t="n">
        <v>117168</v>
      </c>
      <c r="BH32" s="145" t="n">
        <v>176219</v>
      </c>
      <c r="BI32" s="145" t="n">
        <v>240978</v>
      </c>
      <c r="BJ32" s="145" t="n">
        <v>66932</v>
      </c>
      <c r="BK32" s="145" t="n">
        <v>136784</v>
      </c>
      <c r="BL32" s="145" t="n">
        <v>192000</v>
      </c>
      <c r="BM32" s="145" t="n">
        <v>250677</v>
      </c>
      <c r="BN32" s="145" t="n">
        <v>56147</v>
      </c>
      <c r="BO32" s="145" t="n">
        <v>109149</v>
      </c>
      <c r="BP32" s="145" t="n">
        <v>150569</v>
      </c>
      <c r="BQ32" s="145" t="n">
        <v>185581</v>
      </c>
      <c r="BR32" s="145" t="n">
        <v>34819</v>
      </c>
      <c r="BS32" t="n">
        <v>42536</v>
      </c>
      <c r="BT32" t="inlineStr">
        <is>
          <t>IPGP-Financial-Data-Workbook-2024-Q2.xlsx|Key Metrics|48|93</t>
        </is>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row>
    <row r="33">
      <c r="A33" s="74" t="inlineStr">
        <is>
          <t>QCW lasers</t>
        </is>
      </c>
      <c r="B33" s="121" t="n"/>
      <c r="C33" s="121" t="n"/>
      <c r="D33" s="121" t="n"/>
      <c r="E33" s="121" t="n"/>
      <c r="F33" s="121" t="n"/>
      <c r="G33" s="121" t="n"/>
      <c r="H33" s="121" t="n"/>
      <c r="I33" s="121" t="n"/>
      <c r="J33" s="121" t="n"/>
      <c r="K33" s="121" t="n"/>
      <c r="L33" s="121" t="n"/>
      <c r="M33" s="121" t="n"/>
      <c r="N33" s="145" t="n"/>
      <c r="O33" s="145" t="n"/>
      <c r="P33" s="145" t="n"/>
      <c r="Q33" s="145" t="n"/>
      <c r="R33" s="145" t="n"/>
      <c r="S33" s="145" t="n"/>
      <c r="T33" s="145" t="n"/>
      <c r="U33" s="145" t="n"/>
      <c r="V33" s="145" t="n"/>
      <c r="W33" s="145" t="n"/>
      <c r="X33" s="145" t="n"/>
      <c r="Y33" s="145" t="n"/>
      <c r="Z33" s="145" t="n">
        <v>3928</v>
      </c>
      <c r="AA33" s="145" t="n">
        <v>9519</v>
      </c>
      <c r="AB33" s="145" t="n">
        <v>16034</v>
      </c>
      <c r="AC33" s="145" t="n">
        <v>21511</v>
      </c>
      <c r="AD33" s="145" t="n">
        <v>5608</v>
      </c>
      <c r="AE33" s="145" t="n">
        <v>13683</v>
      </c>
      <c r="AF33" s="145" t="n">
        <v>28129</v>
      </c>
      <c r="AG33" s="145" t="n">
        <v>34881</v>
      </c>
      <c r="AH33" s="145" t="n">
        <v>10031</v>
      </c>
      <c r="AI33" s="145" t="n">
        <v>25742</v>
      </c>
      <c r="AJ33" s="145" t="n">
        <v>45591</v>
      </c>
      <c r="AK33" s="145" t="n">
        <v>56505</v>
      </c>
      <c r="AL33" s="145" t="n">
        <v>8600</v>
      </c>
      <c r="AM33" s="145" t="n">
        <v>24825</v>
      </c>
      <c r="AN33" s="145" t="n">
        <v>36485</v>
      </c>
      <c r="AO33" s="145" t="n">
        <v>48613</v>
      </c>
      <c r="AP33" s="145" t="n">
        <v>21368</v>
      </c>
      <c r="AQ33" s="145" t="n">
        <v>50850</v>
      </c>
      <c r="AR33" s="145" t="n">
        <v>74615</v>
      </c>
      <c r="AS33" s="145" t="n">
        <v>88329</v>
      </c>
      <c r="AT33" s="145" t="n">
        <v>16200</v>
      </c>
      <c r="AU33" s="145" t="n">
        <v>36292</v>
      </c>
      <c r="AV33" s="145" t="n">
        <v>54568</v>
      </c>
      <c r="AW33" s="145" t="n">
        <v>66700</v>
      </c>
      <c r="AX33" s="145" t="n">
        <v>14166</v>
      </c>
      <c r="AY33" s="145" t="n">
        <v>30133</v>
      </c>
      <c r="AZ33" s="145" t="n">
        <v>42612</v>
      </c>
      <c r="BA33" s="145" t="n">
        <v>56440</v>
      </c>
      <c r="BB33" s="145" t="n">
        <v>9873</v>
      </c>
      <c r="BC33" s="145" t="n">
        <v>23581</v>
      </c>
      <c r="BD33" s="145" t="n">
        <v>38660</v>
      </c>
      <c r="BE33" s="145" t="n">
        <v>50333</v>
      </c>
      <c r="BF33" s="145" t="n">
        <v>13666</v>
      </c>
      <c r="BG33" s="145" t="n">
        <v>29191</v>
      </c>
      <c r="BH33" s="145" t="n">
        <v>45503</v>
      </c>
      <c r="BI33" s="145" t="n">
        <v>60668</v>
      </c>
      <c r="BJ33" s="145" t="n">
        <v>12780</v>
      </c>
      <c r="BK33" s="145" t="n">
        <v>26859</v>
      </c>
      <c r="BL33" s="145" t="n">
        <v>38212</v>
      </c>
      <c r="BM33" s="145" t="n">
        <v>50212</v>
      </c>
      <c r="BN33" s="145" t="n">
        <v>11282</v>
      </c>
      <c r="BO33" s="145" t="n">
        <v>25122</v>
      </c>
      <c r="BP33" s="145" t="n">
        <v>35978</v>
      </c>
      <c r="BQ33" s="145" t="n">
        <v>48648</v>
      </c>
      <c r="BR33" s="145" t="n">
        <v>15791</v>
      </c>
      <c r="BS33" t="n">
        <v>10549</v>
      </c>
      <c r="BT33" t="inlineStr">
        <is>
          <t>IPGP-Financial-Data-Workbook-2024-Q2.xlsx|Key Metrics|49|93</t>
        </is>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row>
    <row r="34">
      <c r="A34" s="74" t="inlineStr">
        <is>
          <t>Systems</t>
        </is>
      </c>
      <c r="B34" s="121" t="n"/>
      <c r="C34" s="121" t="n"/>
      <c r="D34" s="121" t="n"/>
      <c r="E34" s="121" t="n"/>
      <c r="F34" s="121" t="n"/>
      <c r="G34" s="121" t="n"/>
      <c r="H34" s="121" t="n"/>
      <c r="I34" s="121" t="n"/>
      <c r="J34" s="121" t="n"/>
      <c r="K34" s="121" t="n"/>
      <c r="L34" s="121" t="n"/>
      <c r="M34" s="121" t="n"/>
      <c r="N34" s="145" t="n"/>
      <c r="O34" s="145" t="n"/>
      <c r="P34" s="145" t="n"/>
      <c r="Q34" s="145" t="n"/>
      <c r="R34" s="145" t="n"/>
      <c r="S34" s="145" t="n"/>
      <c r="T34" s="145" t="n"/>
      <c r="U34" s="145" t="n"/>
      <c r="V34" s="145" t="n"/>
      <c r="W34" s="145" t="n"/>
      <c r="X34" s="145" t="n"/>
      <c r="Y34" s="145" t="n"/>
      <c r="Z34" s="145" t="n">
        <v>1544</v>
      </c>
      <c r="AA34" s="145" t="n">
        <v>4612</v>
      </c>
      <c r="AB34" s="145" t="n">
        <v>7192</v>
      </c>
      <c r="AC34" s="145" t="n">
        <v>18906</v>
      </c>
      <c r="AD34" s="145" t="n">
        <v>3860</v>
      </c>
      <c r="AE34" s="145" t="n">
        <v>6325</v>
      </c>
      <c r="AF34" s="145" t="n">
        <v>10774</v>
      </c>
      <c r="AG34" s="145" t="n">
        <v>15073</v>
      </c>
      <c r="AH34" s="145" t="n">
        <v>3797</v>
      </c>
      <c r="AI34" s="145" t="n">
        <v>5609</v>
      </c>
      <c r="AJ34" s="145" t="n">
        <v>12335</v>
      </c>
      <c r="AK34" s="145" t="n">
        <v>20266</v>
      </c>
      <c r="AL34" s="145" t="n">
        <v>5466</v>
      </c>
      <c r="AM34" s="145" t="n">
        <v>8780</v>
      </c>
      <c r="AN34" s="145" t="n">
        <v>15055</v>
      </c>
      <c r="AO34" s="145" t="n">
        <v>22943</v>
      </c>
      <c r="AP34" s="145" t="n">
        <v>7845</v>
      </c>
      <c r="AQ34" s="145" t="n">
        <v>14591</v>
      </c>
      <c r="AR34" s="145" t="n">
        <v>25153</v>
      </c>
      <c r="AS34" s="145" t="n">
        <v>40409</v>
      </c>
      <c r="AT34" s="145" t="n">
        <v>9471</v>
      </c>
      <c r="AU34" s="145" t="n">
        <v>22899</v>
      </c>
      <c r="AV34" s="145" t="n">
        <v>37600</v>
      </c>
      <c r="AW34" s="145" t="n">
        <v>59330</v>
      </c>
      <c r="AX34" s="145" t="n">
        <v>32631</v>
      </c>
      <c r="AY34" s="145" t="n">
        <v>72014</v>
      </c>
      <c r="AZ34" s="145" t="n">
        <v>104943</v>
      </c>
      <c r="BA34" s="145" t="n">
        <v>141647</v>
      </c>
      <c r="BB34" s="145" t="n">
        <v>18634</v>
      </c>
      <c r="BC34" s="145" t="n">
        <v>43576</v>
      </c>
      <c r="BD34" s="145" t="n">
        <v>64417</v>
      </c>
      <c r="BE34" s="145" t="n">
        <v>93727</v>
      </c>
      <c r="BF34" s="145" t="n">
        <v>27116</v>
      </c>
      <c r="BG34" s="145" t="n">
        <v>56713</v>
      </c>
      <c r="BH34" s="145" t="n">
        <v>89236</v>
      </c>
      <c r="BI34" s="145" t="n">
        <v>126642</v>
      </c>
      <c r="BJ34" s="145" t="n">
        <v>34597</v>
      </c>
      <c r="BK34" s="145" t="n">
        <v>73040</v>
      </c>
      <c r="BL34" s="145" t="n">
        <v>108970</v>
      </c>
      <c r="BM34" s="145" t="n">
        <v>153471</v>
      </c>
      <c r="BN34" s="145" t="n">
        <v>41384</v>
      </c>
      <c r="BO34" s="145" t="n">
        <v>79571</v>
      </c>
      <c r="BP34" s="145" t="n">
        <v>117064</v>
      </c>
      <c r="BQ34" s="145" t="n">
        <v>161177</v>
      </c>
      <c r="BR34" s="145" t="n">
        <v>37503</v>
      </c>
      <c r="BS34" t="n">
        <v>38668</v>
      </c>
      <c r="BT34" t="inlineStr">
        <is>
          <t>IPGP-Financial-Data-Workbook-2024-Q2.xlsx|Key Metrics|50|93</t>
        </is>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row>
    <row r="35">
      <c r="A35" s="74" t="inlineStr">
        <is>
          <t>Other revenue (amplifiers, service, parts, accessories and change in deferred)</t>
        </is>
      </c>
      <c r="B35" s="121" t="n"/>
      <c r="C35" s="121" t="n"/>
      <c r="D35" s="121" t="n"/>
      <c r="E35" s="121" t="n"/>
      <c r="F35" s="121" t="n"/>
      <c r="G35" s="121" t="n"/>
      <c r="H35" s="121" t="n"/>
      <c r="I35" s="121" t="n"/>
      <c r="J35" s="121" t="n"/>
      <c r="K35" s="121" t="n"/>
      <c r="L35" s="121" t="n"/>
      <c r="M35" s="121" t="n"/>
      <c r="N35" s="145" t="n"/>
      <c r="O35" s="145" t="n"/>
      <c r="P35" s="145" t="n"/>
      <c r="Q35" s="145" t="n"/>
      <c r="R35" s="145" t="n"/>
      <c r="S35" s="145" t="n"/>
      <c r="T35" s="145" t="n"/>
      <c r="U35" s="145" t="n"/>
      <c r="V35" s="145" t="n"/>
      <c r="W35" s="145" t="n"/>
      <c r="X35" s="145" t="n"/>
      <c r="Y35" s="145" t="n"/>
      <c r="Z35" s="145" t="n">
        <v>13974</v>
      </c>
      <c r="AA35" s="145" t="n">
        <v>29386</v>
      </c>
      <c r="AB35" s="145" t="n">
        <v>45469</v>
      </c>
      <c r="AC35" s="145" t="n">
        <v>63167</v>
      </c>
      <c r="AD35" s="145" t="n">
        <v>12417</v>
      </c>
      <c r="AE35" s="145" t="n">
        <v>33796</v>
      </c>
      <c r="AF35" s="145" t="n">
        <v>46893</v>
      </c>
      <c r="AG35" s="145" t="n">
        <v>71048</v>
      </c>
      <c r="AH35" s="145" t="n">
        <v>15353</v>
      </c>
      <c r="AI35" s="145" t="n">
        <v>38107</v>
      </c>
      <c r="AJ35" s="145" t="n">
        <v>58711</v>
      </c>
      <c r="AK35" s="145" t="n">
        <v>85381</v>
      </c>
      <c r="AL35" s="145" t="n">
        <v>20045</v>
      </c>
      <c r="AM35" s="145" t="n">
        <v>44676</v>
      </c>
      <c r="AN35" s="145" t="n">
        <v>77324</v>
      </c>
      <c r="AO35" s="145" t="n">
        <v>114253</v>
      </c>
      <c r="AP35" s="145" t="n">
        <v>33097</v>
      </c>
      <c r="AQ35" s="145" t="n">
        <v>69659</v>
      </c>
      <c r="AR35" s="145" t="n">
        <v>110266</v>
      </c>
      <c r="AS35" s="145" t="n">
        <v>145281</v>
      </c>
      <c r="AT35" s="145" t="n">
        <v>39967</v>
      </c>
      <c r="AU35" s="145" t="n">
        <v>81431</v>
      </c>
      <c r="AV35" s="145" t="n">
        <v>122829</v>
      </c>
      <c r="AW35" s="145" t="n">
        <v>166306</v>
      </c>
      <c r="AX35" s="145" t="n">
        <v>42196</v>
      </c>
      <c r="AY35" s="145" t="n">
        <v>80976</v>
      </c>
      <c r="AZ35" s="145" t="n">
        <v>134041</v>
      </c>
      <c r="BA35" s="145" t="n">
        <v>187449</v>
      </c>
      <c r="BB35" s="145" t="n">
        <v>58327</v>
      </c>
      <c r="BC35" s="145" t="n">
        <v>105341</v>
      </c>
      <c r="BD35" s="145" t="n">
        <v>156744</v>
      </c>
      <c r="BE35" s="145" t="n">
        <v>201358</v>
      </c>
      <c r="BF35" s="145" t="n">
        <v>63044</v>
      </c>
      <c r="BG35" s="145" t="n">
        <v>119886</v>
      </c>
      <c r="BH35" s="145" t="n">
        <v>188843</v>
      </c>
      <c r="BI35" s="145" t="n">
        <v>264665</v>
      </c>
      <c r="BJ35" s="145" t="n">
        <v>64311</v>
      </c>
      <c r="BK35" s="145" t="n">
        <v>137040</v>
      </c>
      <c r="BL35" s="145" t="n">
        <v>210141</v>
      </c>
      <c r="BM35" s="145" t="n">
        <v>284374</v>
      </c>
      <c r="BN35" s="145" t="n">
        <v>70488</v>
      </c>
      <c r="BO35" s="145" t="n">
        <v>137068</v>
      </c>
      <c r="BP35" s="145" t="n">
        <v>208251</v>
      </c>
      <c r="BQ35" s="145" t="n">
        <v>295380</v>
      </c>
      <c r="BR35" s="145" t="n">
        <v>56889</v>
      </c>
      <c r="BS35" t="n">
        <v>67909</v>
      </c>
      <c r="BT35" t="inlineStr">
        <is>
          <t>IPGP-Financial-Data-Workbook-2024-Q2.xlsx|Key Metrics|51|93</t>
        </is>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row>
    <row r="36">
      <c r="A36" s="40" t="inlineStr">
        <is>
          <t>Total</t>
        </is>
      </c>
      <c r="B36" s="121" t="n"/>
      <c r="C36" s="121" t="n"/>
      <c r="D36" s="121" t="n"/>
      <c r="E36" s="121" t="n"/>
      <c r="F36" s="121" t="n"/>
      <c r="G36" s="121" t="n"/>
      <c r="H36" s="121" t="n"/>
      <c r="I36" s="121" t="n"/>
      <c r="J36" s="121" t="n"/>
      <c r="K36" s="121" t="n"/>
      <c r="L36" s="121" t="n"/>
      <c r="M36" s="121" t="n"/>
      <c r="N36" s="133" t="n"/>
      <c r="O36" s="133" t="n"/>
      <c r="P36" s="133" t="n"/>
      <c r="Q36" s="133" t="n"/>
      <c r="R36" s="133" t="n"/>
      <c r="S36" s="133" t="n"/>
      <c r="T36" s="133" t="n"/>
      <c r="U36" s="133" t="n"/>
      <c r="V36" s="133" t="n"/>
      <c r="W36" s="133" t="n"/>
      <c r="X36" s="133" t="n"/>
      <c r="Y36" s="133" t="n"/>
      <c r="Z36" s="133" t="n">
        <v>141852</v>
      </c>
      <c r="AA36" s="133" t="n">
        <v>310023</v>
      </c>
      <c r="AB36" s="133" t="n">
        <v>482175</v>
      </c>
      <c r="AC36" s="133" t="n">
        <v>648034</v>
      </c>
      <c r="AD36" s="133" t="n">
        <v>170575</v>
      </c>
      <c r="AE36" s="133" t="n">
        <v>362779</v>
      </c>
      <c r="AF36" s="133" t="n">
        <v>562430</v>
      </c>
      <c r="AG36" s="133" t="n">
        <v>769832</v>
      </c>
      <c r="AH36" s="133" t="n">
        <v>198960</v>
      </c>
      <c r="AI36" s="133" t="n">
        <v>434098</v>
      </c>
      <c r="AJ36" s="133" t="n">
        <v>677639</v>
      </c>
      <c r="AK36" s="133" t="n">
        <v>901265</v>
      </c>
      <c r="AL36" s="133" t="n">
        <v>207248</v>
      </c>
      <c r="AM36" s="133" t="n">
        <v>460035</v>
      </c>
      <c r="AN36" s="133" t="n">
        <v>726052</v>
      </c>
      <c r="AO36" s="133" t="n">
        <v>1006173</v>
      </c>
      <c r="AP36" s="133" t="n">
        <v>285846</v>
      </c>
      <c r="AQ36" s="133" t="n">
        <v>655219</v>
      </c>
      <c r="AR36" s="133" t="n">
        <v>1047834</v>
      </c>
      <c r="AS36" s="133" t="n">
        <v>1408889</v>
      </c>
      <c r="AT36" s="133" t="n">
        <v>359864</v>
      </c>
      <c r="AU36" s="133" t="n">
        <v>773477</v>
      </c>
      <c r="AV36" s="133" t="n">
        <v>1129823</v>
      </c>
      <c r="AW36" s="133" t="n">
        <v>1459874</v>
      </c>
      <c r="AX36" s="133" t="n">
        <v>315047</v>
      </c>
      <c r="AY36" s="133" t="n">
        <v>678816</v>
      </c>
      <c r="AZ36" s="133" t="n">
        <v>1007954</v>
      </c>
      <c r="BA36" s="133" t="n">
        <v>1314581</v>
      </c>
      <c r="BB36" s="133" t="n">
        <v>249242</v>
      </c>
      <c r="BC36" s="133" t="n">
        <v>545653</v>
      </c>
      <c r="BD36" s="133" t="n">
        <v>864094</v>
      </c>
      <c r="BE36" s="133" t="n">
        <v>1200724</v>
      </c>
      <c r="BF36" s="133" t="n">
        <v>345585</v>
      </c>
      <c r="BG36" s="133" t="n">
        <v>717243</v>
      </c>
      <c r="BH36" s="133" t="n">
        <v>1096393</v>
      </c>
      <c r="BI36" s="133" t="n">
        <v>1460860</v>
      </c>
      <c r="BJ36" s="133" t="n">
        <v>369979</v>
      </c>
      <c r="BK36" s="133" t="n">
        <v>747002</v>
      </c>
      <c r="BL36" s="133" t="n">
        <v>1096008</v>
      </c>
      <c r="BM36" s="133" t="n">
        <v>1429547</v>
      </c>
      <c r="BN36" s="133" t="n">
        <v>347174</v>
      </c>
      <c r="BO36" s="133" t="n">
        <v>687145</v>
      </c>
      <c r="BP36" s="133" t="n">
        <v>988546</v>
      </c>
      <c r="BQ36" s="133" t="n">
        <v>1287439</v>
      </c>
      <c r="BR36" s="133" t="n">
        <v>252009</v>
      </c>
      <c r="BS36" t="n">
        <v>257645</v>
      </c>
      <c r="BT36" t="inlineStr">
        <is>
          <t>IPGP-Financial-Data-Workbook-2024-Q2.xlsx|Key Metrics|52|93</t>
        </is>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row>
    <row r="37">
      <c r="A37" s="74" t="n"/>
      <c r="B37" s="121" t="n"/>
      <c r="C37" s="121" t="n"/>
      <c r="D37" s="121" t="n"/>
      <c r="E37" s="121" t="n"/>
      <c r="F37" s="121" t="n"/>
      <c r="G37" s="121" t="n"/>
      <c r="H37" s="121" t="n"/>
      <c r="I37" s="121" t="n"/>
      <c r="J37" s="121" t="n"/>
      <c r="K37" s="121" t="n"/>
      <c r="L37" s="121" t="n"/>
      <c r="M37" s="121" t="n"/>
      <c r="N37" s="133" t="n"/>
      <c r="O37" s="133" t="n"/>
      <c r="P37" s="133" t="n"/>
      <c r="Q37" s="133" t="n"/>
      <c r="R37" s="133" t="n"/>
      <c r="S37" s="133" t="n"/>
      <c r="T37" s="133" t="n"/>
      <c r="U37" s="133" t="n"/>
      <c r="V37" s="133" t="n"/>
      <c r="W37" s="133" t="n"/>
      <c r="X37" s="133" t="n"/>
      <c r="Y37" s="133" t="n"/>
      <c r="Z37" s="133" t="n"/>
      <c r="AA37" s="133" t="n"/>
      <c r="AC37" s="133" t="n"/>
      <c r="AD37" s="133" t="n"/>
      <c r="AE37" s="133" t="n"/>
      <c r="AF37" s="133" t="n"/>
      <c r="AG37" s="133" t="n"/>
      <c r="AH37" s="133" t="n"/>
      <c r="AI37" s="133" t="n"/>
      <c r="AJ37" s="133" t="n"/>
      <c r="AK37" s="133" t="n"/>
      <c r="AL37" s="133" t="n"/>
      <c r="AM37" s="133" t="n"/>
      <c r="AN37" s="133" t="n"/>
      <c r="AO37" s="133" t="n"/>
      <c r="AP37" s="133" t="n"/>
      <c r="AQ37" s="133" t="n"/>
      <c r="AR37" s="133" t="n"/>
      <c r="AS37" s="133" t="n"/>
    </row>
    <row r="38">
      <c r="A38" s="74" t="n"/>
      <c r="B38" s="121" t="n"/>
      <c r="C38" s="121" t="n"/>
      <c r="D38" s="121" t="n"/>
      <c r="E38" s="121" t="n"/>
      <c r="F38" s="121" t="n"/>
      <c r="G38" s="121" t="n"/>
      <c r="H38" s="121" t="n"/>
      <c r="I38" s="121" t="n"/>
      <c r="J38" s="121" t="n"/>
      <c r="K38" s="121" t="n"/>
      <c r="L38" s="121" t="n"/>
      <c r="M38" s="121" t="n"/>
      <c r="N38" s="145" t="n"/>
      <c r="O38" s="145" t="n"/>
      <c r="P38" s="145" t="n"/>
      <c r="Q38" s="145" t="n"/>
      <c r="R38" s="145" t="n"/>
      <c r="S38" s="145" t="n"/>
      <c r="T38" s="145" t="n"/>
      <c r="U38" s="145" t="n"/>
      <c r="V38" s="145" t="n"/>
      <c r="W38" s="145" t="n"/>
      <c r="X38" s="145" t="n"/>
      <c r="Y38" s="145" t="n"/>
      <c r="Z38" s="145" t="n"/>
      <c r="AA38" s="145" t="n"/>
      <c r="AB38" s="145" t="n"/>
      <c r="AC38" s="145" t="n"/>
      <c r="AD38" s="145" t="n"/>
      <c r="AE38" s="145" t="n"/>
      <c r="AF38" s="145" t="n"/>
      <c r="AG38" s="145" t="n"/>
      <c r="AH38" s="145" t="n"/>
      <c r="AI38" s="145" t="n"/>
      <c r="AJ38" s="145" t="n"/>
      <c r="AK38" s="145" t="n"/>
      <c r="AL38" s="145" t="n"/>
      <c r="AM38" s="145" t="n"/>
      <c r="AN38" s="145" t="n"/>
      <c r="AO38" s="145" t="n"/>
      <c r="AP38" s="145" t="n"/>
      <c r="AQ38" s="145" t="n"/>
      <c r="AR38" s="145" t="n"/>
      <c r="AS38" s="145" t="n"/>
    </row>
    <row r="39">
      <c r="A39" s="455" t="inlineStr">
        <is>
          <t>Check</t>
        </is>
      </c>
      <c r="B39" s="121" t="n"/>
      <c r="C39" s="121" t="n"/>
      <c r="D39" s="121" t="n"/>
      <c r="E39" s="121" t="n"/>
      <c r="F39" s="121" t="n"/>
      <c r="G39" s="121" t="n"/>
      <c r="H39" s="121" t="n"/>
      <c r="I39" s="121" t="n"/>
      <c r="J39" s="121" t="n"/>
      <c r="K39" s="121" t="n"/>
      <c r="L39" s="121" t="n"/>
      <c r="M39" s="121" t="n"/>
      <c r="N39" s="458">
        <f>SUM(N12:N18)-N19</f>
        <v/>
      </c>
      <c r="O39" s="458">
        <f>SUM(O12:O18)-O19</f>
        <v/>
      </c>
      <c r="P39" s="458">
        <f>SUM(P12:P18)-P19</f>
        <v/>
      </c>
      <c r="Q39" s="458">
        <f>SUM(Q12:Q18)-Q19</f>
        <v/>
      </c>
      <c r="R39" s="458">
        <f>SUM(R12:R18)-R19</f>
        <v/>
      </c>
      <c r="S39" s="458">
        <f>SUM(S12:S18)-S19</f>
        <v/>
      </c>
      <c r="T39" s="458">
        <f>SUM(T12:T18)-T19</f>
        <v/>
      </c>
      <c r="U39" s="458">
        <f>SUM(U12:U18)-U19</f>
        <v/>
      </c>
      <c r="V39" s="458">
        <f>SUM(V12:V18)-V19</f>
        <v/>
      </c>
      <c r="W39" s="458">
        <f>SUM(W12:W18)-W19</f>
        <v/>
      </c>
      <c r="X39" s="458">
        <f>SUM(X12:X18)-X19</f>
        <v/>
      </c>
      <c r="Y39" s="458">
        <f>SUM(Y12:Y18)-Y19</f>
        <v/>
      </c>
      <c r="Z39" s="458">
        <f>SUM(Z12:Z18)-Z19</f>
        <v/>
      </c>
      <c r="AA39" s="458">
        <f>SUM(AA12:AA18)-AA19</f>
        <v/>
      </c>
      <c r="AB39" s="458">
        <f>SUM(AB12:AB18)-AB19</f>
        <v/>
      </c>
      <c r="AC39" s="458">
        <f>SUM(AC12:AC18)-AC19</f>
        <v/>
      </c>
      <c r="AD39" s="458">
        <f>SUM(AD12:AD18)-AD19</f>
        <v/>
      </c>
      <c r="AE39" s="458">
        <f>SUM(AE12:AE18)-AE19</f>
        <v/>
      </c>
      <c r="AF39" s="458">
        <f>SUM(AF12:AF18)-AF19</f>
        <v/>
      </c>
      <c r="AG39" s="458">
        <f>SUM(AG12:AG18)-AG19</f>
        <v/>
      </c>
      <c r="AH39" s="458">
        <f>SUM(AH12:AH18)-AH19</f>
        <v/>
      </c>
      <c r="AI39" s="458">
        <f>SUM(AI12:AI18)-AI19</f>
        <v/>
      </c>
      <c r="AJ39" s="458">
        <f>SUM(AJ12:AJ18)-AJ19</f>
        <v/>
      </c>
      <c r="AK39" s="458">
        <f>SUM(AK12:AK18)-AK19</f>
        <v/>
      </c>
      <c r="AL39" s="458">
        <f>SUM(AL12:AL18)-AL19</f>
        <v/>
      </c>
      <c r="AM39" s="458">
        <f>SUM(AM12:AM18)-AM19</f>
        <v/>
      </c>
      <c r="AN39" s="458">
        <f>SUM(AN12:AN18)-AN19</f>
        <v/>
      </c>
      <c r="AO39" s="458">
        <f>SUM(AO12:AO18)-AO19</f>
        <v/>
      </c>
      <c r="AP39" s="458">
        <f>SUM(AP12:AP18)-AP19</f>
        <v/>
      </c>
      <c r="AQ39" s="458">
        <f>SUM(AQ12:AQ18)-AQ19</f>
        <v/>
      </c>
      <c r="AR39" s="458">
        <f>SUM(AR12:AR18)-AR19</f>
        <v/>
      </c>
      <c r="AS39" s="458">
        <f>SUM(AS12:AS18)-AS19</f>
        <v/>
      </c>
      <c r="AT39" s="458">
        <f>SUM(AT12:AT18)-AT19</f>
        <v/>
      </c>
      <c r="AU39" s="458">
        <f>SUM(AU12:AU18)-AU19</f>
        <v/>
      </c>
      <c r="AV39" s="458">
        <f>SUM(AV12:AV18)-AV19</f>
        <v/>
      </c>
      <c r="AW39" s="458">
        <f>SUM(AW12:AW18)-AW19</f>
        <v/>
      </c>
      <c r="AX39" s="458">
        <f>SUM(AX12:AX18)-AX19</f>
        <v/>
      </c>
      <c r="AY39" s="458">
        <f>SUM(AY12:AY18)-AY19</f>
        <v/>
      </c>
      <c r="AZ39" s="458">
        <f>SUM(AZ12:AZ18)-AZ19</f>
        <v/>
      </c>
      <c r="BA39" s="458">
        <f>SUM(BA12:BA18)-BA19</f>
        <v/>
      </c>
      <c r="BB39" s="458">
        <f>SUM(BB12:BB18)-BB19</f>
        <v/>
      </c>
      <c r="BC39" s="458">
        <f>SUM(BC12:BC18)-BC19</f>
        <v/>
      </c>
      <c r="BD39" s="458">
        <f>SUM(BD12:BD18)-BD19</f>
        <v/>
      </c>
      <c r="BE39" s="458">
        <f>SUM(BE12:BE18)-BE19</f>
        <v/>
      </c>
      <c r="BF39" s="458">
        <f>SUM(BF12:BF18)-BF19</f>
        <v/>
      </c>
      <c r="BG39" s="458">
        <f>SUM(BG12:BG18)-BG19</f>
        <v/>
      </c>
      <c r="BH39" s="458">
        <f>SUM(BH12:BH18)-BH19</f>
        <v/>
      </c>
      <c r="BI39" s="458">
        <f>SUM(BI12:BI18)-BI19</f>
        <v/>
      </c>
      <c r="BJ39" s="458">
        <f>SUM(BJ12:BJ18)-BJ19</f>
        <v/>
      </c>
      <c r="BK39" s="458">
        <f>SUM(BK12:BK18)-BK19</f>
        <v/>
      </c>
      <c r="BL39" s="458">
        <f>SUM(BL12:BL18)-BL19</f>
        <v/>
      </c>
      <c r="BM39" s="458">
        <f>SUM(BM12:BM18)-BM19</f>
        <v/>
      </c>
      <c r="BN39" s="458">
        <f>SUM(BN12:BN18)-BN19</f>
        <v/>
      </c>
      <c r="BO39" s="458">
        <f>SUM(BO12:BO18)-BO19</f>
        <v/>
      </c>
      <c r="BP39" s="458">
        <f>SUM(BP12:BP18)-BP19</f>
        <v/>
      </c>
      <c r="BQ39" s="458">
        <f>SUM(BQ12:BQ18)-BQ19</f>
        <v/>
      </c>
      <c r="BR39" s="458">
        <f>SUM(BR12:BR18)-BR19</f>
        <v/>
      </c>
      <c r="BS39" t="n">
        <v>0</v>
      </c>
      <c r="BT39" t="inlineStr">
        <is>
          <t>IPGP-Financial-Data-Workbook-2024-Q2.xlsx|Income Statement|13|93</t>
        </is>
      </c>
    </row>
    <row r="40">
      <c r="A40" s="455">
        <f>A39</f>
        <v/>
      </c>
      <c r="B40" s="121" t="n"/>
      <c r="C40" s="121" t="n"/>
      <c r="D40" s="121" t="n"/>
      <c r="E40" s="121" t="n"/>
      <c r="F40" s="121" t="n"/>
      <c r="G40" s="121" t="n"/>
      <c r="H40" s="121" t="n"/>
      <c r="I40" s="121" t="n"/>
      <c r="J40" s="121" t="n"/>
      <c r="K40" s="121" t="n"/>
      <c r="L40" s="121" t="n"/>
      <c r="M40" s="121" t="n"/>
      <c r="N40" s="458">
        <f>SUM(N22:N23)-N27</f>
        <v/>
      </c>
      <c r="O40" s="458">
        <f>SUM(O22:O23)-O27</f>
        <v/>
      </c>
      <c r="P40" s="458">
        <f>SUM(P22:P23)-P27</f>
        <v/>
      </c>
      <c r="Q40" s="458">
        <f>SUM(Q22:Q23)-Q27</f>
        <v/>
      </c>
      <c r="R40" s="458">
        <f>SUM(R22:R23)-R27</f>
        <v/>
      </c>
      <c r="S40" s="458">
        <f>SUM(S22:S23)-S27</f>
        <v/>
      </c>
      <c r="T40" s="458">
        <f>SUM(T22:T23)-T27</f>
        <v/>
      </c>
      <c r="U40" s="458">
        <f>SUM(U22:U23)-U27</f>
        <v/>
      </c>
      <c r="V40" s="458">
        <f>SUM(V22:V23)-V27</f>
        <v/>
      </c>
      <c r="W40" s="458">
        <f>SUM(W22:W23)-W27</f>
        <v/>
      </c>
      <c r="X40" s="458">
        <f>SUM(X22:X23)-X27</f>
        <v/>
      </c>
      <c r="Y40" s="458">
        <f>SUM(Y22:Y23)-Y27</f>
        <v/>
      </c>
      <c r="Z40" s="458">
        <f>SUM(Z22:Z23)-Z27</f>
        <v/>
      </c>
      <c r="AA40" s="458">
        <f>SUM(AA22:AA23)-AA27</f>
        <v/>
      </c>
      <c r="AB40" s="458">
        <f>SUM(AB22:AB23)-AB27</f>
        <v/>
      </c>
      <c r="AC40" s="458">
        <f>SUM(AC22:AC23)-AC27</f>
        <v/>
      </c>
      <c r="AD40" s="458">
        <f>SUM(AD22:AD23)-AD27</f>
        <v/>
      </c>
      <c r="AE40" s="458">
        <f>SUM(AE22:AE23)-AE27</f>
        <v/>
      </c>
      <c r="AF40" s="458">
        <f>SUM(AF22:AF23)-AF27</f>
        <v/>
      </c>
      <c r="AG40" s="458">
        <f>SUM(AG22:AG23)-AG27</f>
        <v/>
      </c>
      <c r="AH40" s="458">
        <f>SUM(AH22:AH23)-AH27</f>
        <v/>
      </c>
      <c r="AI40" s="458">
        <f>SUM(AI22:AI23)-AI27</f>
        <v/>
      </c>
      <c r="AJ40" s="458">
        <f>SUM(AJ22:AJ23)-AJ27</f>
        <v/>
      </c>
      <c r="AK40" s="458">
        <f>SUM(AK22:AK23)-AK27</f>
        <v/>
      </c>
      <c r="AL40" s="458">
        <f>SUM(AL22:AL23)-AL27</f>
        <v/>
      </c>
      <c r="AM40" s="458">
        <f>SUM(AM22:AM23)-AM27</f>
        <v/>
      </c>
      <c r="AN40" s="458">
        <f>SUM(AN22:AN23)-AN27</f>
        <v/>
      </c>
      <c r="AO40" s="458">
        <f>SUM(AO22:AO23)-AO27</f>
        <v/>
      </c>
      <c r="AP40" s="458">
        <f>SUM(AP22:AP23)-AP27</f>
        <v/>
      </c>
      <c r="AQ40" s="458">
        <f>SUM(AQ22:AQ23)-AQ27</f>
        <v/>
      </c>
      <c r="AR40" s="458">
        <f>SUM(AR22:AR23)-AR27</f>
        <v/>
      </c>
      <c r="AS40" s="458">
        <f>SUM(AS22:AS23)-AS27</f>
        <v/>
      </c>
      <c r="AT40" s="458">
        <f>SUM(AT22:AT23)-AT27</f>
        <v/>
      </c>
      <c r="AU40" s="458">
        <f>SUM(AU22:AU23)-AU27</f>
        <v/>
      </c>
      <c r="AV40" s="458">
        <f>SUM(AV22:AV23)-AV27</f>
        <v/>
      </c>
      <c r="AW40" s="458">
        <f>SUM(AW22:AW23)-AW27</f>
        <v/>
      </c>
      <c r="AX40" s="458">
        <f>SUM(AX22:AX23)-AX27</f>
        <v/>
      </c>
      <c r="AY40" s="458">
        <f>SUM(AY22:AY23)-AY27</f>
        <v/>
      </c>
      <c r="AZ40" s="458">
        <f>SUM(AZ22:AZ23)-AZ27</f>
        <v/>
      </c>
      <c r="BA40" s="458">
        <f>SUM(BA22:BA23)-BA27</f>
        <v/>
      </c>
      <c r="BB40" s="458">
        <f>SUM(BB22:BB23)-BB27</f>
        <v/>
      </c>
      <c r="BC40" s="458">
        <f>SUM(BC22:BC23)-BC27</f>
        <v/>
      </c>
      <c r="BD40" s="458">
        <f>SUM(BD22:BD23)-BD27</f>
        <v/>
      </c>
      <c r="BE40" s="458">
        <f>SUM(BE22:BE23)-BE27</f>
        <v/>
      </c>
      <c r="BF40" s="458">
        <f>SUM(BF22:BF23)-BF27</f>
        <v/>
      </c>
      <c r="BG40" s="458">
        <f>SUM(BG22:BG23)-BG27</f>
        <v/>
      </c>
      <c r="BH40" s="458">
        <f>SUM(BH22:BH23)-BH27</f>
        <v/>
      </c>
      <c r="BI40" s="458">
        <f>SUM(BI22:BI23)-BI27</f>
        <v/>
      </c>
      <c r="BJ40" s="458">
        <f>SUM(BJ22:BJ23)-BJ27</f>
        <v/>
      </c>
      <c r="BK40" s="458">
        <f>SUM(BK22:BK23)-BK27</f>
        <v/>
      </c>
      <c r="BL40" s="458">
        <f>SUM(BL22:BL23)-BL27</f>
        <v/>
      </c>
      <c r="BM40" s="458">
        <f>SUM(BM22:BM23)-BM27</f>
        <v/>
      </c>
      <c r="BN40" s="458">
        <f>SUM(BN22:BN23)-BN27</f>
        <v/>
      </c>
      <c r="BO40" s="458">
        <f>SUM(BO22:BO23)-BO27</f>
        <v/>
      </c>
      <c r="BP40" s="458">
        <f>SUM(BP22:BP23)-BP27</f>
        <v/>
      </c>
      <c r="BQ40" s="458">
        <f>SUM(BQ22:BQ23)-BQ27</f>
        <v/>
      </c>
      <c r="BR40" s="458">
        <f>SUM(BR22:BR23)-BR27</f>
        <v/>
      </c>
      <c r="BS40" t="n">
        <v>0</v>
      </c>
      <c r="BT40" t="inlineStr">
        <is>
          <t>IPGP-Financial-Data-Workbook-2024-Q2.xlsx|Income Statement|15|93</t>
        </is>
      </c>
    </row>
    <row r="41">
      <c r="A41" s="455">
        <f>A40</f>
        <v/>
      </c>
      <c r="B41" s="121" t="n"/>
      <c r="C41" s="121" t="n"/>
      <c r="D41" s="121" t="n"/>
      <c r="E41" s="121" t="n"/>
      <c r="F41" s="121" t="n"/>
      <c r="G41" s="121" t="n"/>
      <c r="H41" s="121" t="n"/>
      <c r="I41" s="121" t="n"/>
      <c r="J41" s="121" t="n"/>
      <c r="K41" s="121" t="n"/>
      <c r="L41" s="121" t="n"/>
      <c r="M41" s="121" t="n"/>
      <c r="N41" s="458">
        <f>SUM(N30:N35)-N36</f>
        <v/>
      </c>
      <c r="O41" s="458">
        <f>SUM(O30:O35)-O36</f>
        <v/>
      </c>
      <c r="P41" s="458">
        <f>SUM(P30:P35)-P36</f>
        <v/>
      </c>
      <c r="Q41" s="458">
        <f>SUM(Q30:Q35)-Q36</f>
        <v/>
      </c>
      <c r="R41" s="458">
        <f>SUM(R30:R35)-R36</f>
        <v/>
      </c>
      <c r="S41" s="458">
        <f>SUM(S30:S35)-S36</f>
        <v/>
      </c>
      <c r="T41" s="458">
        <f>SUM(T30:T35)-T36</f>
        <v/>
      </c>
      <c r="U41" s="458">
        <f>SUM(U30:U35)-U36</f>
        <v/>
      </c>
      <c r="V41" s="458">
        <f>SUM(V30:V35)-V36</f>
        <v/>
      </c>
      <c r="W41" s="458">
        <f>SUM(W30:W35)-W36</f>
        <v/>
      </c>
      <c r="X41" s="458">
        <f>SUM(X30:X35)-X36</f>
        <v/>
      </c>
      <c r="Y41" s="458">
        <f>SUM(Y30:Y35)-Y36</f>
        <v/>
      </c>
      <c r="Z41" s="458">
        <f>SUM(Z30:Z35)-Z36</f>
        <v/>
      </c>
      <c r="AA41" s="458">
        <f>SUM(AA30:AA35)-AA36</f>
        <v/>
      </c>
      <c r="AB41" s="458">
        <f>SUM(AB30:AB35)-AB36</f>
        <v/>
      </c>
      <c r="AC41" s="458">
        <f>SUM(AC30:AC35)-AC36</f>
        <v/>
      </c>
      <c r="AD41" s="458">
        <f>SUM(AD30:AD35)-AD36</f>
        <v/>
      </c>
      <c r="AE41" s="458">
        <f>SUM(AE30:AE35)-AE36</f>
        <v/>
      </c>
      <c r="AF41" s="458">
        <f>SUM(AF30:AF35)-AF36</f>
        <v/>
      </c>
      <c r="AG41" s="458">
        <f>SUM(AG30:AG35)-AG36</f>
        <v/>
      </c>
      <c r="AH41" s="458">
        <f>SUM(AH30:AH35)-AH36</f>
        <v/>
      </c>
      <c r="AI41" s="458">
        <f>SUM(AI30:AI35)-AI36</f>
        <v/>
      </c>
      <c r="AJ41" s="458">
        <f>SUM(AJ30:AJ35)-AJ36</f>
        <v/>
      </c>
      <c r="AK41" s="458">
        <f>SUM(AK30:AK35)-AK36</f>
        <v/>
      </c>
      <c r="AL41" s="458">
        <f>SUM(AL30:AL35)-AL36</f>
        <v/>
      </c>
      <c r="AM41" s="458">
        <f>SUM(AM30:AM35)-AM36</f>
        <v/>
      </c>
      <c r="AN41" s="458">
        <f>SUM(AN30:AN35)-AN36</f>
        <v/>
      </c>
      <c r="AO41" s="458">
        <f>SUM(AO30:AO35)-AO36</f>
        <v/>
      </c>
      <c r="AP41" s="458">
        <f>SUM(AP30:AP35)-AP36</f>
        <v/>
      </c>
      <c r="AQ41" s="458">
        <f>SUM(AQ30:AQ35)-AQ36</f>
        <v/>
      </c>
      <c r="AR41" s="458">
        <f>SUM(AR30:AR35)-AR36</f>
        <v/>
      </c>
      <c r="AS41" s="458">
        <f>SUM(AS30:AS35)-AS36</f>
        <v/>
      </c>
      <c r="AT41" s="458">
        <f>SUM(AT30:AT35)-AT36</f>
        <v/>
      </c>
      <c r="AU41" s="458">
        <f>SUM(AU30:AU35)-AU36</f>
        <v/>
      </c>
      <c r="AV41" s="458">
        <f>SUM(AV30:AV35)-AV36</f>
        <v/>
      </c>
      <c r="AW41" s="458">
        <f>SUM(AW30:AW35)-AW36</f>
        <v/>
      </c>
      <c r="AX41" s="458">
        <f>SUM(AX30:AX35)-AX36</f>
        <v/>
      </c>
      <c r="AY41" s="458">
        <f>SUM(AY30:AY35)-AY36</f>
        <v/>
      </c>
      <c r="AZ41" s="458">
        <f>SUM(AZ30:AZ35)-AZ36</f>
        <v/>
      </c>
      <c r="BA41" s="458">
        <f>SUM(BA30:BA35)-BA36</f>
        <v/>
      </c>
      <c r="BB41" s="458">
        <f>SUM(BB30:BB35)-BB36</f>
        <v/>
      </c>
      <c r="BC41" s="458">
        <f>SUM(BC30:BC35)-BC36</f>
        <v/>
      </c>
      <c r="BD41" s="458">
        <f>SUM(BD30:BD35)-BD36</f>
        <v/>
      </c>
      <c r="BE41" s="458">
        <f>SUM(BE30:BE35)-BE36</f>
        <v/>
      </c>
      <c r="BF41" s="458">
        <f>SUM(BF30:BF35)-BF36</f>
        <v/>
      </c>
      <c r="BG41" s="458">
        <f>SUM(BG30:BG35)-BG36</f>
        <v/>
      </c>
      <c r="BH41" s="458">
        <f>SUM(BH30:BH35)-BH36</f>
        <v/>
      </c>
      <c r="BI41" s="458">
        <f>SUM(BI30:BI35)-BI36</f>
        <v/>
      </c>
      <c r="BJ41" s="458">
        <f>SUM(BJ30:BJ35)-BJ36</f>
        <v/>
      </c>
      <c r="BK41" s="458">
        <f>SUM(BK30:BK35)-BK36</f>
        <v/>
      </c>
      <c r="BL41" s="458">
        <f>SUM(BL30:BL35)-BL36</f>
        <v/>
      </c>
      <c r="BM41" s="458">
        <f>SUM(BM30:BM35)-BM36</f>
        <v/>
      </c>
      <c r="BN41" s="458">
        <f>SUM(BN30:BN35)-BN36</f>
        <v/>
      </c>
      <c r="BO41" s="458">
        <f>SUM(BO30:BO35)-BO36</f>
        <v/>
      </c>
      <c r="BP41" s="458">
        <f>SUM(BP30:BP35)-BP36</f>
        <v/>
      </c>
      <c r="BQ41" s="458">
        <f>SUM(BQ30:BQ35)-BQ36</f>
        <v/>
      </c>
      <c r="BR41" s="458">
        <f>SUM(BR30:BR35)-BR36</f>
        <v/>
      </c>
      <c r="BS41" t="n">
        <v>0</v>
      </c>
      <c r="BT41" t="inlineStr">
        <is>
          <t>IPGP-Financial-Data-Workbook-2024-Q2.xlsx|Income Statement|16|93</t>
        </is>
      </c>
    </row>
    <row r="42">
      <c r="A42" s="455">
        <f>A41</f>
        <v/>
      </c>
      <c r="B42" s="121" t="n"/>
      <c r="C42" s="121" t="n"/>
      <c r="D42" s="121" t="n"/>
      <c r="E42" s="121" t="n"/>
      <c r="F42" s="121" t="n"/>
      <c r="G42" s="121" t="n"/>
      <c r="H42" s="121" t="n"/>
      <c r="I42" s="121" t="n"/>
      <c r="J42" s="121" t="n"/>
      <c r="K42" s="121" t="n"/>
      <c r="L42" s="121" t="n"/>
      <c r="M42" s="121" t="n"/>
      <c r="N42" s="458">
        <f>IF(AND(OR(N19=N79,ISBLANK(N19)),OR(N27=N79,ISBLANK(N27)),OR(N36=N79,ISBLANK(N36))),0,#N/A)</f>
        <v/>
      </c>
      <c r="O42" s="458">
        <f>IF(AND(OR(O19=O79,ISBLANK(O19)),OR(O27=O79,ISBLANK(O27)),OR(O36=O79,ISBLANK(O36))),0,#N/A)</f>
        <v/>
      </c>
      <c r="P42" s="458">
        <f>IF(AND(OR(P19=P79,ISBLANK(P19)),OR(P27=P79,ISBLANK(P27)),OR(P36=P79,ISBLANK(P36))),0,#N/A)</f>
        <v/>
      </c>
      <c r="Q42" s="458">
        <f>IF(AND(OR(Q19=Q79,ISBLANK(Q19)),OR(Q27=Q79,ISBLANK(Q27)),OR(Q36=Q79,ISBLANK(Q36))),0,#N/A)</f>
        <v/>
      </c>
      <c r="R42" s="458">
        <f>IF(AND(OR(R19=R79,ISBLANK(R19)),OR(R27=R79,ISBLANK(R27)),OR(R36=R79,ISBLANK(R36))),0,#N/A)</f>
        <v/>
      </c>
      <c r="S42" s="458">
        <f>IF(AND(OR(S19=S79,ISBLANK(S19)),OR(S27=S79,ISBLANK(S27)),OR(S36=S79,ISBLANK(S36))),0,#N/A)</f>
        <v/>
      </c>
      <c r="T42" s="458">
        <f>IF(AND(OR(T19=T79,ISBLANK(T19)),OR(T27=T79,ISBLANK(T27)),OR(T36=T79,ISBLANK(T36))),0,#N/A)</f>
        <v/>
      </c>
      <c r="U42" s="458">
        <f>IF(AND(OR(U19=U79,ISBLANK(U19)),OR(U27=U79,ISBLANK(U27)),OR(U36=U79,ISBLANK(U36))),0,#N/A)</f>
        <v/>
      </c>
      <c r="V42" s="458">
        <f>IF(AND(OR(V19=V79,ISBLANK(V19)),OR(V27=V79,ISBLANK(V27)),OR(V36=V79,ISBLANK(V36))),0,#N/A)</f>
        <v/>
      </c>
      <c r="W42" s="458">
        <f>IF(AND(OR(W19=W79,ISBLANK(W19)),OR(W27=W79,ISBLANK(W27)),OR(W36=W79,ISBLANK(W36))),0,#N/A)</f>
        <v/>
      </c>
      <c r="X42" s="458">
        <f>IF(AND(OR(X19=X79,ISBLANK(X19)),OR(X27=X79,ISBLANK(X27)),OR(X36=X79,ISBLANK(X36))),0,#N/A)</f>
        <v/>
      </c>
      <c r="Y42" s="458">
        <f>IF(AND(OR(Y19=Y79,ISBLANK(Y19)),OR(Y27=Y79,ISBLANK(Y27)),OR(Y36=Y79,ISBLANK(Y36))),0,#N/A)</f>
        <v/>
      </c>
      <c r="Z42" s="458">
        <f>IF(AND(OR(Z19=Z79,ISBLANK(Z19)),OR(Z27=Z79,ISBLANK(Z27)),OR(Z36=Z79,ISBLANK(Z36))),0,#N/A)</f>
        <v/>
      </c>
      <c r="AA42" s="458">
        <f>IF(AND(OR(AA19=AA79,ISBLANK(AA19)),OR(AA27=AA79,ISBLANK(AA27)),OR(AA36=AA79,ISBLANK(AA36))),0,#N/A)</f>
        <v/>
      </c>
      <c r="AB42" s="458">
        <f>IF(AND(OR(AB19=AB79,ISBLANK(AB19)),OR(AB27=AB79,ISBLANK(AB27)),OR(AB36=AB79,ISBLANK(AB36))),0,#N/A)</f>
        <v/>
      </c>
      <c r="AC42" s="458">
        <f>IF(AND(OR(AC19=AC79,ISBLANK(AC19)),OR(AC27=AC79,ISBLANK(AC27)),OR(AC36=AC79,ISBLANK(AC36))),0,#N/A)</f>
        <v/>
      </c>
      <c r="AD42" s="458">
        <f>IF(AND(OR(AD19=AD79,ISBLANK(AD19)),OR(AD27=AD79,ISBLANK(AD27)),OR(AD36=AD79,ISBLANK(AD36))),0,#N/A)</f>
        <v/>
      </c>
      <c r="AE42" s="458">
        <f>IF(AND(OR(AE19=AE79,ISBLANK(AE19)),OR(AE27=AE79,ISBLANK(AE27)),OR(AE36=AE79,ISBLANK(AE36))),0,#N/A)</f>
        <v/>
      </c>
      <c r="AF42" s="458">
        <f>IF(AND(OR(AF19=AF79,ISBLANK(AF19)),OR(AF27=AF79,ISBLANK(AF27)),OR(AF36=AF79,ISBLANK(AF36))),0,#N/A)</f>
        <v/>
      </c>
      <c r="AG42" s="458">
        <f>IF(AND(OR(AG19=AG79,ISBLANK(AG19)),OR(AG27=AG79,ISBLANK(AG27)),OR(AG36=AG79,ISBLANK(AG36))),0,#N/A)</f>
        <v/>
      </c>
      <c r="AH42" s="458">
        <f>IF(AND(OR(AH19=AH79,ISBLANK(AH19)),OR(AH27=AH79,ISBLANK(AH27)),OR(AH36=AH79,ISBLANK(AH36))),0,#N/A)</f>
        <v/>
      </c>
      <c r="AI42" s="458">
        <f>IF(AND(OR(AI19=AI79,ISBLANK(AI19)),OR(AI27=AI79,ISBLANK(AI27)),OR(AI36=AI79,ISBLANK(AI36))),0,#N/A)</f>
        <v/>
      </c>
      <c r="AJ42" s="458">
        <f>IF(AND(OR(AJ19=AJ79,ISBLANK(AJ19)),OR(AJ27=AJ79,ISBLANK(AJ27)),OR(AJ36=AJ79,ISBLANK(AJ36))),0,#N/A)</f>
        <v/>
      </c>
      <c r="AK42" s="458">
        <f>IF(AND(OR(AK19=AK79,ISBLANK(AK19)),OR(AK27=AK79,ISBLANK(AK27)),OR(AK36=AK79,ISBLANK(AK36))),0,#N/A)</f>
        <v/>
      </c>
      <c r="AL42" s="458">
        <f>IF(AND(OR(AL19=AL79,ISBLANK(AL19)),OR(AL27=AL79,ISBLANK(AL27)),OR(AL36=AL79,ISBLANK(AL36))),0,#N/A)</f>
        <v/>
      </c>
      <c r="AM42" s="458">
        <f>IF(AND(OR(AM19=AM79,ISBLANK(AM19)),OR(AM27=AM79,ISBLANK(AM27)),OR(AM36=AM79,ISBLANK(AM36))),0,#N/A)</f>
        <v/>
      </c>
      <c r="AN42" s="458">
        <f>IF(AND(OR(AN19=AN79,ISBLANK(AN19)),OR(AN27=AN79,ISBLANK(AN27)),OR(AN36=AN79,ISBLANK(AN36))),0,#N/A)</f>
        <v/>
      </c>
      <c r="AO42" s="458">
        <f>IF(AND(OR(AO19=AO79,ISBLANK(AO19)),OR(AO27=AO79,ISBLANK(AO27)),OR(AO36=AO79,ISBLANK(AO36))),0,#N/A)</f>
        <v/>
      </c>
      <c r="AP42" s="458">
        <f>IF(AND(OR(AP19=AP79,ISBLANK(AP19)),OR(AP27=AP79,ISBLANK(AP27)),OR(AP36=AP79,ISBLANK(AP36))),0,#N/A)</f>
        <v/>
      </c>
      <c r="AQ42" s="458">
        <f>IF(AND(OR(AQ19=AQ79,ISBLANK(AQ19)),OR(AQ27=AQ79,ISBLANK(AQ27)),OR(AQ36=AQ79,ISBLANK(AQ36))),0,#N/A)</f>
        <v/>
      </c>
      <c r="AR42" s="458">
        <f>IF(AND(OR(AR19=AR79,ISBLANK(AR19)),OR(AR27=AR79,ISBLANK(AR27)),OR(AR36=AR79,ISBLANK(AR36))),0,#N/A)</f>
        <v/>
      </c>
      <c r="AS42" s="458">
        <f>IF(AND(OR(AS19=AS79,ISBLANK(AS19)),OR(AS27=AS79,ISBLANK(AS27)),OR(AS36=AS79,ISBLANK(AS36))),0,#N/A)</f>
        <v/>
      </c>
      <c r="AT42" s="458">
        <f>IF(AND(OR(AT19=AT79,ISBLANK(AT19)),OR(AT27=AT79,ISBLANK(AT27)),OR(AT36=AT79,ISBLANK(AT36))),0,#N/A)</f>
        <v/>
      </c>
      <c r="AU42" s="458">
        <f>IF(AND(OR(AU19=AU79,ISBLANK(AU19)),OR(AU27=AU79,ISBLANK(AU27)),OR(AU36=AU79,ISBLANK(AU36))),0,#N/A)</f>
        <v/>
      </c>
      <c r="AV42" s="458">
        <f>IF(AND(OR(AV19=AV79,ISBLANK(AV19)),OR(AV27=AV79,ISBLANK(AV27)),OR(AV36=AV79,ISBLANK(AV36))),0,#N/A)</f>
        <v/>
      </c>
      <c r="AW42" s="458">
        <f>IF(AND(OR(AW19=AW79,ISBLANK(AW19)),OR(AW27=AW79,ISBLANK(AW27)),OR(AW36=AW79,ISBLANK(AW36))),0,#N/A)</f>
        <v/>
      </c>
      <c r="AX42" s="458">
        <f>IF(AND(OR(AX19=AX79,ISBLANK(AX19)),OR(AX27=AX79,ISBLANK(AX27)),OR(AX36=AX79,ISBLANK(AX36))),0,#N/A)</f>
        <v/>
      </c>
      <c r="AY42" s="458">
        <f>IF(AND(OR(AY19=AY79,ISBLANK(AY19)),OR(AY27=AY79,ISBLANK(AY27)),OR(AY36=AY79,ISBLANK(AY36))),0,#N/A)</f>
        <v/>
      </c>
      <c r="AZ42" s="458">
        <f>IF(AND(OR(AZ19=AZ79,ISBLANK(AZ19)),OR(AZ27=AZ79,ISBLANK(AZ27)),OR(AZ36=AZ79,ISBLANK(AZ36))),0,#N/A)</f>
        <v/>
      </c>
      <c r="BA42" s="458">
        <f>IF(AND(OR(BA19=BA79,ISBLANK(BA19)),OR(BA27=BA79,ISBLANK(BA27)),OR(BA36=BA79,ISBLANK(BA36))),0,#N/A)</f>
        <v/>
      </c>
      <c r="BB42" s="458">
        <f>IF(AND(OR(BB19=BB79,ISBLANK(BB19)),OR(BB27=BB79,ISBLANK(BB27)),OR(BB36=BB79,ISBLANK(BB36))),0,#N/A)</f>
        <v/>
      </c>
      <c r="BC42" s="458">
        <f>IF(AND(OR(BC19=BC79,ISBLANK(BC19)),OR(BC27=BC79,ISBLANK(BC27)),OR(BC36=BC79,ISBLANK(BC36))),0,#N/A)</f>
        <v/>
      </c>
      <c r="BD42" s="458">
        <f>IF(AND(OR(BD19=BD79,ISBLANK(BD19)),OR(BD27=BD79,ISBLANK(BD27)),OR(BD36=BD79,ISBLANK(BD36))),0,#N/A)</f>
        <v/>
      </c>
      <c r="BE42" s="458">
        <f>IF(AND(OR(BE19=BE79,ISBLANK(BE19)),OR(BE27=BE79,ISBLANK(BE27)),OR(BE36=BE79,ISBLANK(BE36))),0,#N/A)</f>
        <v/>
      </c>
      <c r="BF42" s="458">
        <f>IF(AND(OR(BF19=BF79,ISBLANK(BF19)),OR(BF27=BF79,ISBLANK(BF27)),OR(BF36=BF79,ISBLANK(BF36))),0,#N/A)</f>
        <v/>
      </c>
      <c r="BG42" s="458">
        <f>IF(AND(OR(BG19=BG79,ISBLANK(BG19)),OR(BG27=BG79,ISBLANK(BG27)),OR(BG36=BG79,ISBLANK(BG36))),0,#N/A)</f>
        <v/>
      </c>
      <c r="BH42" s="458">
        <f>IF(AND(OR(BH19=BH79,ISBLANK(BH19)),OR(BH27=BH79,ISBLANK(BH27)),OR(BH36=BH79,ISBLANK(BH36))),0,#N/A)</f>
        <v/>
      </c>
      <c r="BI42" s="458">
        <f>IF(AND(OR(BI19=BI79,ISBLANK(BI19)),OR(BI27=BI79,ISBLANK(BI27)),OR(BI36=BI79,ISBLANK(BI36))),0,#N/A)</f>
        <v/>
      </c>
      <c r="BJ42" s="458">
        <f>IF(AND(OR(BJ19=BJ79,ISBLANK(BJ19)),OR(BJ27=BJ79,ISBLANK(BJ27)),OR(BJ36=BJ79,ISBLANK(BJ36))),0,#N/A)</f>
        <v/>
      </c>
      <c r="BK42" s="458">
        <f>IF(AND(OR(BK19=BK79,ISBLANK(BK19)),OR(BK27=BK79,ISBLANK(BK27)),OR(BK36=BK79,ISBLANK(BK36))),0,#N/A)</f>
        <v/>
      </c>
      <c r="BL42" s="458">
        <f>IF(AND(OR(BL19=BL79,ISBLANK(BL19)),OR(BL27=BL79,ISBLANK(BL27)),OR(BL36=BL79,ISBLANK(BL36))),0,#N/A)</f>
        <v/>
      </c>
      <c r="BM42" s="458">
        <f>IF(AND(OR(BM19=BM79,ISBLANK(BM19)),OR(BM27=BM79,ISBLANK(BM27)),OR(BM36=BM79,ISBLANK(BM36))),0,#N/A)</f>
        <v/>
      </c>
      <c r="BN42" s="458">
        <f>IF(AND(OR(BN19=BN79,ISBLANK(BN19)),OR(BN27=BN79,ISBLANK(BN27)),OR(BN36=BN79,ISBLANK(BN36))),0,#N/A)</f>
        <v/>
      </c>
      <c r="BO42" s="458">
        <f>IF(AND(OR(BO19=BO79,ISBLANK(BO19)),OR(BO27=BO79,ISBLANK(BO27)),OR(BO36=BO79,ISBLANK(BO36))),0,#N/A)</f>
        <v/>
      </c>
      <c r="BP42" s="458">
        <f>IF(AND(OR(BP19=BP79,ISBLANK(BP19)),OR(BP27=BP79,ISBLANK(BP27)),OR(BP36=BP79,ISBLANK(BP36))),0,#N/A)</f>
        <v/>
      </c>
      <c r="BQ42" s="458">
        <f>IF(AND(OR(BQ19=BQ79,ISBLANK(BQ19)),OR(BQ27=BQ79,ISBLANK(BQ27)),OR(BQ36=BQ79,ISBLANK(BQ36))),0,#N/A)</f>
        <v/>
      </c>
      <c r="BR42" s="458">
        <f>IF(AND(OR(BR19=BR79,ISBLANK(BR19)),OR(BR27=BR79,ISBLANK(BR27)),OR(BR36=BR79,ISBLANK(BR36))),0,#N/A)</f>
        <v/>
      </c>
      <c r="BS42" t="n">
        <v>0</v>
      </c>
      <c r="BT42" t="inlineStr">
        <is>
          <t>IPGP-Financial-Data-Workbook-2024-Q2.xlsx|Income Statement|31|93</t>
        </is>
      </c>
    </row>
    <row r="43">
      <c r="A43" s="455" t="n"/>
      <c r="B43" s="121" t="n"/>
      <c r="C43" s="121" t="n"/>
      <c r="D43" s="121" t="n"/>
      <c r="E43" s="121" t="n"/>
      <c r="F43" s="121" t="n"/>
      <c r="G43" s="121" t="n"/>
      <c r="H43" s="121" t="n"/>
      <c r="I43" s="121" t="n"/>
      <c r="J43" s="121" t="n"/>
      <c r="K43" s="121" t="n"/>
      <c r="L43" s="121" t="n"/>
      <c r="M43" s="121" t="n"/>
      <c r="N43" s="458" t="n"/>
      <c r="O43" s="458" t="n"/>
      <c r="P43" s="458" t="n"/>
      <c r="Q43" s="458" t="n"/>
      <c r="R43" s="458" t="n"/>
      <c r="S43" s="458" t="n"/>
      <c r="T43" s="458" t="n"/>
      <c r="U43" s="458" t="n"/>
      <c r="V43" s="458" t="n"/>
      <c r="W43" s="458" t="n"/>
      <c r="X43" s="458" t="n"/>
      <c r="Y43" s="458" t="n"/>
      <c r="Z43" s="458" t="n"/>
      <c r="AA43" s="458" t="n"/>
      <c r="AB43" s="458" t="n"/>
      <c r="AC43" s="458" t="n"/>
      <c r="AD43" s="458" t="n"/>
      <c r="AE43" s="458" t="n"/>
      <c r="AF43" s="458" t="n"/>
      <c r="AG43" s="458" t="n"/>
      <c r="AH43" s="458" t="n"/>
      <c r="AI43" s="458" t="n"/>
      <c r="AJ43" s="458" t="n"/>
      <c r="AK43" s="458" t="n"/>
      <c r="AL43" s="458" t="n"/>
      <c r="AM43" s="458" t="n"/>
      <c r="AN43" s="458" t="n"/>
      <c r="AO43" s="458" t="n"/>
      <c r="AP43" s="458" t="n"/>
      <c r="AQ43" s="458" t="n"/>
      <c r="AR43" s="458" t="n"/>
      <c r="AS43" s="458" t="n"/>
    </row>
    <row r="44">
      <c r="A44" s="455" t="n"/>
      <c r="B44" s="121" t="n"/>
      <c r="C44" s="121" t="n"/>
      <c r="D44" s="121" t="n"/>
      <c r="E44" s="121" t="n"/>
      <c r="F44" s="121" t="n"/>
      <c r="G44" s="121" t="n"/>
      <c r="H44" s="121" t="n"/>
      <c r="I44" s="121" t="n"/>
      <c r="J44" s="121" t="n"/>
      <c r="K44" s="121" t="n"/>
      <c r="L44" s="121" t="n"/>
      <c r="M44" s="121" t="n"/>
      <c r="N44" s="458" t="n"/>
      <c r="O44" s="458" t="n"/>
      <c r="P44" s="458" t="n"/>
      <c r="Q44" s="458" t="n"/>
      <c r="R44" s="458" t="n"/>
      <c r="S44" s="458" t="n"/>
      <c r="T44" s="458" t="n"/>
      <c r="U44" s="458" t="n"/>
      <c r="V44" s="458" t="n"/>
      <c r="W44" s="458" t="n"/>
      <c r="X44" s="458" t="n"/>
      <c r="Y44" s="458" t="n"/>
      <c r="Z44" s="458" t="n"/>
      <c r="AA44" s="458" t="n"/>
      <c r="AB44" s="458" t="n"/>
      <c r="AC44" s="458" t="n"/>
      <c r="AD44" s="458" t="n"/>
      <c r="AE44" s="458" t="n"/>
      <c r="AF44" s="458" t="n"/>
      <c r="AG44" s="458" t="n"/>
      <c r="AH44" s="458" t="n"/>
      <c r="AI44" s="458" t="n"/>
      <c r="AJ44" s="458" t="n"/>
      <c r="AK44" s="458" t="n"/>
      <c r="AL44" s="458" t="n"/>
      <c r="AM44" s="458" t="n"/>
      <c r="AN44" s="458" t="n"/>
      <c r="AO44" s="458" t="n"/>
      <c r="AP44" s="458" t="n"/>
      <c r="AQ44" s="458" t="n"/>
      <c r="AR44" s="458" t="n"/>
      <c r="AS44" s="458" t="n"/>
    </row>
    <row r="45">
      <c r="A45" s="455" t="n"/>
      <c r="B45" s="121" t="n"/>
      <c r="C45" s="121" t="n"/>
      <c r="D45" s="121" t="n"/>
      <c r="E45" s="121" t="n"/>
      <c r="F45" s="121" t="n"/>
      <c r="G45" s="121" t="n"/>
      <c r="H45" s="121" t="n"/>
      <c r="I45" s="121" t="n"/>
      <c r="J45" s="121" t="n"/>
      <c r="K45" s="121" t="n"/>
      <c r="L45" s="121" t="n"/>
      <c r="M45" s="121" t="n"/>
      <c r="N45" s="121" t="n"/>
      <c r="O45" s="121" t="n"/>
      <c r="P45" s="121" t="n"/>
      <c r="Q45" s="458" t="n"/>
      <c r="R45" s="458" t="n"/>
      <c r="S45" s="121" t="n"/>
      <c r="T45" s="458" t="n"/>
      <c r="U45" s="458" t="n"/>
      <c r="V45" s="458" t="n"/>
      <c r="W45" s="458" t="n"/>
      <c r="X45" s="458" t="n"/>
      <c r="Y45" s="458" t="n"/>
      <c r="Z45" s="458" t="n"/>
      <c r="AA45" s="458" t="n"/>
      <c r="AB45" s="458" t="n"/>
      <c r="AC45" s="458" t="n"/>
      <c r="AD45" s="458" t="n"/>
      <c r="AE45" s="458" t="n"/>
      <c r="AF45" s="458" t="n"/>
      <c r="AG45" s="458" t="n"/>
      <c r="AH45" s="458" t="n"/>
      <c r="AI45" s="458" t="n"/>
      <c r="AJ45" s="458" t="n"/>
      <c r="AK45" s="458" t="n"/>
      <c r="AL45" s="458" t="n"/>
      <c r="AM45" s="458" t="n"/>
      <c r="AN45" s="458" t="n"/>
      <c r="AO45" s="458" t="n"/>
      <c r="AP45" s="458" t="n"/>
      <c r="AQ45" s="458" t="n"/>
      <c r="AR45" s="458" t="n"/>
      <c r="AS45" s="458" t="n"/>
    </row>
    <row r="46">
      <c r="A46" s="81" t="inlineStr">
        <is>
          <t>Segment information (%)</t>
        </is>
      </c>
      <c r="B46" s="121" t="n"/>
      <c r="C46" s="121" t="n"/>
      <c r="D46" s="121" t="n"/>
      <c r="E46" s="121" t="n"/>
      <c r="F46" s="121" t="n"/>
      <c r="G46" s="121" t="n"/>
      <c r="H46" s="121" t="n"/>
      <c r="I46" s="121" t="n"/>
      <c r="J46" s="121" t="n"/>
      <c r="K46" s="121" t="n"/>
      <c r="L46" s="121" t="n"/>
      <c r="M46" s="121" t="n"/>
      <c r="N46" s="121" t="n"/>
      <c r="O46" s="121" t="n"/>
      <c r="P46" s="121" t="n"/>
      <c r="Q46" s="458" t="n"/>
      <c r="R46" s="458" t="n"/>
      <c r="S46" s="121" t="n"/>
      <c r="T46" s="458" t="n"/>
      <c r="U46" s="458" t="n"/>
      <c r="V46" s="458" t="n"/>
      <c r="W46" s="458" t="n"/>
      <c r="X46" s="458" t="n"/>
      <c r="Y46" s="458" t="n"/>
      <c r="Z46" s="458" t="n"/>
      <c r="AA46" s="458" t="n"/>
      <c r="AB46" s="458" t="n"/>
      <c r="AC46" s="458" t="n"/>
      <c r="AD46" s="458" t="n"/>
      <c r="AE46" s="458" t="n"/>
      <c r="AF46" s="458" t="n"/>
      <c r="AG46" s="458" t="n"/>
      <c r="AH46" s="458" t="n"/>
      <c r="AI46" s="458" t="n"/>
      <c r="AJ46" s="458" t="n"/>
      <c r="AK46" s="458" t="n"/>
      <c r="AL46" s="458" t="n"/>
      <c r="AM46" s="458" t="n"/>
      <c r="AN46" s="458" t="n"/>
      <c r="AO46" s="458" t="n"/>
      <c r="AP46" s="458" t="n"/>
      <c r="AQ46" s="458" t="n"/>
      <c r="AR46" s="458" t="n"/>
      <c r="AS46" s="458" t="n"/>
    </row>
    <row r="47">
      <c r="A47" s="22" t="inlineStr">
        <is>
          <t>Region mix (%)</t>
        </is>
      </c>
      <c r="B47" s="121" t="n"/>
      <c r="C47" s="121" t="n"/>
      <c r="D47" s="121" t="n"/>
      <c r="E47" s="121" t="n"/>
      <c r="F47" s="121" t="n"/>
      <c r="G47" s="121" t="n"/>
      <c r="H47" s="121" t="n"/>
      <c r="I47" s="121" t="n"/>
      <c r="J47" s="121" t="n"/>
      <c r="K47" s="121" t="n"/>
      <c r="L47" s="121" t="n"/>
      <c r="M47" s="121" t="n"/>
      <c r="N47" s="121" t="n"/>
      <c r="O47" s="121" t="n"/>
      <c r="P47" s="121" t="n"/>
      <c r="Q47" s="458" t="n"/>
      <c r="R47" s="458" t="n"/>
      <c r="S47" s="121" t="n"/>
      <c r="T47" s="458" t="n"/>
      <c r="U47" s="458" t="n"/>
      <c r="V47" s="458" t="n"/>
      <c r="W47" s="458" t="n"/>
      <c r="X47" s="458" t="n"/>
      <c r="Y47" s="458" t="n"/>
      <c r="Z47" s="458" t="n"/>
      <c r="AA47" s="458" t="n"/>
      <c r="AB47" s="458" t="n"/>
      <c r="AC47" s="458" t="n"/>
      <c r="AD47" s="458" t="n"/>
      <c r="AE47" s="458" t="n"/>
      <c r="AF47" s="458" t="n"/>
      <c r="AG47" s="458" t="n"/>
      <c r="AH47" s="458" t="n"/>
      <c r="AI47" s="458" t="n"/>
      <c r="AJ47" s="458" t="n"/>
      <c r="AK47" s="458" t="n"/>
      <c r="AL47" s="458" t="n"/>
      <c r="AM47" s="458" t="n"/>
      <c r="AN47" s="458" t="n"/>
      <c r="AO47" s="458" t="n"/>
      <c r="AP47" s="458" t="n"/>
      <c r="AQ47" s="458" t="n"/>
      <c r="AR47" s="458" t="n"/>
      <c r="AS47" s="458" t="n"/>
    </row>
    <row r="48">
      <c r="A48" s="74">
        <f>A12</f>
        <v/>
      </c>
      <c r="B48" s="121" t="n"/>
      <c r="C48" s="121" t="n"/>
      <c r="D48" s="121" t="n"/>
      <c r="E48" s="121" t="n"/>
      <c r="F48" s="121" t="n"/>
      <c r="G48" s="121" t="n"/>
      <c r="H48" s="121" t="n"/>
      <c r="I48" s="121" t="n"/>
      <c r="J48" s="121" t="n"/>
      <c r="K48" s="121" t="n"/>
      <c r="L48" s="121" t="n"/>
      <c r="M48" s="121" t="n"/>
      <c r="N48" s="937">
        <f>IF(ISBLANK(N12),"",N12/N$19)</f>
        <v/>
      </c>
      <c r="O48" s="937">
        <f>IF(ISBLANK(O12),"",O12/O$19)</f>
        <v/>
      </c>
      <c r="P48" s="937">
        <f>IF(ISBLANK(P12),"",P12/P$19)</f>
        <v/>
      </c>
      <c r="Q48" s="937">
        <f>IF(ISBLANK(Q12),"",Q12/Q$19)</f>
        <v/>
      </c>
      <c r="R48" s="937">
        <f>IF(ISBLANK(R12),"",R12/R$19)</f>
        <v/>
      </c>
      <c r="S48" s="937">
        <f>IF(ISBLANK(S12),"",S12/S$19)</f>
        <v/>
      </c>
      <c r="T48" s="937">
        <f>IF(ISBLANK(T12),"",T12/T$19)</f>
        <v/>
      </c>
      <c r="U48" s="937">
        <f>IF(ISBLANK(U12),"",U12/U$19)</f>
        <v/>
      </c>
      <c r="V48" s="937">
        <f>IF(ISBLANK(V12),"",V12/V$19)</f>
        <v/>
      </c>
      <c r="W48" s="937">
        <f>IF(ISBLANK(W12),"",W12/W$19)</f>
        <v/>
      </c>
      <c r="X48" s="937">
        <f>IF(ISBLANK(X12),"",X12/X$19)</f>
        <v/>
      </c>
      <c r="Y48" s="937">
        <f>IF(ISBLANK(Y12),"",Y12/Y$19)</f>
        <v/>
      </c>
      <c r="Z48" s="937">
        <f>IF(ISBLANK(Z12),"",Z12/Z$19)</f>
        <v/>
      </c>
      <c r="AA48" s="937">
        <f>IF(ISBLANK(AA12),"",AA12/AA$19)</f>
        <v/>
      </c>
      <c r="AB48" s="937">
        <f>IF(ISBLANK(AB12),"",AB12/AB$19)</f>
        <v/>
      </c>
      <c r="AC48" s="937">
        <f>IF(ISBLANK(AC12),"",AC12/AC$19)</f>
        <v/>
      </c>
      <c r="AD48" s="937">
        <f>IF(ISBLANK(AD12),"",AD12/AD$19)</f>
        <v/>
      </c>
      <c r="AE48" s="937">
        <f>IF(ISBLANK(AE12),"",AE12/AE$19)</f>
        <v/>
      </c>
      <c r="AF48" s="937">
        <f>IF(ISBLANK(AF12),"",AF12/AF$19)</f>
        <v/>
      </c>
      <c r="AG48" s="937">
        <f>IF(ISBLANK(AG12),"",AG12/AG$19)</f>
        <v/>
      </c>
      <c r="AH48" s="937">
        <f>IF(ISBLANK(AH12),"",AH12/AH$19)</f>
        <v/>
      </c>
      <c r="AI48" s="937">
        <f>IF(ISBLANK(AI12),"",AI12/AI$19)</f>
        <v/>
      </c>
      <c r="AJ48" s="937">
        <f>IF(ISBLANK(AJ12),"",AJ12/AJ$19)</f>
        <v/>
      </c>
      <c r="AK48" s="937">
        <f>IF(ISBLANK(AK12),"",AK12/AK$19)</f>
        <v/>
      </c>
      <c r="AL48" s="937">
        <f>IF(ISBLANK(AL12),"",AL12/AL$19)</f>
        <v/>
      </c>
      <c r="AM48" s="937">
        <f>IF(ISBLANK(AM12),"",AM12/AM$19)</f>
        <v/>
      </c>
      <c r="AN48" s="937">
        <f>IF(ISBLANK(AN12),"",AN12/AN$19)</f>
        <v/>
      </c>
      <c r="AO48" s="937">
        <f>IF(ISBLANK(AO12),"",AO12/AO$19)</f>
        <v/>
      </c>
      <c r="AP48" s="937">
        <f>IF(ISBLANK(AP12),"",AP12/AP$19)</f>
        <v/>
      </c>
      <c r="AQ48" s="937">
        <f>IF(ISBLANK(AQ12),"",AQ12/AQ$19)</f>
        <v/>
      </c>
      <c r="AR48" s="937">
        <f>IF(ISBLANK(AR12),"",AR12/AR$19)</f>
        <v/>
      </c>
      <c r="AS48" s="937">
        <f>IF(ISBLANK(AS12),"",AS12/AS$19)</f>
        <v/>
      </c>
      <c r="AT48" s="937">
        <f>IF(ISBLANK(AT12),"",AT12/AT$19)</f>
        <v/>
      </c>
      <c r="AU48" s="937">
        <f>IF(ISBLANK(AU12),"",AU12/AU$19)</f>
        <v/>
      </c>
      <c r="AV48" s="937">
        <f>IF(ISBLANK(AV12),"",AV12/AV$19)</f>
        <v/>
      </c>
      <c r="AW48" s="937">
        <f>IF(ISBLANK(AW12),"",AW12/AW$19)</f>
        <v/>
      </c>
      <c r="AX48" s="937">
        <f>IF(ISBLANK(AX12),"",AX12/AX$19)</f>
        <v/>
      </c>
      <c r="AY48" s="937">
        <f>IF(ISBLANK(AY12),"",AY12/AY$19)</f>
        <v/>
      </c>
      <c r="AZ48" s="937">
        <f>IF(ISBLANK(AZ12),"",AZ12/AZ$19)</f>
        <v/>
      </c>
      <c r="BA48" s="937">
        <f>IF(ISBLANK(BA12),"",BA12/BA$19)</f>
        <v/>
      </c>
      <c r="BB48" s="937">
        <f>IF(ISBLANK(BB12),"",BB12/BB$19)</f>
        <v/>
      </c>
      <c r="BC48" s="937">
        <f>IF(ISBLANK(BC12),"",BC12/BC$19)</f>
        <v/>
      </c>
      <c r="BD48" s="937">
        <f>IF(ISBLANK(BD12),"",BD12/BD$19)</f>
        <v/>
      </c>
      <c r="BE48" s="937">
        <f>IF(ISBLANK(BE12),"",BE12/BE$19)</f>
        <v/>
      </c>
      <c r="BF48" s="937">
        <f>IF(ISBLANK(BF12),"",BF12/BF$19)</f>
        <v/>
      </c>
      <c r="BG48" s="937">
        <f>IF(ISBLANK(BG12),"",BG12/BG$19)</f>
        <v/>
      </c>
      <c r="BH48" s="937">
        <f>IF(ISBLANK(BH12),"",BH12/BH$19)</f>
        <v/>
      </c>
      <c r="BI48" s="937">
        <f>IF(ISBLANK(BI12),"",BI12/BI$19)</f>
        <v/>
      </c>
      <c r="BJ48" s="937">
        <f>IF(ISBLANK(BJ12),"",BJ12/BJ$19)</f>
        <v/>
      </c>
      <c r="BK48" s="937">
        <f>IF(ISBLANK(BK12),"",BK12/BK$19)</f>
        <v/>
      </c>
      <c r="BL48" s="937">
        <f>IF(ISBLANK(BL12),"",BL12/BL$19)</f>
        <v/>
      </c>
      <c r="BM48" s="937">
        <f>IF(ISBLANK(BM12),"",BM12/BM$19)</f>
        <v/>
      </c>
      <c r="BN48" s="937">
        <f>IF(ISBLANK(BN12),"",BN12/BN$19)</f>
        <v/>
      </c>
      <c r="BO48" s="937">
        <f>IF(ISBLANK(BO12),"",BO12/BO$19)</f>
        <v/>
      </c>
      <c r="BP48" s="937">
        <f>IF(ISBLANK(BP12),"",BP12/BP$19)</f>
        <v/>
      </c>
      <c r="BQ48" s="937">
        <f>IF(ISBLANK(BQ12),"",BQ12/BQ$19)</f>
        <v/>
      </c>
      <c r="BR48" s="937">
        <f>IF(ISBLANK(BR12),"",BR12/BR$19)</f>
        <v/>
      </c>
      <c r="BS48" t="n">
        <v>0.2984921112383318</v>
      </c>
      <c r="BT48" t="inlineStr">
        <is>
          <t>IPGP-Financial-Data-Workbook-2024-Q2.xlsx|Key Metrics|16|93</t>
        </is>
      </c>
    </row>
    <row r="49">
      <c r="A49" s="74">
        <f>A13</f>
        <v/>
      </c>
      <c r="B49" s="121" t="n"/>
      <c r="C49" s="121" t="n"/>
      <c r="D49" s="121" t="n"/>
      <c r="E49" s="121" t="n"/>
      <c r="F49" s="121" t="n"/>
      <c r="G49" s="121" t="n"/>
      <c r="H49" s="121" t="n"/>
      <c r="I49" s="121" t="n"/>
      <c r="J49" s="121" t="n"/>
      <c r="K49" s="121" t="n"/>
      <c r="L49" s="121" t="n"/>
      <c r="M49" s="121" t="n"/>
      <c r="N49" s="937">
        <f>IF(ISBLANK(N13),"",N13/N$19)</f>
        <v/>
      </c>
      <c r="O49" s="937">
        <f>IF(ISBLANK(O13),"",O13/O$19)</f>
        <v/>
      </c>
      <c r="P49" s="937">
        <f>IF(ISBLANK(P13),"",P13/P$19)</f>
        <v/>
      </c>
      <c r="Q49" s="937">
        <f>IF(ISBLANK(Q13),"",Q13/Q$19)</f>
        <v/>
      </c>
      <c r="R49" s="937">
        <f>IF(ISBLANK(R13),"",R13/R$19)</f>
        <v/>
      </c>
      <c r="S49" s="937">
        <f>IF(ISBLANK(S13),"",S13/S$19)</f>
        <v/>
      </c>
      <c r="T49" s="937">
        <f>IF(ISBLANK(T13),"",T13/T$19)</f>
        <v/>
      </c>
      <c r="U49" s="937">
        <f>IF(ISBLANK(U13),"",U13/U$19)</f>
        <v/>
      </c>
      <c r="V49" s="937">
        <f>IF(ISBLANK(V13),"",V13/V$19)</f>
        <v/>
      </c>
      <c r="W49" s="937">
        <f>IF(ISBLANK(W13),"",W13/W$19)</f>
        <v/>
      </c>
      <c r="X49" s="937">
        <f>IF(ISBLANK(X13),"",X13/X$19)</f>
        <v/>
      </c>
      <c r="Y49" s="937">
        <f>IF(ISBLANK(Y13),"",Y13/Y$19)</f>
        <v/>
      </c>
      <c r="Z49" s="937">
        <f>IF(ISBLANK(Z13),"",Z13/Z$19)</f>
        <v/>
      </c>
      <c r="AA49" s="937">
        <f>IF(ISBLANK(AA13),"",AA13/AA$19)</f>
        <v/>
      </c>
      <c r="AB49" s="937">
        <f>IF(ISBLANK(AB13),"",AB13/AB$19)</f>
        <v/>
      </c>
      <c r="AC49" s="937">
        <f>IF(ISBLANK(AC13),"",AC13/AC$19)</f>
        <v/>
      </c>
      <c r="AD49" s="937">
        <f>IF(ISBLANK(AD13),"",AD13/AD$19)</f>
        <v/>
      </c>
      <c r="AE49" s="937">
        <f>IF(ISBLANK(AE13),"",AE13/AE$19)</f>
        <v/>
      </c>
      <c r="AF49" s="937">
        <f>IF(ISBLANK(AF13),"",AF13/AF$19)</f>
        <v/>
      </c>
      <c r="AG49" s="937">
        <f>IF(ISBLANK(AG13),"",AG13/AG$19)</f>
        <v/>
      </c>
      <c r="AH49" s="937">
        <f>IF(ISBLANK(AH13),"",AH13/AH$19)</f>
        <v/>
      </c>
      <c r="AI49" s="937">
        <f>IF(ISBLANK(AI13),"",AI13/AI$19)</f>
        <v/>
      </c>
      <c r="AJ49" s="937">
        <f>IF(ISBLANK(AJ13),"",AJ13/AJ$19)</f>
        <v/>
      </c>
      <c r="AK49" s="937">
        <f>IF(ISBLANK(AK13),"",AK13/AK$19)</f>
        <v/>
      </c>
      <c r="AL49" s="937">
        <f>IF(ISBLANK(AL13),"",AL13/AL$19)</f>
        <v/>
      </c>
      <c r="AM49" s="937">
        <f>IF(ISBLANK(AM13),"",AM13/AM$19)</f>
        <v/>
      </c>
      <c r="AN49" s="937">
        <f>IF(ISBLANK(AN13),"",AN13/AN$19)</f>
        <v/>
      </c>
      <c r="AO49" s="937">
        <f>IF(ISBLANK(AO13),"",AO13/AO$19)</f>
        <v/>
      </c>
      <c r="AP49" s="937">
        <f>IF(ISBLANK(AP13),"",AP13/AP$19)</f>
        <v/>
      </c>
      <c r="AQ49" s="937">
        <f>IF(ISBLANK(AQ13),"",AQ13/AQ$19)</f>
        <v/>
      </c>
      <c r="AR49" s="937">
        <f>IF(ISBLANK(AR13),"",AR13/AR$19)</f>
        <v/>
      </c>
      <c r="AS49" s="937">
        <f>IF(ISBLANK(AS13),"",AS13/AS$19)</f>
        <v/>
      </c>
      <c r="AT49" s="937">
        <f>IF(ISBLANK(AT13),"",AT13/AT$19)</f>
        <v/>
      </c>
      <c r="AU49" s="937">
        <f>IF(ISBLANK(AU13),"",AU13/AU$19)</f>
        <v/>
      </c>
      <c r="AV49" s="937">
        <f>IF(ISBLANK(AV13),"",AV13/AV$19)</f>
        <v/>
      </c>
      <c r="AW49" s="937">
        <f>IF(ISBLANK(AW13),"",AW13/AW$19)</f>
        <v/>
      </c>
      <c r="AX49" s="937">
        <f>IF(ISBLANK(AX13),"",AX13/AX$19)</f>
        <v/>
      </c>
      <c r="AY49" s="937">
        <f>IF(ISBLANK(AY13),"",AY13/AY$19)</f>
        <v/>
      </c>
      <c r="AZ49" s="937">
        <f>IF(ISBLANK(AZ13),"",AZ13/AZ$19)</f>
        <v/>
      </c>
      <c r="BA49" s="937">
        <f>IF(ISBLANK(BA13),"",BA13/BA$19)</f>
        <v/>
      </c>
      <c r="BB49" s="937">
        <f>IF(ISBLANK(BB13),"",BB13/BB$19)</f>
        <v/>
      </c>
      <c r="BC49" s="937">
        <f>IF(ISBLANK(BC13),"",BC13/BC$19)</f>
        <v/>
      </c>
      <c r="BD49" s="937">
        <f>IF(ISBLANK(BD13),"",BD13/BD$19)</f>
        <v/>
      </c>
      <c r="BE49" s="937">
        <f>IF(ISBLANK(BE13),"",BE13/BE$19)</f>
        <v/>
      </c>
      <c r="BF49" s="937">
        <f>IF(ISBLANK(BF13),"",BF13/BF$19)</f>
        <v/>
      </c>
      <c r="BG49" s="937">
        <f>IF(ISBLANK(BG13),"",BG13/BG$19)</f>
        <v/>
      </c>
      <c r="BH49" s="937">
        <f>IF(ISBLANK(BH13),"",BH13/BH$19)</f>
        <v/>
      </c>
      <c r="BI49" s="937">
        <f>IF(ISBLANK(BI13),"",BI13/BI$19)</f>
        <v/>
      </c>
      <c r="BJ49" s="937">
        <f>IF(ISBLANK(BJ13),"",BJ13/BJ$19)</f>
        <v/>
      </c>
      <c r="BK49" s="937">
        <f>IF(ISBLANK(BK13),"",BK13/BK$19)</f>
        <v/>
      </c>
      <c r="BL49" s="937">
        <f>IF(ISBLANK(BL13),"",BL13/BL$19)</f>
        <v/>
      </c>
      <c r="BM49" s="937">
        <f>IF(ISBLANK(BM13),"",BM13/BM$19)</f>
        <v/>
      </c>
      <c r="BN49" s="937">
        <f>IF(ISBLANK(BN13),"",BN13/BN$19)</f>
        <v/>
      </c>
      <c r="BO49" s="937">
        <f>IF(ISBLANK(BO13),"",BO13/BO$19)</f>
        <v/>
      </c>
      <c r="BP49" s="937">
        <f>IF(ISBLANK(BP13),"",BP13/BP$19)</f>
        <v/>
      </c>
      <c r="BQ49" s="937">
        <f>IF(ISBLANK(BQ13),"",BQ13/BQ$19)</f>
        <v/>
      </c>
      <c r="BR49" s="937">
        <f>IF(ISBLANK(BR13),"",BR13/BR$19)</f>
        <v/>
      </c>
      <c r="BS49" t="n">
        <v>0.0807661705059287</v>
      </c>
      <c r="BT49" t="inlineStr">
        <is>
          <t>IPGP-Financial-Data-Workbook-2024-Q2.xlsx|Key Metrics|17|93</t>
        </is>
      </c>
    </row>
    <row r="50">
      <c r="A50" s="74">
        <f>A14</f>
        <v/>
      </c>
      <c r="B50" s="121" t="n"/>
      <c r="C50" s="121" t="n"/>
      <c r="D50" s="121" t="n"/>
      <c r="E50" s="121" t="n"/>
      <c r="F50" s="121" t="n"/>
      <c r="G50" s="121" t="n"/>
      <c r="H50" s="121" t="n"/>
      <c r="I50" s="121" t="n"/>
      <c r="J50" s="121" t="n"/>
      <c r="K50" s="121" t="n"/>
      <c r="L50" s="121" t="n"/>
      <c r="M50" s="121" t="n"/>
      <c r="N50" s="937">
        <f>IF(ISBLANK(N14),"",N14/N$19)</f>
        <v/>
      </c>
      <c r="O50" s="937">
        <f>IF(ISBLANK(O14),"",O14/O$19)</f>
        <v/>
      </c>
      <c r="P50" s="937">
        <f>IF(ISBLANK(P14),"",P14/P$19)</f>
        <v/>
      </c>
      <c r="Q50" s="937">
        <f>IF(ISBLANK(Q14),"",Q14/Q$19)</f>
        <v/>
      </c>
      <c r="R50" s="937">
        <f>IF(ISBLANK(R14),"",R14/R$19)</f>
        <v/>
      </c>
      <c r="S50" s="937">
        <f>IF(ISBLANK(S14),"",S14/S$19)</f>
        <v/>
      </c>
      <c r="T50" s="937">
        <f>IF(ISBLANK(T14),"",T14/T$19)</f>
        <v/>
      </c>
      <c r="U50" s="937">
        <f>IF(ISBLANK(U14),"",U14/U$19)</f>
        <v/>
      </c>
      <c r="V50" s="937">
        <f>IF(ISBLANK(V14),"",V14/V$19)</f>
        <v/>
      </c>
      <c r="W50" s="937">
        <f>IF(ISBLANK(W14),"",W14/W$19)</f>
        <v/>
      </c>
      <c r="X50" s="937">
        <f>IF(ISBLANK(X14),"",X14/X$19)</f>
        <v/>
      </c>
      <c r="Y50" s="937">
        <f>IF(ISBLANK(Y14),"",Y14/Y$19)</f>
        <v/>
      </c>
      <c r="Z50" s="937">
        <f>IF(ISBLANK(Z14),"",Z14/Z$19)</f>
        <v/>
      </c>
      <c r="AA50" s="937">
        <f>IF(ISBLANK(AA14),"",AA14/AA$19)</f>
        <v/>
      </c>
      <c r="AB50" s="937">
        <f>IF(ISBLANK(AB14),"",AB14/AB$19)</f>
        <v/>
      </c>
      <c r="AC50" s="937">
        <f>IF(ISBLANK(AC14),"",AC14/AC$19)</f>
        <v/>
      </c>
      <c r="AD50" s="937">
        <f>IF(ISBLANK(AD14),"",AD14/AD$19)</f>
        <v/>
      </c>
      <c r="AE50" s="937">
        <f>IF(ISBLANK(AE14),"",AE14/AE$19)</f>
        <v/>
      </c>
      <c r="AF50" s="937">
        <f>IF(ISBLANK(AF14),"",AF14/AF$19)</f>
        <v/>
      </c>
      <c r="AG50" s="937">
        <f>IF(ISBLANK(AG14),"",AG14/AG$19)</f>
        <v/>
      </c>
      <c r="AH50" s="937">
        <f>IF(ISBLANK(AH14),"",AH14/AH$19)</f>
        <v/>
      </c>
      <c r="AI50" s="937">
        <f>IF(ISBLANK(AI14),"",AI14/AI$19)</f>
        <v/>
      </c>
      <c r="AJ50" s="937">
        <f>IF(ISBLANK(AJ14),"",AJ14/AJ$19)</f>
        <v/>
      </c>
      <c r="AK50" s="937">
        <f>IF(ISBLANK(AK14),"",AK14/AK$19)</f>
        <v/>
      </c>
      <c r="AL50" s="937">
        <f>IF(ISBLANK(AL14),"",AL14/AL$19)</f>
        <v/>
      </c>
      <c r="AM50" s="937">
        <f>IF(ISBLANK(AM14),"",AM14/AM$19)</f>
        <v/>
      </c>
      <c r="AN50" s="937">
        <f>IF(ISBLANK(AN14),"",AN14/AN$19)</f>
        <v/>
      </c>
      <c r="AO50" s="937">
        <f>IF(ISBLANK(AO14),"",AO14/AO$19)</f>
        <v/>
      </c>
      <c r="AP50" s="937">
        <f>IF(ISBLANK(AP14),"",AP14/AP$19)</f>
        <v/>
      </c>
      <c r="AQ50" s="937">
        <f>IF(ISBLANK(AQ14),"",AQ14/AQ$19)</f>
        <v/>
      </c>
      <c r="AR50" s="937">
        <f>IF(ISBLANK(AR14),"",AR14/AR$19)</f>
        <v/>
      </c>
      <c r="AS50" s="937">
        <f>IF(ISBLANK(AS14),"",AS14/AS$19)</f>
        <v/>
      </c>
      <c r="AT50" s="937">
        <f>IF(ISBLANK(AT14),"",AT14/AT$19)</f>
        <v/>
      </c>
      <c r="AU50" s="937">
        <f>IF(ISBLANK(AU14),"",AU14/AU$19)</f>
        <v/>
      </c>
      <c r="AV50" s="937">
        <f>IF(ISBLANK(AV14),"",AV14/AV$19)</f>
        <v/>
      </c>
      <c r="AW50" s="937">
        <f>IF(ISBLANK(AW14),"",AW14/AW$19)</f>
        <v/>
      </c>
      <c r="AX50" s="937">
        <f>IF(ISBLANK(AX14),"",AX14/AX$19)</f>
        <v/>
      </c>
      <c r="AY50" s="937">
        <f>IF(ISBLANK(AY14),"",AY14/AY$19)</f>
        <v/>
      </c>
      <c r="AZ50" s="937">
        <f>IF(ISBLANK(AZ14),"",AZ14/AZ$19)</f>
        <v/>
      </c>
      <c r="BA50" s="937">
        <f>IF(ISBLANK(BA14),"",BA14/BA$19)</f>
        <v/>
      </c>
      <c r="BB50" s="937">
        <f>IF(ISBLANK(BB14),"",BB14/BB$19)</f>
        <v/>
      </c>
      <c r="BC50" s="937">
        <f>IF(ISBLANK(BC14),"",BC14/BC$19)</f>
        <v/>
      </c>
      <c r="BD50" s="937">
        <f>IF(ISBLANK(BD14),"",BD14/BD$19)</f>
        <v/>
      </c>
      <c r="BE50" s="937">
        <f>IF(ISBLANK(BE14),"",BE14/BE$19)</f>
        <v/>
      </c>
      <c r="BF50" s="937">
        <f>IF(ISBLANK(BF14),"",BF14/BF$19)</f>
        <v/>
      </c>
      <c r="BG50" s="937">
        <f>IF(ISBLANK(BG14),"",BG14/BG$19)</f>
        <v/>
      </c>
      <c r="BH50" s="937">
        <f>IF(ISBLANK(BH14),"",BH14/BH$19)</f>
        <v/>
      </c>
      <c r="BI50" s="937">
        <f>IF(ISBLANK(BI14),"",BI14/BI$19)</f>
        <v/>
      </c>
      <c r="BJ50" s="937">
        <f>IF(ISBLANK(BJ14),"",BJ14/BJ$19)</f>
        <v/>
      </c>
      <c r="BK50" s="937">
        <f>IF(ISBLANK(BK14),"",BK14/BK$19)</f>
        <v/>
      </c>
      <c r="BL50" s="937">
        <f>IF(ISBLANK(BL14),"",BL14/BL$19)</f>
        <v/>
      </c>
      <c r="BM50" s="937">
        <f>IF(ISBLANK(BM14),"",BM14/BM$19)</f>
        <v/>
      </c>
      <c r="BN50" s="937">
        <f>IF(ISBLANK(BN14),"",BN14/BN$19)</f>
        <v/>
      </c>
      <c r="BO50" s="937">
        <f>IF(ISBLANK(BO14),"",BO14/BO$19)</f>
        <v/>
      </c>
      <c r="BP50" s="937">
        <f>IF(ISBLANK(BP14),"",BP14/BP$19)</f>
        <v/>
      </c>
      <c r="BQ50" s="937">
        <f>IF(ISBLANK(BQ14),"",BQ14/BQ$19)</f>
        <v/>
      </c>
      <c r="BR50" s="937">
        <f>IF(ISBLANK(BR14),"",BR14/BR$19)</f>
        <v/>
      </c>
      <c r="BS50" t="n">
        <v>0.2085117118515787</v>
      </c>
      <c r="BT50" t="inlineStr">
        <is>
          <t>IPGP-Financial-Data-Workbook-2024-Q2.xlsx|Key Metrics|18|93</t>
        </is>
      </c>
    </row>
    <row r="51" customFormat="1" s="660">
      <c r="A51" s="757">
        <f>A15</f>
        <v/>
      </c>
      <c r="B51" s="758" t="n"/>
      <c r="C51" s="758" t="n"/>
      <c r="D51" s="758" t="n"/>
      <c r="E51" s="758" t="n"/>
      <c r="F51" s="758" t="n"/>
      <c r="G51" s="758" t="n"/>
      <c r="H51" s="758" t="n"/>
      <c r="I51" s="758" t="n"/>
      <c r="J51" s="758" t="n"/>
      <c r="K51" s="758" t="n"/>
      <c r="L51" s="758" t="n"/>
      <c r="M51" s="758" t="n"/>
      <c r="N51" s="938">
        <f>IF(ISBLANK(N15),"",N15/N$19)</f>
        <v/>
      </c>
      <c r="O51" s="938">
        <f>IF(ISBLANK(O15),"",O15/O$19)</f>
        <v/>
      </c>
      <c r="P51" s="938">
        <f>IF(ISBLANK(P15),"",P15/P$19)</f>
        <v/>
      </c>
      <c r="Q51" s="938">
        <f>IF(ISBLANK(Q15),"",Q15/Q$19)</f>
        <v/>
      </c>
      <c r="R51" s="938">
        <f>IF(ISBLANK(R15),"",R15/R$19)</f>
        <v/>
      </c>
      <c r="S51" s="938">
        <f>IF(ISBLANK(S15),"",S15/S$19)</f>
        <v/>
      </c>
      <c r="T51" s="938">
        <f>IF(ISBLANK(T15),"",T15/T$19)</f>
        <v/>
      </c>
      <c r="U51" s="938">
        <f>IF(ISBLANK(U15),"",U15/U$19)</f>
        <v/>
      </c>
      <c r="V51" s="938">
        <f>IF(ISBLANK(V15),"",V15/V$19)</f>
        <v/>
      </c>
      <c r="W51" s="938">
        <f>IF(ISBLANK(W15),"",W15/W$19)</f>
        <v/>
      </c>
      <c r="X51" s="938">
        <f>IF(ISBLANK(X15),"",X15/X$19)</f>
        <v/>
      </c>
      <c r="Y51" s="938">
        <f>IF(ISBLANK(Y15),"",Y15/Y$19)</f>
        <v/>
      </c>
      <c r="Z51" s="938">
        <f>IF(ISBLANK(Z15),"",Z15/Z$19)</f>
        <v/>
      </c>
      <c r="AA51" s="938">
        <f>IF(ISBLANK(AA15),"",AA15/AA$19)</f>
        <v/>
      </c>
      <c r="AB51" s="938">
        <f>IF(ISBLANK(AB15),"",AB15/AB$19)</f>
        <v/>
      </c>
      <c r="AC51" s="938">
        <f>IF(ISBLANK(AC15),"",AC15/AC$19)</f>
        <v/>
      </c>
      <c r="AD51" s="938">
        <f>IF(ISBLANK(AD15),"",AD15/AD$19)</f>
        <v/>
      </c>
      <c r="AE51" s="938">
        <f>IF(ISBLANK(AE15),"",AE15/AE$19)</f>
        <v/>
      </c>
      <c r="AF51" s="938">
        <f>IF(ISBLANK(AF15),"",AF15/AF$19)</f>
        <v/>
      </c>
      <c r="AG51" s="938">
        <f>IF(ISBLANK(AG15),"",AG15/AG$19)</f>
        <v/>
      </c>
      <c r="AH51" s="938">
        <f>IF(ISBLANK(AH15),"",AH15/AH$19)</f>
        <v/>
      </c>
      <c r="AI51" s="938">
        <f>IF(ISBLANK(AI15),"",AI15/AI$19)</f>
        <v/>
      </c>
      <c r="AJ51" s="938">
        <f>IF(ISBLANK(AJ15),"",AJ15/AJ$19)</f>
        <v/>
      </c>
      <c r="AK51" s="938">
        <f>IF(ISBLANK(AK15),"",AK15/AK$19)</f>
        <v/>
      </c>
      <c r="AL51" s="938">
        <f>IF(ISBLANK(AL15),"",AL15/AL$19)</f>
        <v/>
      </c>
      <c r="AM51" s="938">
        <f>IF(ISBLANK(AM15),"",AM15/AM$19)</f>
        <v/>
      </c>
      <c r="AN51" s="938">
        <f>IF(ISBLANK(AN15),"",AN15/AN$19)</f>
        <v/>
      </c>
      <c r="AO51" s="938">
        <f>IF(ISBLANK(AO15),"",AO15/AO$19)</f>
        <v/>
      </c>
      <c r="AP51" s="938">
        <f>IF(ISBLANK(AP15),"",AP15/AP$19)</f>
        <v/>
      </c>
      <c r="AQ51" s="938">
        <f>IF(ISBLANK(AQ15),"",AQ15/AQ$19)</f>
        <v/>
      </c>
      <c r="AR51" s="938">
        <f>IF(ISBLANK(AR15),"",AR15/AR$19)</f>
        <v/>
      </c>
      <c r="AS51" s="938">
        <f>IF(ISBLANK(AS15),"",AS15/AS$19)</f>
        <v/>
      </c>
      <c r="AT51" s="938">
        <f>IF(ISBLANK(AT15),"",AT15/AT$19)</f>
        <v/>
      </c>
      <c r="AU51" s="938">
        <f>IF(ISBLANK(AU15),"",AU15/AU$19)</f>
        <v/>
      </c>
      <c r="AV51" s="938">
        <f>IF(ISBLANK(AV15),"",AV15/AV$19)</f>
        <v/>
      </c>
      <c r="AW51" s="938">
        <f>IF(ISBLANK(AW15),"",AW15/AW$19)</f>
        <v/>
      </c>
      <c r="AX51" s="938">
        <f>IF(ISBLANK(AX15),"",AX15/AX$19)</f>
        <v/>
      </c>
      <c r="AY51" s="938">
        <f>IF(ISBLANK(AY15),"",AY15/AY$19)</f>
        <v/>
      </c>
      <c r="AZ51" s="938">
        <f>IF(ISBLANK(AZ15),"",AZ15/AZ$19)</f>
        <v/>
      </c>
      <c r="BA51" s="938">
        <f>IF(ISBLANK(BA15),"",BA15/BA$19)</f>
        <v/>
      </c>
      <c r="BB51" s="938">
        <f>IF(ISBLANK(BB15),"",BB15/BB$19)</f>
        <v/>
      </c>
      <c r="BC51" s="938">
        <f>IF(ISBLANK(BC15),"",BC15/BC$19)</f>
        <v/>
      </c>
      <c r="BD51" s="938">
        <f>IF(ISBLANK(BD15),"",BD15/BD$19)</f>
        <v/>
      </c>
      <c r="BE51" s="938">
        <f>IF(ISBLANK(BE15),"",BE15/BE$19)</f>
        <v/>
      </c>
      <c r="BF51" s="938">
        <f>IF(ISBLANK(BF15),"",BF15/BF$19)</f>
        <v/>
      </c>
      <c r="BG51" s="938">
        <f>IF(ISBLANK(BG15),"",BG15/BG$19)</f>
        <v/>
      </c>
      <c r="BH51" s="938">
        <f>IF(ISBLANK(BH15),"",BH15/BH$19)</f>
        <v/>
      </c>
      <c r="BI51" s="938">
        <f>IF(ISBLANK(BI15),"",BI15/BI$19)</f>
        <v/>
      </c>
      <c r="BJ51" s="938">
        <f>IF(ISBLANK(BJ15),"",BJ15/BJ$19)</f>
        <v/>
      </c>
      <c r="BK51" s="938">
        <f>IF(ISBLANK(BK15),"",BK15/BK$19)</f>
        <v/>
      </c>
      <c r="BL51" s="938">
        <f>IF(ISBLANK(BL15),"",BL15/BL$19)</f>
        <v/>
      </c>
      <c r="BM51" s="938">
        <f>IF(ISBLANK(BM15),"",BM15/BM$19)</f>
        <v/>
      </c>
      <c r="BN51" s="938">
        <f>IF(ISBLANK(BN15),"",BN15/BN$19)</f>
        <v/>
      </c>
      <c r="BO51" s="938">
        <f>IF(ISBLANK(BO15),"",BO15/BO$19)</f>
        <v/>
      </c>
      <c r="BP51" s="938">
        <f>IF(ISBLANK(BP15),"",BP15/BP$19)</f>
        <v/>
      </c>
      <c r="BQ51" s="938">
        <f>IF(ISBLANK(BQ15),"",BQ15/BQ$19)</f>
        <v/>
      </c>
      <c r="BR51" s="938">
        <f>IF(ISBLANK(BR15),"",BR15/BR$19)</f>
        <v/>
      </c>
      <c r="BS51" t="n">
        <v>0.2517999573055949</v>
      </c>
      <c r="BT51" t="inlineStr">
        <is>
          <t>IPGP-Financial-Data-Workbook-2024-Q2.xlsx|Key Metrics|19|93</t>
        </is>
      </c>
    </row>
    <row r="52">
      <c r="A52" s="74">
        <f>A16</f>
        <v/>
      </c>
      <c r="B52" s="121" t="n"/>
      <c r="C52" s="121" t="n"/>
      <c r="D52" s="121" t="n"/>
      <c r="E52" s="121" t="n"/>
      <c r="F52" s="121" t="n"/>
      <c r="G52" s="121" t="n"/>
      <c r="H52" s="121" t="n"/>
      <c r="I52" s="121" t="n"/>
      <c r="J52" s="121" t="n"/>
      <c r="K52" s="121" t="n"/>
      <c r="L52" s="121" t="n"/>
      <c r="M52" s="121" t="n"/>
      <c r="N52" s="937">
        <f>IF(ISBLANK(N16),"",N16/N$19)</f>
        <v/>
      </c>
      <c r="O52" s="937">
        <f>IF(ISBLANK(O16),"",O16/O$19)</f>
        <v/>
      </c>
      <c r="P52" s="937">
        <f>IF(ISBLANK(P16),"",P16/P$19)</f>
        <v/>
      </c>
      <c r="Q52" s="937">
        <f>IF(ISBLANK(Q16),"",Q16/Q$19)</f>
        <v/>
      </c>
      <c r="R52" s="937">
        <f>IF(ISBLANK(R16),"",R16/R$19)</f>
        <v/>
      </c>
      <c r="S52" s="937">
        <f>IF(ISBLANK(S16),"",S16/S$19)</f>
        <v/>
      </c>
      <c r="T52" s="937">
        <f>IF(ISBLANK(T16),"",T16/T$19)</f>
        <v/>
      </c>
      <c r="U52" s="937">
        <f>IF(ISBLANK(U16),"",U16/U$19)</f>
        <v/>
      </c>
      <c r="V52" s="937">
        <f>IF(ISBLANK(V16),"",V16/V$19)</f>
        <v/>
      </c>
      <c r="W52" s="937">
        <f>IF(ISBLANK(W16),"",W16/W$19)</f>
        <v/>
      </c>
      <c r="X52" s="937">
        <f>IF(ISBLANK(X16),"",X16/X$19)</f>
        <v/>
      </c>
      <c r="Y52" s="937">
        <f>IF(ISBLANK(Y16),"",Y16/Y$19)</f>
        <v/>
      </c>
      <c r="Z52" s="937">
        <f>IF(ISBLANK(Z16),"",Z16/Z$19)</f>
        <v/>
      </c>
      <c r="AA52" s="937">
        <f>IF(ISBLANK(AA16),"",AA16/AA$19)</f>
        <v/>
      </c>
      <c r="AB52" s="937">
        <f>IF(ISBLANK(AB16),"",AB16/AB$19)</f>
        <v/>
      </c>
      <c r="AC52" s="937">
        <f>IF(ISBLANK(AC16),"",AC16/AC$19)</f>
        <v/>
      </c>
      <c r="AD52" s="937">
        <f>IF(ISBLANK(AD16),"",AD16/AD$19)</f>
        <v/>
      </c>
      <c r="AE52" s="937">
        <f>IF(ISBLANK(AE16),"",AE16/AE$19)</f>
        <v/>
      </c>
      <c r="AF52" s="937">
        <f>IF(ISBLANK(AF16),"",AF16/AF$19)</f>
        <v/>
      </c>
      <c r="AG52" s="937">
        <f>IF(ISBLANK(AG16),"",AG16/AG$19)</f>
        <v/>
      </c>
      <c r="AH52" s="937">
        <f>IF(ISBLANK(AH16),"",AH16/AH$19)</f>
        <v/>
      </c>
      <c r="AI52" s="937">
        <f>IF(ISBLANK(AI16),"",AI16/AI$19)</f>
        <v/>
      </c>
      <c r="AJ52" s="937">
        <f>IF(ISBLANK(AJ16),"",AJ16/AJ$19)</f>
        <v/>
      </c>
      <c r="AK52" s="937">
        <f>IF(ISBLANK(AK16),"",AK16/AK$19)</f>
        <v/>
      </c>
      <c r="AL52" s="937">
        <f>IF(ISBLANK(AL16),"",AL16/AL$19)</f>
        <v/>
      </c>
      <c r="AM52" s="937">
        <f>IF(ISBLANK(AM16),"",AM16/AM$19)</f>
        <v/>
      </c>
      <c r="AN52" s="937">
        <f>IF(ISBLANK(AN16),"",AN16/AN$19)</f>
        <v/>
      </c>
      <c r="AO52" s="937">
        <f>IF(ISBLANK(AO16),"",AO16/AO$19)</f>
        <v/>
      </c>
      <c r="AP52" s="937">
        <f>IF(ISBLANK(AP16),"",AP16/AP$19)</f>
        <v/>
      </c>
      <c r="AQ52" s="937">
        <f>IF(ISBLANK(AQ16),"",AQ16/AQ$19)</f>
        <v/>
      </c>
      <c r="AR52" s="937">
        <f>IF(ISBLANK(AR16),"",AR16/AR$19)</f>
        <v/>
      </c>
      <c r="AS52" s="937">
        <f>IF(ISBLANK(AS16),"",AS16/AS$19)</f>
        <v/>
      </c>
      <c r="AT52" s="937">
        <f>IF(ISBLANK(AT16),"",AT16/AT$19)</f>
        <v/>
      </c>
      <c r="AU52" s="937">
        <f>IF(ISBLANK(AU16),"",AU16/AU$19)</f>
        <v/>
      </c>
      <c r="AV52" s="937">
        <f>IF(ISBLANK(AV16),"",AV16/AV$19)</f>
        <v/>
      </c>
      <c r="AW52" s="937">
        <f>IF(ISBLANK(AW16),"",AW16/AW$19)</f>
        <v/>
      </c>
      <c r="AX52" s="937">
        <f>IF(ISBLANK(AX16),"",AX16/AX$19)</f>
        <v/>
      </c>
      <c r="AY52" s="937">
        <f>IF(ISBLANK(AY16),"",AY16/AY$19)</f>
        <v/>
      </c>
      <c r="AZ52" s="937">
        <f>IF(ISBLANK(AZ16),"",AZ16/AZ$19)</f>
        <v/>
      </c>
      <c r="BA52" s="937">
        <f>IF(ISBLANK(BA16),"",BA16/BA$19)</f>
        <v/>
      </c>
      <c r="BB52" s="937">
        <f>IF(ISBLANK(BB16),"",BB16/BB$19)</f>
        <v/>
      </c>
      <c r="BC52" s="937">
        <f>IF(ISBLANK(BC16),"",BC16/BC$19)</f>
        <v/>
      </c>
      <c r="BD52" s="937">
        <f>IF(ISBLANK(BD16),"",BD16/BD$19)</f>
        <v/>
      </c>
      <c r="BE52" s="937">
        <f>IF(ISBLANK(BE16),"",BE16/BE$19)</f>
        <v/>
      </c>
      <c r="BF52" s="937">
        <f>IF(ISBLANK(BF16),"",BF16/BF$19)</f>
        <v/>
      </c>
      <c r="BG52" s="937">
        <f>IF(ISBLANK(BG16),"",BG16/BG$19)</f>
        <v/>
      </c>
      <c r="BH52" s="937">
        <f>IF(ISBLANK(BH16),"",BH16/BH$19)</f>
        <v/>
      </c>
      <c r="BI52" s="937">
        <f>IF(ISBLANK(BI16),"",BI16/BI$19)</f>
        <v/>
      </c>
      <c r="BJ52" s="937">
        <f>IF(ISBLANK(BJ16),"",BJ16/BJ$19)</f>
        <v/>
      </c>
      <c r="BK52" s="937">
        <f>IF(ISBLANK(BK16),"",BK16/BK$19)</f>
        <v/>
      </c>
      <c r="BL52" s="937">
        <f>IF(ISBLANK(BL16),"",BL16/BL$19)</f>
        <v/>
      </c>
      <c r="BM52" s="937">
        <f>IF(ISBLANK(BM16),"",BM16/BM$19)</f>
        <v/>
      </c>
      <c r="BN52" s="937">
        <f>IF(ISBLANK(BN16),"",BN16/BN$19)</f>
        <v/>
      </c>
      <c r="BO52" s="937">
        <f>IF(ISBLANK(BO16),"",BO16/BO$19)</f>
        <v/>
      </c>
      <c r="BP52" s="937">
        <f>IF(ISBLANK(BP16),"",BP16/BP$19)</f>
        <v/>
      </c>
      <c r="BQ52" s="937">
        <f>IF(ISBLANK(BQ16),"",BQ16/BQ$19)</f>
        <v/>
      </c>
      <c r="BR52" s="937">
        <f>IF(ISBLANK(BR16),"",BR16/BR$19)</f>
        <v/>
      </c>
      <c r="BS52" t="n">
        <v>0.03964757709251102</v>
      </c>
      <c r="BT52" t="inlineStr">
        <is>
          <t>IPGP-Financial-Data-Workbook-2024-Q2.xlsx|Key Metrics|20|93</t>
        </is>
      </c>
    </row>
    <row r="53">
      <c r="A53" s="74">
        <f>A17</f>
        <v/>
      </c>
      <c r="B53" s="121" t="n"/>
      <c r="C53" s="121" t="n"/>
      <c r="D53" s="121" t="n"/>
      <c r="E53" s="121" t="n"/>
      <c r="F53" s="121" t="n"/>
      <c r="G53" s="121" t="n"/>
      <c r="H53" s="121" t="n"/>
      <c r="I53" s="121" t="n"/>
      <c r="J53" s="121" t="n"/>
      <c r="K53" s="121" t="n"/>
      <c r="L53" s="121" t="n"/>
      <c r="M53" s="121" t="n"/>
      <c r="N53" s="937">
        <f>IF(ISBLANK(N17),"",N17/N$19)</f>
        <v/>
      </c>
      <c r="O53" s="937">
        <f>IF(ISBLANK(O17),"",O17/O$19)</f>
        <v/>
      </c>
      <c r="P53" s="937">
        <f>IF(ISBLANK(P17),"",P17/P$19)</f>
        <v/>
      </c>
      <c r="Q53" s="937">
        <f>IF(ISBLANK(Q17),"",Q17/Q$19)</f>
        <v/>
      </c>
      <c r="R53" s="937">
        <f>IF(ISBLANK(R17),"",R17/R$19)</f>
        <v/>
      </c>
      <c r="S53" s="937">
        <f>IF(ISBLANK(S17),"",S17/S$19)</f>
        <v/>
      </c>
      <c r="T53" s="937">
        <f>IF(ISBLANK(T17),"",T17/T$19)</f>
        <v/>
      </c>
      <c r="U53" s="937">
        <f>IF(ISBLANK(U17),"",U17/U$19)</f>
        <v/>
      </c>
      <c r="V53" s="937">
        <f>IF(ISBLANK(V17),"",V17/V$19)</f>
        <v/>
      </c>
      <c r="W53" s="937">
        <f>IF(ISBLANK(W17),"",W17/W$19)</f>
        <v/>
      </c>
      <c r="X53" s="937">
        <f>IF(ISBLANK(X17),"",X17/X$19)</f>
        <v/>
      </c>
      <c r="Y53" s="937">
        <f>IF(ISBLANK(Y17),"",Y17/Y$19)</f>
        <v/>
      </c>
      <c r="Z53" s="937">
        <f>IF(ISBLANK(Z17),"",Z17/Z$19)</f>
        <v/>
      </c>
      <c r="AA53" s="937">
        <f>IF(ISBLANK(AA17),"",AA17/AA$19)</f>
        <v/>
      </c>
      <c r="AB53" s="937">
        <f>IF(ISBLANK(AB17),"",AB17/AB$19)</f>
        <v/>
      </c>
      <c r="AC53" s="937">
        <f>IF(ISBLANK(AC17),"",AC17/AC$19)</f>
        <v/>
      </c>
      <c r="AD53" s="937">
        <f>IF(ISBLANK(AD17),"",AD17/AD$19)</f>
        <v/>
      </c>
      <c r="AE53" s="937">
        <f>IF(ISBLANK(AE17),"",AE17/AE$19)</f>
        <v/>
      </c>
      <c r="AF53" s="937">
        <f>IF(ISBLANK(AF17),"",AF17/AF$19)</f>
        <v/>
      </c>
      <c r="AG53" s="937">
        <f>IF(ISBLANK(AG17),"",AG17/AG$19)</f>
        <v/>
      </c>
      <c r="AH53" s="937">
        <f>IF(ISBLANK(AH17),"",AH17/AH$19)</f>
        <v/>
      </c>
      <c r="AI53" s="937">
        <f>IF(ISBLANK(AI17),"",AI17/AI$19)</f>
        <v/>
      </c>
      <c r="AJ53" s="937">
        <f>IF(ISBLANK(AJ17),"",AJ17/AJ$19)</f>
        <v/>
      </c>
      <c r="AK53" s="937">
        <f>IF(ISBLANK(AK17),"",AK17/AK$19)</f>
        <v/>
      </c>
      <c r="AL53" s="937">
        <f>IF(ISBLANK(AL17),"",AL17/AL$19)</f>
        <v/>
      </c>
      <c r="AM53" s="937">
        <f>IF(ISBLANK(AM17),"",AM17/AM$19)</f>
        <v/>
      </c>
      <c r="AN53" s="937">
        <f>IF(ISBLANK(AN17),"",AN17/AN$19)</f>
        <v/>
      </c>
      <c r="AO53" s="937">
        <f>IF(ISBLANK(AO17),"",AO17/AO$19)</f>
        <v/>
      </c>
      <c r="AP53" s="937">
        <f>IF(ISBLANK(AP17),"",AP17/AP$19)</f>
        <v/>
      </c>
      <c r="AQ53" s="937">
        <f>IF(ISBLANK(AQ17),"",AQ17/AQ$19)</f>
        <v/>
      </c>
      <c r="AR53" s="937">
        <f>IF(ISBLANK(AR17),"",AR17/AR$19)</f>
        <v/>
      </c>
      <c r="AS53" s="937">
        <f>IF(ISBLANK(AS17),"",AS17/AS$19)</f>
        <v/>
      </c>
      <c r="AT53" s="937">
        <f>IF(ISBLANK(AT17),"",AT17/AT$19)</f>
        <v/>
      </c>
      <c r="AU53" s="937">
        <f>IF(ISBLANK(AU17),"",AU17/AU$19)</f>
        <v/>
      </c>
      <c r="AV53" s="937">
        <f>IF(ISBLANK(AV17),"",AV17/AV$19)</f>
        <v/>
      </c>
      <c r="AW53" s="937">
        <f>IF(ISBLANK(AW17),"",AW17/AW$19)</f>
        <v/>
      </c>
      <c r="AX53" s="937">
        <f>IF(ISBLANK(AX17),"",AX17/AX$19)</f>
        <v/>
      </c>
      <c r="AY53" s="937">
        <f>IF(ISBLANK(AY17),"",AY17/AY$19)</f>
        <v/>
      </c>
      <c r="AZ53" s="937">
        <f>IF(ISBLANK(AZ17),"",AZ17/AZ$19)</f>
        <v/>
      </c>
      <c r="BA53" s="937">
        <f>IF(ISBLANK(BA17),"",BA17/BA$19)</f>
        <v/>
      </c>
      <c r="BB53" s="937">
        <f>IF(ISBLANK(BB17),"",BB17/BB$19)</f>
        <v/>
      </c>
      <c r="BC53" s="937">
        <f>IF(ISBLANK(BC17),"",BC17/BC$19)</f>
        <v/>
      </c>
      <c r="BD53" s="937">
        <f>IF(ISBLANK(BD17),"",BD17/BD$19)</f>
        <v/>
      </c>
      <c r="BE53" s="937">
        <f>IF(ISBLANK(BE17),"",BE17/BE$19)</f>
        <v/>
      </c>
      <c r="BF53" s="937">
        <f>IF(ISBLANK(BF17),"",BF17/BF$19)</f>
        <v/>
      </c>
      <c r="BG53" s="937">
        <f>IF(ISBLANK(BG17),"",BG17/BG$19)</f>
        <v/>
      </c>
      <c r="BH53" s="937">
        <f>IF(ISBLANK(BH17),"",BH17/BH$19)</f>
        <v/>
      </c>
      <c r="BI53" s="937">
        <f>IF(ISBLANK(BI17),"",BI17/BI$19)</f>
        <v/>
      </c>
      <c r="BJ53" s="937">
        <f>IF(ISBLANK(BJ17),"",BJ17/BJ$19)</f>
        <v/>
      </c>
      <c r="BK53" s="937">
        <f>IF(ISBLANK(BK17),"",BK17/BK$19)</f>
        <v/>
      </c>
      <c r="BL53" s="937">
        <f>IF(ISBLANK(BL17),"",BL17/BL$19)</f>
        <v/>
      </c>
      <c r="BM53" s="937">
        <f>IF(ISBLANK(BM17),"",BM17/BM$19)</f>
        <v/>
      </c>
      <c r="BN53" s="937">
        <f>IF(ISBLANK(BN17),"",BN17/BN$19)</f>
        <v/>
      </c>
      <c r="BO53" s="937">
        <f>IF(ISBLANK(BO17),"",BO17/BO$19)</f>
        <v/>
      </c>
      <c r="BP53" s="937">
        <f>IF(ISBLANK(BP17),"",BP17/BP$19)</f>
        <v/>
      </c>
      <c r="BQ53" s="937">
        <f>IF(ISBLANK(BQ17),"",BQ17/BQ$19)</f>
        <v/>
      </c>
      <c r="BR53" s="937">
        <f>IF(ISBLANK(BR17),"",BR17/BR$19)</f>
        <v/>
      </c>
      <c r="BS53" t="n">
        <v>0.1072910399968949</v>
      </c>
      <c r="BT53" t="inlineStr">
        <is>
          <t>IPGP-Financial-Data-Workbook-2024-Q2.xlsx|Key Metrics|21|93</t>
        </is>
      </c>
    </row>
    <row r="54">
      <c r="A54" s="74">
        <f>A18</f>
        <v/>
      </c>
      <c r="B54" s="121" t="n"/>
      <c r="C54" s="121" t="n"/>
      <c r="D54" s="121" t="n"/>
      <c r="E54" s="121" t="n"/>
      <c r="F54" s="121" t="n"/>
      <c r="G54" s="121" t="n"/>
      <c r="H54" s="121" t="n"/>
      <c r="I54" s="121" t="n"/>
      <c r="J54" s="121" t="n"/>
      <c r="K54" s="121" t="n"/>
      <c r="L54" s="121" t="n"/>
      <c r="M54" s="121" t="n"/>
      <c r="N54" s="937">
        <f>IF(ISBLANK(N18),"",N18/N$19)</f>
        <v/>
      </c>
      <c r="O54" s="937">
        <f>IF(ISBLANK(O18),"",O18/O$19)</f>
        <v/>
      </c>
      <c r="P54" s="937">
        <f>IF(ISBLANK(P18),"",P18/P$19)</f>
        <v/>
      </c>
      <c r="Q54" s="937">
        <f>IF(ISBLANK(Q18),"",Q18/Q$19)</f>
        <v/>
      </c>
      <c r="R54" s="937">
        <f>IF(ISBLANK(R18),"",R18/R$19)</f>
        <v/>
      </c>
      <c r="S54" s="937">
        <f>IF(ISBLANK(S18),"",S18/S$19)</f>
        <v/>
      </c>
      <c r="T54" s="937">
        <f>IF(ISBLANK(T18),"",T18/T$19)</f>
        <v/>
      </c>
      <c r="U54" s="937">
        <f>IF(ISBLANK(U18),"",U18/U$19)</f>
        <v/>
      </c>
      <c r="V54" s="937">
        <f>IF(ISBLANK(V18),"",V18/V$19)</f>
        <v/>
      </c>
      <c r="W54" s="937">
        <f>IF(ISBLANK(W18),"",W18/W$19)</f>
        <v/>
      </c>
      <c r="X54" s="937">
        <f>IF(ISBLANK(X18),"",X18/X$19)</f>
        <v/>
      </c>
      <c r="Y54" s="937">
        <f>IF(ISBLANK(Y18),"",Y18/Y$19)</f>
        <v/>
      </c>
      <c r="Z54" s="937">
        <f>IF(ISBLANK(Z18),"",Z18/Z$19)</f>
        <v/>
      </c>
      <c r="AA54" s="937">
        <f>IF(ISBLANK(AA18),"",AA18/AA$19)</f>
        <v/>
      </c>
      <c r="AB54" s="937">
        <f>IF(ISBLANK(AB18),"",AB18/AB$19)</f>
        <v/>
      </c>
      <c r="AC54" s="937">
        <f>IF(ISBLANK(AC18),"",AC18/AC$19)</f>
        <v/>
      </c>
      <c r="AD54" s="937">
        <f>IF(ISBLANK(AD18),"",AD18/AD$19)</f>
        <v/>
      </c>
      <c r="AE54" s="937">
        <f>IF(ISBLANK(AE18),"",AE18/AE$19)</f>
        <v/>
      </c>
      <c r="AF54" s="937">
        <f>IF(ISBLANK(AF18),"",AF18/AF$19)</f>
        <v/>
      </c>
      <c r="AG54" s="937">
        <f>IF(ISBLANK(AG18),"",AG18/AG$19)</f>
        <v/>
      </c>
      <c r="AH54" s="937">
        <f>IF(ISBLANK(AH18),"",AH18/AH$19)</f>
        <v/>
      </c>
      <c r="AI54" s="937">
        <f>IF(ISBLANK(AI18),"",AI18/AI$19)</f>
        <v/>
      </c>
      <c r="AJ54" s="937">
        <f>IF(ISBLANK(AJ18),"",AJ18/AJ$19)</f>
        <v/>
      </c>
      <c r="AK54" s="937">
        <f>IF(ISBLANK(AK18),"",AK18/AK$19)</f>
        <v/>
      </c>
      <c r="AL54" s="937">
        <f>IF(ISBLANK(AL18),"",AL18/AL$19)</f>
        <v/>
      </c>
      <c r="AM54" s="937">
        <f>IF(ISBLANK(AM18),"",AM18/AM$19)</f>
        <v/>
      </c>
      <c r="AN54" s="937">
        <f>IF(ISBLANK(AN18),"",AN18/AN$19)</f>
        <v/>
      </c>
      <c r="AO54" s="937">
        <f>IF(ISBLANK(AO18),"",AO18/AO$19)</f>
        <v/>
      </c>
      <c r="AP54" s="937">
        <f>IF(ISBLANK(AP18),"",AP18/AP$19)</f>
        <v/>
      </c>
      <c r="AQ54" s="937">
        <f>IF(ISBLANK(AQ18),"",AQ18/AQ$19)</f>
        <v/>
      </c>
      <c r="AR54" s="937">
        <f>IF(ISBLANK(AR18),"",AR18/AR$19)</f>
        <v/>
      </c>
      <c r="AS54" s="937">
        <f>IF(ISBLANK(AS18),"",AS18/AS$19)</f>
        <v/>
      </c>
      <c r="AT54" s="937">
        <f>IF(ISBLANK(AT18),"",AT18/AT$19)</f>
        <v/>
      </c>
      <c r="AU54" s="937">
        <f>IF(ISBLANK(AU18),"",AU18/AU$19)</f>
        <v/>
      </c>
      <c r="AV54" s="937">
        <f>IF(ISBLANK(AV18),"",AV18/AV$19)</f>
        <v/>
      </c>
      <c r="AW54" s="937">
        <f>IF(ISBLANK(AW18),"",AW18/AW$19)</f>
        <v/>
      </c>
      <c r="AX54" s="937">
        <f>IF(ISBLANK(AX18),"",AX18/AX$19)</f>
        <v/>
      </c>
      <c r="AY54" s="937">
        <f>IF(ISBLANK(AY18),"",AY18/AY$19)</f>
        <v/>
      </c>
      <c r="AZ54" s="937">
        <f>IF(ISBLANK(AZ18),"",AZ18/AZ$19)</f>
        <v/>
      </c>
      <c r="BA54" s="937">
        <f>IF(ISBLANK(BA18),"",BA18/BA$19)</f>
        <v/>
      </c>
      <c r="BB54" s="937">
        <f>IF(ISBLANK(BB18),"",BB18/BB$19)</f>
        <v/>
      </c>
      <c r="BC54" s="937">
        <f>IF(ISBLANK(BC18),"",BC18/BC$19)</f>
        <v/>
      </c>
      <c r="BD54" s="937">
        <f>IF(ISBLANK(BD18),"",BD18/BD$19)</f>
        <v/>
      </c>
      <c r="BE54" s="937">
        <f>IF(ISBLANK(BE18),"",BE18/BE$19)</f>
        <v/>
      </c>
      <c r="BF54" s="937">
        <f>IF(ISBLANK(BF18),"",BF18/BF$19)</f>
        <v/>
      </c>
      <c r="BG54" s="937">
        <f>IF(ISBLANK(BG18),"",BG18/BG$19)</f>
        <v/>
      </c>
      <c r="BH54" s="937">
        <f>IF(ISBLANK(BH18),"",BH18/BH$19)</f>
        <v/>
      </c>
      <c r="BI54" s="937">
        <f>IF(ISBLANK(BI18),"",BI18/BI$19)</f>
        <v/>
      </c>
      <c r="BJ54" s="937">
        <f>IF(ISBLANK(BJ18),"",BJ18/BJ$19)</f>
        <v/>
      </c>
      <c r="BK54" s="937">
        <f>IF(ISBLANK(BK18),"",BK18/BK$19)</f>
        <v/>
      </c>
      <c r="BL54" s="937">
        <f>IF(ISBLANK(BL18),"",BL18/BL$19)</f>
        <v/>
      </c>
      <c r="BM54" s="937">
        <f>IF(ISBLANK(BM18),"",BM18/BM$19)</f>
        <v/>
      </c>
      <c r="BN54" s="937">
        <f>IF(ISBLANK(BN18),"",BN18/BN$19)</f>
        <v/>
      </c>
      <c r="BO54" s="937">
        <f>IF(ISBLANK(BO18),"",BO18/BO$19)</f>
        <v/>
      </c>
      <c r="BP54" s="937">
        <f>IF(ISBLANK(BP18),"",BP18/BP$19)</f>
        <v/>
      </c>
      <c r="BQ54" s="937">
        <f>IF(ISBLANK(BQ18),"",BQ18/BQ$19)</f>
        <v/>
      </c>
      <c r="BR54" s="937">
        <f>IF(ISBLANK(BR18),"",BR18/BR$19)</f>
        <v/>
      </c>
      <c r="BS54" t="n">
        <v>0.01349143200915989</v>
      </c>
      <c r="BT54" t="inlineStr">
        <is>
          <t>IPGP-Financial-Data-Workbook-2024-Q2.xlsx|Key Metrics|22|93</t>
        </is>
      </c>
    </row>
    <row r="55">
      <c r="A55" s="22">
        <f>A19</f>
        <v/>
      </c>
      <c r="B55" s="121" t="n"/>
      <c r="C55" s="121" t="n"/>
      <c r="D55" s="121" t="n"/>
      <c r="E55" s="121" t="n"/>
      <c r="F55" s="121" t="n"/>
      <c r="G55" s="121" t="n"/>
      <c r="H55" s="121" t="n"/>
      <c r="I55" s="121" t="n"/>
      <c r="J55" s="121" t="n"/>
      <c r="K55" s="121" t="n"/>
      <c r="L55" s="121" t="n"/>
      <c r="M55" s="121" t="n"/>
      <c r="N55" s="939">
        <f>IF(ISBLANK(N19),"",N19/N$19)</f>
        <v/>
      </c>
      <c r="O55" s="939">
        <f>IF(ISBLANK(O19),"",O19/O$19)</f>
        <v/>
      </c>
      <c r="P55" s="939">
        <f>IF(ISBLANK(P19),"",P19/P$19)</f>
        <v/>
      </c>
      <c r="Q55" s="939">
        <f>IF(ISBLANK(Q19),"",Q19/Q$19)</f>
        <v/>
      </c>
      <c r="R55" s="939">
        <f>IF(ISBLANK(R19),"",R19/R$19)</f>
        <v/>
      </c>
      <c r="S55" s="939">
        <f>IF(ISBLANK(S19),"",S19/S$19)</f>
        <v/>
      </c>
      <c r="T55" s="939">
        <f>IF(ISBLANK(T19),"",T19/T$19)</f>
        <v/>
      </c>
      <c r="U55" s="939">
        <f>IF(ISBLANK(U19),"",U19/U$19)</f>
        <v/>
      </c>
      <c r="V55" s="939">
        <f>IF(ISBLANK(V19),"",V19/V$19)</f>
        <v/>
      </c>
      <c r="W55" s="939">
        <f>IF(ISBLANK(W19),"",W19/W$19)</f>
        <v/>
      </c>
      <c r="X55" s="939">
        <f>IF(ISBLANK(X19),"",X19/X$19)</f>
        <v/>
      </c>
      <c r="Y55" s="939">
        <f>IF(ISBLANK(Y19),"",Y19/Y$19)</f>
        <v/>
      </c>
      <c r="Z55" s="939">
        <f>IF(ISBLANK(Z19),"",Z19/Z$19)</f>
        <v/>
      </c>
      <c r="AA55" s="939">
        <f>IF(ISBLANK(AA19),"",AA19/AA$19)</f>
        <v/>
      </c>
      <c r="AB55" s="939">
        <f>IF(ISBLANK(AB19),"",AB19/AB$19)</f>
        <v/>
      </c>
      <c r="AC55" s="939">
        <f>IF(ISBLANK(AC19),"",AC19/AC$19)</f>
        <v/>
      </c>
      <c r="AD55" s="939">
        <f>IF(ISBLANK(AD19),"",AD19/AD$19)</f>
        <v/>
      </c>
      <c r="AE55" s="939">
        <f>IF(ISBLANK(AE19),"",AE19/AE$19)</f>
        <v/>
      </c>
      <c r="AF55" s="939">
        <f>IF(ISBLANK(AF19),"",AF19/AF$19)</f>
        <v/>
      </c>
      <c r="AG55" s="939">
        <f>IF(ISBLANK(AG19),"",AG19/AG$19)</f>
        <v/>
      </c>
      <c r="AH55" s="939">
        <f>IF(ISBLANK(AH19),"",AH19/AH$19)</f>
        <v/>
      </c>
      <c r="AI55" s="939">
        <f>IF(ISBLANK(AI19),"",AI19/AI$19)</f>
        <v/>
      </c>
      <c r="AJ55" s="939">
        <f>IF(ISBLANK(AJ19),"",AJ19/AJ$19)</f>
        <v/>
      </c>
      <c r="AK55" s="939">
        <f>IF(ISBLANK(AK19),"",AK19/AK$19)</f>
        <v/>
      </c>
      <c r="AL55" s="939">
        <f>IF(ISBLANK(AL19),"",AL19/AL$19)</f>
        <v/>
      </c>
      <c r="AM55" s="939">
        <f>IF(ISBLANK(AM19),"",AM19/AM$19)</f>
        <v/>
      </c>
      <c r="AN55" s="939">
        <f>IF(ISBLANK(AN19),"",AN19/AN$19)</f>
        <v/>
      </c>
      <c r="AO55" s="939">
        <f>IF(ISBLANK(AO19),"",AO19/AO$19)</f>
        <v/>
      </c>
      <c r="AP55" s="939">
        <f>IF(ISBLANK(AP19),"",AP19/AP$19)</f>
        <v/>
      </c>
      <c r="AQ55" s="939">
        <f>IF(ISBLANK(AQ19),"",AQ19/AQ$19)</f>
        <v/>
      </c>
      <c r="AR55" s="939">
        <f>IF(ISBLANK(AR19),"",AR19/AR$19)</f>
        <v/>
      </c>
      <c r="AS55" s="939">
        <f>IF(ISBLANK(AS19),"",AS19/AS$19)</f>
        <v/>
      </c>
      <c r="AT55" s="939">
        <f>IF(ISBLANK(AT19),"",AT19/AT$19)</f>
        <v/>
      </c>
      <c r="AU55" s="939">
        <f>IF(ISBLANK(AU19),"",AU19/AU$19)</f>
        <v/>
      </c>
      <c r="AV55" s="939">
        <f>IF(ISBLANK(AV19),"",AV19/AV$19)</f>
        <v/>
      </c>
      <c r="AW55" s="939">
        <f>IF(ISBLANK(AW19),"",AW19/AW$19)</f>
        <v/>
      </c>
      <c r="AX55" s="939">
        <f>IF(ISBLANK(AX19),"",AX19/AX$19)</f>
        <v/>
      </c>
      <c r="AY55" s="939">
        <f>IF(ISBLANK(AY19),"",AY19/AY$19)</f>
        <v/>
      </c>
      <c r="AZ55" s="939">
        <f>IF(ISBLANK(AZ19),"",AZ19/AZ$19)</f>
        <v/>
      </c>
      <c r="BA55" s="939">
        <f>IF(ISBLANK(BA19),"",BA19/BA$19)</f>
        <v/>
      </c>
      <c r="BB55" s="939">
        <f>IF(ISBLANK(BB19),"",BB19/BB$19)</f>
        <v/>
      </c>
      <c r="BC55" s="939">
        <f>IF(ISBLANK(BC19),"",BC19/BC$19)</f>
        <v/>
      </c>
      <c r="BD55" s="939">
        <f>IF(ISBLANK(BD19),"",BD19/BD$19)</f>
        <v/>
      </c>
      <c r="BE55" s="939">
        <f>IF(ISBLANK(BE19),"",BE19/BE$19)</f>
        <v/>
      </c>
      <c r="BF55" s="939">
        <f>IF(ISBLANK(BF19),"",BF19/BF$19)</f>
        <v/>
      </c>
      <c r="BG55" s="939">
        <f>IF(ISBLANK(BG19),"",BG19/BG$19)</f>
        <v/>
      </c>
      <c r="BH55" s="939">
        <f>IF(ISBLANK(BH19),"",BH19/BH$19)</f>
        <v/>
      </c>
      <c r="BI55" s="939">
        <f>IF(ISBLANK(BI19),"",BI19/BI$19)</f>
        <v/>
      </c>
      <c r="BJ55" s="939">
        <f>IF(ISBLANK(BJ19),"",BJ19/BJ$19)</f>
        <v/>
      </c>
      <c r="BK55" s="939">
        <f>IF(ISBLANK(BK19),"",BK19/BK$19)</f>
        <v/>
      </c>
      <c r="BL55" s="939">
        <f>IF(ISBLANK(BL19),"",BL19/BL$19)</f>
        <v/>
      </c>
      <c r="BM55" s="939">
        <f>IF(ISBLANK(BM19),"",BM19/BM$19)</f>
        <v/>
      </c>
      <c r="BN55" s="939">
        <f>IF(ISBLANK(BN19),"",BN19/BN$19)</f>
        <v/>
      </c>
      <c r="BO55" s="939">
        <f>IF(ISBLANK(BO19),"",BO19/BO$19)</f>
        <v/>
      </c>
      <c r="BP55" s="939">
        <f>IF(ISBLANK(BP19),"",BP19/BP$19)</f>
        <v/>
      </c>
      <c r="BQ55" s="939">
        <f>IF(ISBLANK(BQ19),"",BQ19/BQ$19)</f>
        <v/>
      </c>
      <c r="BR55" s="939">
        <f>IF(ISBLANK(BR19),"",BR19/BR$19)</f>
        <v/>
      </c>
      <c r="BS55" t="n">
        <v>1</v>
      </c>
      <c r="BT55" t="inlineStr">
        <is>
          <t>IPGP-Financial-Data-Workbook-2024-Q2.xlsx|Key Metrics|23|93</t>
        </is>
      </c>
    </row>
    <row r="56">
      <c r="B56" s="121" t="n"/>
      <c r="C56" s="121" t="n"/>
      <c r="D56" s="121" t="n"/>
      <c r="E56" s="121" t="n"/>
      <c r="F56" s="121" t="n"/>
      <c r="G56" s="121" t="n"/>
      <c r="H56" s="121" t="n"/>
      <c r="I56" s="121" t="n"/>
      <c r="J56" s="121" t="n"/>
      <c r="K56" s="121" t="n"/>
      <c r="L56" s="121" t="n"/>
      <c r="M56" s="121" t="n"/>
      <c r="N56" s="121" t="n"/>
      <c r="O56" s="121" t="n"/>
      <c r="P56" s="121" t="n"/>
      <c r="Q56" s="458" t="n"/>
      <c r="R56" s="458" t="n"/>
      <c r="S56" s="121" t="n"/>
      <c r="T56" s="458" t="n"/>
      <c r="U56" s="458" t="n"/>
      <c r="V56" s="458" t="n"/>
      <c r="W56" s="458" t="n"/>
      <c r="X56" s="458" t="n"/>
      <c r="Y56" s="458" t="n"/>
      <c r="Z56" s="458" t="n"/>
      <c r="AA56" s="458" t="n"/>
      <c r="AB56" s="458" t="n"/>
      <c r="AC56" s="458" t="n"/>
      <c r="AD56" s="458" t="n"/>
      <c r="AE56" s="458" t="n"/>
      <c r="AF56" s="458" t="n"/>
      <c r="AG56" s="458" t="n"/>
      <c r="AH56" s="458" t="n"/>
      <c r="AI56" s="458" t="n"/>
      <c r="AJ56" s="458" t="n"/>
      <c r="AK56" s="145" t="n"/>
      <c r="AL56" s="145" t="n"/>
      <c r="AM56" s="145" t="n"/>
      <c r="AN56" s="145" t="n"/>
      <c r="AO56" s="145" t="n"/>
      <c r="AP56" s="145" t="n"/>
      <c r="AQ56" s="145" t="n"/>
      <c r="AR56" s="145" t="n"/>
      <c r="AS56" s="145" t="n"/>
    </row>
    <row r="57">
      <c r="A57" s="22" t="inlineStr">
        <is>
          <t>End market mix (%)</t>
        </is>
      </c>
      <c r="B57" s="121" t="n"/>
      <c r="C57" s="121" t="n"/>
      <c r="D57" s="121" t="n"/>
      <c r="E57" s="121" t="n"/>
      <c r="F57" s="121" t="n"/>
      <c r="G57" s="121" t="n"/>
      <c r="H57" s="121" t="n"/>
      <c r="I57" s="121" t="n"/>
      <c r="J57" s="121" t="n"/>
      <c r="K57" s="121" t="n"/>
      <c r="L57" s="121" t="n"/>
      <c r="M57" s="121" t="n"/>
      <c r="N57" s="121" t="n"/>
      <c r="O57" s="121" t="n"/>
      <c r="P57" s="121" t="n"/>
      <c r="Q57" s="457" t="n"/>
      <c r="R57" s="457" t="n"/>
      <c r="S57" s="121" t="n"/>
      <c r="T57" s="457" t="n"/>
      <c r="U57" s="457" t="n"/>
      <c r="V57" s="457" t="n"/>
      <c r="W57" s="457" t="n"/>
      <c r="X57" s="457" t="n"/>
      <c r="Y57" s="457" t="n"/>
      <c r="Z57" s="457" t="n"/>
      <c r="AA57" s="457" t="n"/>
      <c r="AB57" s="457" t="n"/>
      <c r="AC57" s="457" t="n"/>
      <c r="AD57" s="457" t="n"/>
      <c r="AE57" s="457" t="n"/>
      <c r="AF57" s="457" t="n"/>
      <c r="AG57" s="457" t="n"/>
      <c r="AH57" s="457" t="n"/>
      <c r="AI57" s="457" t="n"/>
      <c r="AJ57" s="457" t="n"/>
      <c r="AK57" s="133" t="n"/>
      <c r="AL57" s="133" t="n"/>
      <c r="AM57" s="133" t="n"/>
      <c r="AN57" s="133" t="n"/>
      <c r="AO57" s="133" t="n"/>
      <c r="AP57" s="133" t="n"/>
      <c r="AQ57" s="133" t="n"/>
      <c r="AR57" s="133" t="n"/>
      <c r="AS57" s="133" t="n"/>
    </row>
    <row r="58">
      <c r="A58" s="74">
        <f>A22</f>
        <v/>
      </c>
      <c r="B58" s="121" t="n"/>
      <c r="C58" s="121" t="n"/>
      <c r="D58" s="121" t="n"/>
      <c r="E58" s="121" t="n"/>
      <c r="F58" s="121" t="n"/>
      <c r="G58" s="121" t="n"/>
      <c r="H58" s="121" t="n"/>
      <c r="I58" s="121" t="n"/>
      <c r="J58" s="121" t="n"/>
      <c r="K58" s="121" t="n"/>
      <c r="L58" s="121" t="n"/>
      <c r="M58" s="121" t="n"/>
      <c r="N58" s="940">
        <f>IF(ISBLANK(N22),"",N22/N$27)</f>
        <v/>
      </c>
      <c r="O58" s="940">
        <f>IF(ISBLANK(O22),"",O22/O$27)</f>
        <v/>
      </c>
      <c r="P58" s="940">
        <f>IF(ISBLANK(P22),"",P22/P$27)</f>
        <v/>
      </c>
      <c r="Q58" s="940">
        <f>IF(ISBLANK(Q22),"",Q22/Q$27)</f>
        <v/>
      </c>
      <c r="R58" s="940">
        <f>IF(ISBLANK(R22),"",R22/R$27)</f>
        <v/>
      </c>
      <c r="S58" s="940">
        <f>IF(ISBLANK(S22),"",S22/S$27)</f>
        <v/>
      </c>
      <c r="T58" s="940">
        <f>IF(ISBLANK(T22),"",T22/T$27)</f>
        <v/>
      </c>
      <c r="U58" s="940">
        <f>IF(ISBLANK(U22),"",U22/U$27)</f>
        <v/>
      </c>
      <c r="V58" s="940">
        <f>IF(ISBLANK(V22),"",V22/V$27)</f>
        <v/>
      </c>
      <c r="W58" s="940">
        <f>IF(ISBLANK(W22),"",W22/W$27)</f>
        <v/>
      </c>
      <c r="X58" s="940">
        <f>IF(ISBLANK(X22),"",X22/X$27)</f>
        <v/>
      </c>
      <c r="Y58" s="940">
        <f>IF(ISBLANK(Y22),"",Y22/Y$27)</f>
        <v/>
      </c>
      <c r="Z58" s="940">
        <f>IF(ISBLANK(Z22),"",Z22/Z$27)</f>
        <v/>
      </c>
      <c r="AA58" s="940">
        <f>IF(ISBLANK(AA22),"",AA22/AA$27)</f>
        <v/>
      </c>
      <c r="AB58" s="940">
        <f>IF(ISBLANK(AB22),"",AB22/AB$27)</f>
        <v/>
      </c>
      <c r="AC58" s="940">
        <f>IF(ISBLANK(AC22),"",AC22/AC$27)</f>
        <v/>
      </c>
      <c r="AD58" s="940">
        <f>IF(ISBLANK(AD22),"",AD22/AD$27)</f>
        <v/>
      </c>
      <c r="AE58" s="940">
        <f>IF(ISBLANK(AE22),"",AE22/AE$27)</f>
        <v/>
      </c>
      <c r="AF58" s="940">
        <f>IF(ISBLANK(AF22),"",AF22/AF$27)</f>
        <v/>
      </c>
      <c r="AG58" s="940">
        <f>IF(ISBLANK(AG22),"",AG22/AG$27)</f>
        <v/>
      </c>
      <c r="AH58" s="940">
        <f>IF(ISBLANK(AH22),"",AH22/AH$27)</f>
        <v/>
      </c>
      <c r="AI58" s="940">
        <f>IF(ISBLANK(AI22),"",AI22/AI$27)</f>
        <v/>
      </c>
      <c r="AJ58" s="940">
        <f>IF(ISBLANK(AJ22),"",AJ22/AJ$27)</f>
        <v/>
      </c>
      <c r="AK58" s="940">
        <f>IF(ISBLANK(AK22),"",AK22/AK$27)</f>
        <v/>
      </c>
      <c r="AL58" s="940">
        <f>IF(ISBLANK(AL22),"",AL22/AL$27)</f>
        <v/>
      </c>
      <c r="AM58" s="940">
        <f>IF(ISBLANK(AM22),"",AM22/AM$27)</f>
        <v/>
      </c>
      <c r="AN58" s="940">
        <f>IF(ISBLANK(AN22),"",AN22/AN$27)</f>
        <v/>
      </c>
      <c r="AO58" s="940">
        <f>IF(ISBLANK(AO22),"",AO22/AO$27)</f>
        <v/>
      </c>
      <c r="AP58" s="940">
        <f>IF(ISBLANK(AP22),"",AP22/AP$27)</f>
        <v/>
      </c>
      <c r="AQ58" s="940">
        <f>IF(ISBLANK(AQ22),"",AQ22/AQ$27)</f>
        <v/>
      </c>
      <c r="AR58" s="940">
        <f>IF(ISBLANK(AR22),"",AR22/AR$27)</f>
        <v/>
      </c>
      <c r="AS58" s="940">
        <f>IF(ISBLANK(AS22),"",AS22/AS$27)</f>
        <v/>
      </c>
      <c r="AT58" s="940">
        <f>IF(ISBLANK(AT22),"",AT22/AT$27)</f>
        <v/>
      </c>
      <c r="AU58" s="940">
        <f>IF(ISBLANK(AU22),"",AU22/AU$27)</f>
        <v/>
      </c>
      <c r="AV58" s="940">
        <f>IF(ISBLANK(AV22),"",AV22/AV$27)</f>
        <v/>
      </c>
      <c r="AW58" s="940">
        <f>IF(ISBLANK(AW22),"",AW22/AW$27)</f>
        <v/>
      </c>
      <c r="AX58" s="940">
        <f>IF(ISBLANK(AX22),"",AX22/AX$27)</f>
        <v/>
      </c>
      <c r="AY58" s="940">
        <f>IF(ISBLANK(AY22),"",AY22/AY$27)</f>
        <v/>
      </c>
      <c r="AZ58" s="940">
        <f>IF(ISBLANK(AZ22),"",AZ22/AZ$27)</f>
        <v/>
      </c>
      <c r="BA58" s="940">
        <f>IF(ISBLANK(BA22),"",BA22/BA$27)</f>
        <v/>
      </c>
      <c r="BB58" s="940">
        <f>IF(ISBLANK(BB22),"",BB22/BB$27)</f>
        <v/>
      </c>
      <c r="BC58" s="940">
        <f>IF(ISBLANK(BC22),"",BC22/BC$27)</f>
        <v/>
      </c>
      <c r="BD58" s="940">
        <f>IF(ISBLANK(BD22),"",BD22/BD$27)</f>
        <v/>
      </c>
      <c r="BE58" s="940">
        <f>IF(ISBLANK(BE22),"",BE22/BE$27)</f>
        <v/>
      </c>
      <c r="BF58" s="940">
        <f>IF(ISBLANK(BF22),"",BF22/BF$27)</f>
        <v/>
      </c>
      <c r="BG58" s="940">
        <f>IF(ISBLANK(BG22),"",BG22/BG$27)</f>
        <v/>
      </c>
      <c r="BH58" s="940">
        <f>IF(ISBLANK(BH22),"",BH22/BH$27)</f>
        <v/>
      </c>
      <c r="BI58" s="940">
        <f>IF(ISBLANK(BI22),"",BI22/BI$27)</f>
        <v/>
      </c>
      <c r="BJ58" s="940">
        <f>IF(ISBLANK(BJ22),"",BJ22/BJ$27)</f>
        <v/>
      </c>
      <c r="BK58" s="940">
        <f>IF(ISBLANK(BK22),"",BK22/BK$27)</f>
        <v/>
      </c>
      <c r="BL58" s="940">
        <f>IF(ISBLANK(BL22),"",BL22/BL$27)</f>
        <v/>
      </c>
      <c r="BM58" s="940">
        <f>IF(ISBLANK(BM22),"",BM22/BM$27)</f>
        <v/>
      </c>
      <c r="BN58" s="940">
        <f>IF(ISBLANK(BN22),"",BN22/BN$27)</f>
        <v/>
      </c>
      <c r="BO58" s="940">
        <f>IF(ISBLANK(BO22),"",BO22/BO$27)</f>
        <v/>
      </c>
      <c r="BP58" s="940">
        <f>IF(ISBLANK(BP22),"",BP22/BP$27)</f>
        <v/>
      </c>
      <c r="BQ58" s="940">
        <f>IF(ISBLANK(BQ22),"",BQ22/BQ$27)</f>
        <v/>
      </c>
      <c r="BR58" s="940">
        <f>IF(ISBLANK(BR22),"",BR22/BR$27)</f>
        <v/>
      </c>
      <c r="BS58" t="n">
        <v>0.876294901899901</v>
      </c>
      <c r="BT58" t="inlineStr">
        <is>
          <t>IPGP-Financial-Data-Workbook-2024-Q2.xlsx|Key Metrics|34|93</t>
        </is>
      </c>
    </row>
    <row r="59">
      <c r="A59" s="74">
        <f>A23</f>
        <v/>
      </c>
      <c r="B59" s="121" t="n"/>
      <c r="C59" s="121" t="n"/>
      <c r="D59" s="121" t="n"/>
      <c r="E59" s="121" t="n"/>
      <c r="F59" s="121" t="n"/>
      <c r="G59" s="121" t="n"/>
      <c r="H59" s="121" t="n"/>
      <c r="I59" s="121" t="n"/>
      <c r="J59" s="121" t="n"/>
      <c r="K59" s="121" t="n"/>
      <c r="L59" s="121" t="n"/>
      <c r="M59" s="121" t="n"/>
      <c r="N59" s="940">
        <f>IF(ISBLANK(N23),"",N23/N$27)</f>
        <v/>
      </c>
      <c r="O59" s="940">
        <f>IF(ISBLANK(O23),"",O23/O$27)</f>
        <v/>
      </c>
      <c r="P59" s="940">
        <f>IF(ISBLANK(P23),"",P23/P$27)</f>
        <v/>
      </c>
      <c r="Q59" s="940">
        <f>IF(ISBLANK(Q23),"",Q23/Q$27)</f>
        <v/>
      </c>
      <c r="R59" s="940">
        <f>IF(ISBLANK(R23),"",R23/R$27)</f>
        <v/>
      </c>
      <c r="S59" s="940">
        <f>IF(ISBLANK(S23),"",S23/S$27)</f>
        <v/>
      </c>
      <c r="T59" s="940">
        <f>IF(ISBLANK(T23),"",T23/T$27)</f>
        <v/>
      </c>
      <c r="U59" s="940">
        <f>IF(ISBLANK(U23),"",U23/U$27)</f>
        <v/>
      </c>
      <c r="V59" s="940">
        <f>IF(ISBLANK(V23),"",V23/V$27)</f>
        <v/>
      </c>
      <c r="W59" s="940">
        <f>IF(ISBLANK(W23),"",W23/W$27)</f>
        <v/>
      </c>
      <c r="X59" s="940">
        <f>IF(ISBLANK(X23),"",X23/X$27)</f>
        <v/>
      </c>
      <c r="Y59" s="940">
        <f>IF(ISBLANK(Y23),"",Y23/Y$27)</f>
        <v/>
      </c>
      <c r="Z59" s="940">
        <f>IF(ISBLANK(Z23),"",Z23/Z$27)</f>
        <v/>
      </c>
      <c r="AA59" s="940">
        <f>IF(ISBLANK(AA23),"",AA23/AA$27)</f>
        <v/>
      </c>
      <c r="AB59" s="940">
        <f>IF(ISBLANK(AB23),"",AB23/AB$27)</f>
        <v/>
      </c>
      <c r="AC59" s="940">
        <f>IF(ISBLANK(AC23),"",AC23/AC$27)</f>
        <v/>
      </c>
      <c r="AD59" s="940">
        <f>IF(ISBLANK(AD23),"",AD23/AD$27)</f>
        <v/>
      </c>
      <c r="AE59" s="940">
        <f>IF(ISBLANK(AE23),"",AE23/AE$27)</f>
        <v/>
      </c>
      <c r="AF59" s="940">
        <f>IF(ISBLANK(AF23),"",AF23/AF$27)</f>
        <v/>
      </c>
      <c r="AG59" s="940">
        <f>IF(ISBLANK(AG23),"",AG23/AG$27)</f>
        <v/>
      </c>
      <c r="AH59" s="940">
        <f>IF(ISBLANK(AH23),"",AH23/AH$27)</f>
        <v/>
      </c>
      <c r="AI59" s="940">
        <f>IF(ISBLANK(AI23),"",AI23/AI$27)</f>
        <v/>
      </c>
      <c r="AJ59" s="940">
        <f>IF(ISBLANK(AJ23),"",AJ23/AJ$27)</f>
        <v/>
      </c>
      <c r="AK59" s="940">
        <f>IF(ISBLANK(AK23),"",AK23/AK$27)</f>
        <v/>
      </c>
      <c r="AL59" s="940">
        <f>IF(ISBLANK(AL23),"",AL23/AL$27)</f>
        <v/>
      </c>
      <c r="AM59" s="940">
        <f>IF(ISBLANK(AM23),"",AM23/AM$27)</f>
        <v/>
      </c>
      <c r="AN59" s="940">
        <f>IF(ISBLANK(AN23),"",AN23/AN$27)</f>
        <v/>
      </c>
      <c r="AO59" s="940">
        <f>IF(ISBLANK(AO23),"",AO23/AO$27)</f>
        <v/>
      </c>
      <c r="AP59" s="940">
        <f>IF(ISBLANK(AP23),"",AP23/AP$27)</f>
        <v/>
      </c>
      <c r="AQ59" s="940">
        <f>IF(ISBLANK(AQ23),"",AQ23/AQ$27)</f>
        <v/>
      </c>
      <c r="AR59" s="940">
        <f>IF(ISBLANK(AR23),"",AR23/AR$27)</f>
        <v/>
      </c>
      <c r="AS59" s="940">
        <f>IF(ISBLANK(AS23),"",AS23/AS$27)</f>
        <v/>
      </c>
      <c r="AT59" s="940">
        <f>IF(ISBLANK(AT23),"",AT23/AT$27)</f>
        <v/>
      </c>
      <c r="AU59" s="940">
        <f>IF(ISBLANK(AU23),"",AU23/AU$27)</f>
        <v/>
      </c>
      <c r="AV59" s="940">
        <f>IF(ISBLANK(AV23),"",AV23/AV$27)</f>
        <v/>
      </c>
      <c r="AW59" s="940">
        <f>IF(ISBLANK(AW23),"",AW23/AW$27)</f>
        <v/>
      </c>
      <c r="AX59" s="940">
        <f>IF(ISBLANK(AX23),"",AX23/AX$27)</f>
        <v/>
      </c>
      <c r="AY59" s="940">
        <f>IF(ISBLANK(AY23),"",AY23/AY$27)</f>
        <v/>
      </c>
      <c r="AZ59" s="940">
        <f>IF(ISBLANK(AZ23),"",AZ23/AZ$27)</f>
        <v/>
      </c>
      <c r="BA59" s="940">
        <f>IF(ISBLANK(BA23),"",BA23/BA$27)</f>
        <v/>
      </c>
      <c r="BB59" s="940">
        <f>IF(ISBLANK(BB23),"",BB23/BB$27)</f>
        <v/>
      </c>
      <c r="BC59" s="940">
        <f>IF(ISBLANK(BC23),"",BC23/BC$27)</f>
        <v/>
      </c>
      <c r="BD59" s="940">
        <f>IF(ISBLANK(BD23),"",BD23/BD$27)</f>
        <v/>
      </c>
      <c r="BE59" s="940">
        <f>IF(ISBLANK(BE23),"",BE23/BE$27)</f>
        <v/>
      </c>
      <c r="BF59" s="940">
        <f>IF(ISBLANK(BF23),"",BF23/BF$27)</f>
        <v/>
      </c>
      <c r="BG59" s="940">
        <f>IF(ISBLANK(BG23),"",BG23/BG$27)</f>
        <v/>
      </c>
      <c r="BH59" s="940">
        <f>IF(ISBLANK(BH23),"",BH23/BH$27)</f>
        <v/>
      </c>
      <c r="BI59" s="940">
        <f>IF(ISBLANK(BI23),"",BI23/BI$27)</f>
        <v/>
      </c>
      <c r="BJ59" s="940">
        <f>IF(ISBLANK(BJ23),"",BJ23/BJ$27)</f>
        <v/>
      </c>
      <c r="BK59" s="940">
        <f>IF(ISBLANK(BK23),"",BK23/BK$27)</f>
        <v/>
      </c>
      <c r="BL59" s="940">
        <f>IF(ISBLANK(BL23),"",BL23/BL$27)</f>
        <v/>
      </c>
      <c r="BM59" s="940">
        <f>IF(ISBLANK(BM23),"",BM23/BM$27)</f>
        <v/>
      </c>
      <c r="BN59" s="940">
        <f>IF(ISBLANK(BN23),"",BN23/BN$27)</f>
        <v/>
      </c>
      <c r="BO59" s="940">
        <f>IF(ISBLANK(BO23),"",BO23/BO$27)</f>
        <v/>
      </c>
      <c r="BP59" s="940">
        <f>IF(ISBLANK(BP23),"",BP23/BP$27)</f>
        <v/>
      </c>
      <c r="BQ59" s="940">
        <f>IF(ISBLANK(BQ23),"",BQ23/BQ$27)</f>
        <v/>
      </c>
      <c r="BR59" s="940">
        <f>IF(ISBLANK(BR23),"",BR23/BR$27)</f>
        <v/>
      </c>
    </row>
    <row r="60">
      <c r="A60" s="33">
        <f>A24</f>
        <v/>
      </c>
      <c r="B60" s="121" t="n"/>
      <c r="C60" s="121" t="n"/>
      <c r="D60" s="121" t="n"/>
      <c r="E60" s="121" t="n"/>
      <c r="F60" s="121" t="n"/>
      <c r="G60" s="121" t="n"/>
      <c r="H60" s="121" t="n"/>
      <c r="I60" s="121" t="n"/>
      <c r="J60" s="121" t="n"/>
      <c r="K60" s="121" t="n"/>
      <c r="L60" s="121" t="n"/>
      <c r="M60" s="121" t="n"/>
      <c r="N60" s="940">
        <f>IF(ISBLANK(N24),"",N24/N$27)</f>
        <v/>
      </c>
      <c r="O60" s="940">
        <f>IF(ISBLANK(O24),"",O24/O$27)</f>
        <v/>
      </c>
      <c r="P60" s="940">
        <f>IF(ISBLANK(P24),"",P24/P$27)</f>
        <v/>
      </c>
      <c r="Q60" s="940">
        <f>IF(ISBLANK(Q24),"",Q24/Q$27)</f>
        <v/>
      </c>
      <c r="R60" s="940">
        <f>IF(ISBLANK(R24),"",R24/R$27)</f>
        <v/>
      </c>
      <c r="S60" s="940">
        <f>IF(ISBLANK(S24),"",S24/S$27)</f>
        <v/>
      </c>
      <c r="T60" s="940">
        <f>IF(ISBLANK(T24),"",T24/T$27)</f>
        <v/>
      </c>
      <c r="U60" s="940">
        <f>IF(ISBLANK(U24),"",U24/U$27)</f>
        <v/>
      </c>
      <c r="V60" s="940">
        <f>IF(ISBLANK(V24),"",V24/V$27)</f>
        <v/>
      </c>
      <c r="W60" s="940">
        <f>IF(ISBLANK(W24),"",W24/W$27)</f>
        <v/>
      </c>
      <c r="X60" s="940">
        <f>IF(ISBLANK(X24),"",X24/X$27)</f>
        <v/>
      </c>
      <c r="Y60" s="940">
        <f>IF(ISBLANK(Y24),"",Y24/Y$27)</f>
        <v/>
      </c>
      <c r="Z60" s="940">
        <f>IF(ISBLANK(Z24),"",Z24/Z$27)</f>
        <v/>
      </c>
      <c r="AA60" s="940">
        <f>IF(ISBLANK(AA24),"",AA24/AA$27)</f>
        <v/>
      </c>
      <c r="AB60" s="940">
        <f>IF(ISBLANK(AB24),"",AB24/AB$27)</f>
        <v/>
      </c>
      <c r="AC60" s="940">
        <f>IF(ISBLANK(AC24),"",AC24/AC$27)</f>
        <v/>
      </c>
      <c r="AD60" s="940">
        <f>IF(ISBLANK(AD24),"",AD24/AD$27)</f>
        <v/>
      </c>
      <c r="AE60" s="940">
        <f>IF(ISBLANK(AE24),"",AE24/AE$27)</f>
        <v/>
      </c>
      <c r="AF60" s="940">
        <f>IF(ISBLANK(AF24),"",AF24/AF$27)</f>
        <v/>
      </c>
      <c r="AG60" s="940">
        <f>IF(ISBLANK(AG24),"",AG24/AG$27)</f>
        <v/>
      </c>
      <c r="AH60" s="940">
        <f>IF(ISBLANK(AH24),"",AH24/AH$27)</f>
        <v/>
      </c>
      <c r="AI60" s="940">
        <f>IF(ISBLANK(AI24),"",AI24/AI$27)</f>
        <v/>
      </c>
      <c r="AJ60" s="940">
        <f>IF(ISBLANK(AJ24),"",AJ24/AJ$27)</f>
        <v/>
      </c>
      <c r="AK60" s="940">
        <f>IF(ISBLANK(AK24),"",AK24/AK$27)</f>
        <v/>
      </c>
      <c r="AL60" s="940">
        <f>IF(ISBLANK(AL24),"",AL24/AL$27)</f>
        <v/>
      </c>
      <c r="AM60" s="940">
        <f>IF(ISBLANK(AM24),"",AM24/AM$27)</f>
        <v/>
      </c>
      <c r="AN60" s="940">
        <f>IF(ISBLANK(AN24),"",AN24/AN$27)</f>
        <v/>
      </c>
      <c r="AO60" s="940">
        <f>IF(ISBLANK(AO24),"",AO24/AO$27)</f>
        <v/>
      </c>
      <c r="AP60" s="940">
        <f>IF(ISBLANK(AP24),"",AP24/AP$27)</f>
        <v/>
      </c>
      <c r="AQ60" s="940">
        <f>IF(ISBLANK(AQ24),"",AQ24/AQ$27)</f>
        <v/>
      </c>
      <c r="AR60" s="940">
        <f>IF(ISBLANK(AR24),"",AR24/AR$27)</f>
        <v/>
      </c>
      <c r="AS60" s="940">
        <f>IF(ISBLANK(AS24),"",AS24/AS$27)</f>
        <v/>
      </c>
    </row>
    <row r="61">
      <c r="A61" s="33">
        <f>A25</f>
        <v/>
      </c>
      <c r="B61" s="121" t="n"/>
      <c r="C61" s="121" t="n"/>
      <c r="D61" s="121" t="n"/>
      <c r="E61" s="121" t="n"/>
      <c r="F61" s="121" t="n"/>
      <c r="G61" s="121" t="n"/>
      <c r="H61" s="121" t="n"/>
      <c r="I61" s="121" t="n"/>
      <c r="J61" s="121" t="n"/>
      <c r="K61" s="121" t="n"/>
      <c r="L61" s="121" t="n"/>
      <c r="M61" s="121" t="n"/>
      <c r="N61" s="940">
        <f>IF(ISBLANK(N25),"",N25/N$27)</f>
        <v/>
      </c>
      <c r="O61" s="940">
        <f>IF(ISBLANK(O25),"",O25/O$27)</f>
        <v/>
      </c>
      <c r="P61" s="940">
        <f>IF(ISBLANK(P25),"",P25/P$27)</f>
        <v/>
      </c>
      <c r="Q61" s="940">
        <f>IF(ISBLANK(Q25),"",Q25/Q$27)</f>
        <v/>
      </c>
      <c r="R61" s="940">
        <f>IF(ISBLANK(R25),"",R25/R$27)</f>
        <v/>
      </c>
      <c r="S61" s="940">
        <f>IF(ISBLANK(S25),"",S25/S$27)</f>
        <v/>
      </c>
      <c r="T61" s="940">
        <f>IF(ISBLANK(T25),"",T25/T$27)</f>
        <v/>
      </c>
      <c r="U61" s="940">
        <f>IF(ISBLANK(U25),"",U25/U$27)</f>
        <v/>
      </c>
      <c r="V61" s="940">
        <f>IF(ISBLANK(V25),"",V25/V$27)</f>
        <v/>
      </c>
      <c r="W61" s="940">
        <f>IF(ISBLANK(W25),"",W25/W$27)</f>
        <v/>
      </c>
      <c r="X61" s="940">
        <f>IF(ISBLANK(X25),"",X25/X$27)</f>
        <v/>
      </c>
      <c r="Y61" s="940">
        <f>IF(ISBLANK(Y25),"",Y25/Y$27)</f>
        <v/>
      </c>
      <c r="Z61" s="940">
        <f>IF(ISBLANK(Z25),"",Z25/Z$27)</f>
        <v/>
      </c>
      <c r="AA61" s="940">
        <f>IF(ISBLANK(AA25),"",AA25/AA$27)</f>
        <v/>
      </c>
      <c r="AB61" s="940">
        <f>IF(ISBLANK(AB25),"",AB25/AB$27)</f>
        <v/>
      </c>
      <c r="AC61" s="940">
        <f>IF(ISBLANK(AC25),"",AC25/AC$27)</f>
        <v/>
      </c>
      <c r="AD61" s="940">
        <f>IF(ISBLANK(AD25),"",AD25/AD$27)</f>
        <v/>
      </c>
      <c r="AE61" s="940">
        <f>IF(ISBLANK(AE25),"",AE25/AE$27)</f>
        <v/>
      </c>
      <c r="AF61" s="940">
        <f>IF(ISBLANK(AF25),"",AF25/AF$27)</f>
        <v/>
      </c>
      <c r="AG61" s="940">
        <f>IF(ISBLANK(AG25),"",AG25/AG$27)</f>
        <v/>
      </c>
      <c r="AH61" s="940">
        <f>IF(ISBLANK(AH25),"",AH25/AH$27)</f>
        <v/>
      </c>
      <c r="AI61" s="940">
        <f>IF(ISBLANK(AI25),"",AI25/AI$27)</f>
        <v/>
      </c>
      <c r="AJ61" s="940">
        <f>IF(ISBLANK(AJ25),"",AJ25/AJ$27)</f>
        <v/>
      </c>
      <c r="AK61" s="940">
        <f>IF(ISBLANK(AK25),"",AK25/AK$27)</f>
        <v/>
      </c>
      <c r="AL61" s="940">
        <f>IF(ISBLANK(AL25),"",AL25/AL$27)</f>
        <v/>
      </c>
      <c r="AM61" s="940">
        <f>IF(ISBLANK(AM25),"",AM25/AM$27)</f>
        <v/>
      </c>
      <c r="AN61" s="940">
        <f>IF(ISBLANK(AN25),"",AN25/AN$27)</f>
        <v/>
      </c>
      <c r="AO61" s="940">
        <f>IF(ISBLANK(AO25),"",AO25/AO$27)</f>
        <v/>
      </c>
      <c r="AP61" s="940">
        <f>IF(ISBLANK(AP25),"",AP25/AP$27)</f>
        <v/>
      </c>
      <c r="AQ61" s="940">
        <f>IF(ISBLANK(AQ25),"",AQ25/AQ$27)</f>
        <v/>
      </c>
      <c r="AR61" s="940">
        <f>IF(ISBLANK(AR25),"",AR25/AR$27)</f>
        <v/>
      </c>
      <c r="AS61" s="940">
        <f>IF(ISBLANK(AS25),"",AS25/AS$27)</f>
        <v/>
      </c>
    </row>
    <row r="62">
      <c r="A62" s="33">
        <f>A26</f>
        <v/>
      </c>
      <c r="B62" s="121" t="n"/>
      <c r="C62" s="121" t="n"/>
      <c r="D62" s="121" t="n"/>
      <c r="E62" s="121" t="n"/>
      <c r="F62" s="121" t="n"/>
      <c r="G62" s="121" t="n"/>
      <c r="H62" s="121" t="n"/>
      <c r="I62" s="121" t="n"/>
      <c r="J62" s="121" t="n"/>
      <c r="K62" s="121" t="n"/>
      <c r="L62" s="121" t="n"/>
      <c r="M62" s="121" t="n"/>
      <c r="N62" s="940">
        <f>IF(ISBLANK(N26),"",N26/N$27)</f>
        <v/>
      </c>
      <c r="O62" s="940">
        <f>IF(ISBLANK(O26),"",O26/O$27)</f>
        <v/>
      </c>
      <c r="P62" s="940">
        <f>IF(ISBLANK(P26),"",P26/P$27)</f>
        <v/>
      </c>
      <c r="Q62" s="940">
        <f>IF(ISBLANK(Q26),"",Q26/Q$27)</f>
        <v/>
      </c>
      <c r="R62" s="940">
        <f>IF(ISBLANK(R26),"",R26/R$27)</f>
        <v/>
      </c>
      <c r="S62" s="940">
        <f>IF(ISBLANK(S26),"",S26/S$27)</f>
        <v/>
      </c>
      <c r="T62" s="940">
        <f>IF(ISBLANK(T26),"",T26/T$27)</f>
        <v/>
      </c>
      <c r="U62" s="940">
        <f>IF(ISBLANK(U26),"",U26/U$27)</f>
        <v/>
      </c>
      <c r="V62" s="940">
        <f>IF(ISBLANK(V26),"",V26/V$27)</f>
        <v/>
      </c>
      <c r="W62" s="940">
        <f>IF(ISBLANK(W26),"",W26/W$27)</f>
        <v/>
      </c>
      <c r="X62" s="940">
        <f>IF(ISBLANK(X26),"",X26/X$27)</f>
        <v/>
      </c>
      <c r="Y62" s="940">
        <f>IF(ISBLANK(Y26),"",Y26/Y$27)</f>
        <v/>
      </c>
      <c r="Z62" s="940">
        <f>IF(ISBLANK(Z26),"",Z26/Z$27)</f>
        <v/>
      </c>
      <c r="AA62" s="940">
        <f>IF(ISBLANK(AA26),"",AA26/AA$27)</f>
        <v/>
      </c>
      <c r="AB62" s="940">
        <f>IF(ISBLANK(AB26),"",AB26/AB$27)</f>
        <v/>
      </c>
      <c r="AC62" s="940">
        <f>IF(ISBLANK(AC26),"",AC26/AC$27)</f>
        <v/>
      </c>
      <c r="AD62" s="940">
        <f>IF(ISBLANK(AD26),"",AD26/AD$27)</f>
        <v/>
      </c>
      <c r="AE62" s="940">
        <f>IF(ISBLANK(AE26),"",AE26/AE$27)</f>
        <v/>
      </c>
      <c r="AF62" s="940">
        <f>IF(ISBLANK(AF26),"",AF26/AF$27)</f>
        <v/>
      </c>
      <c r="AG62" s="940">
        <f>IF(ISBLANK(AG26),"",AG26/AG$27)</f>
        <v/>
      </c>
      <c r="AH62" s="940">
        <f>IF(ISBLANK(AH26),"",AH26/AH$27)</f>
        <v/>
      </c>
      <c r="AI62" s="940">
        <f>IF(ISBLANK(AI26),"",AI26/AI$27)</f>
        <v/>
      </c>
      <c r="AJ62" s="940">
        <f>IF(ISBLANK(AJ26),"",AJ26/AJ$27)</f>
        <v/>
      </c>
      <c r="AK62" s="940">
        <f>IF(ISBLANK(AK26),"",AK26/AK$27)</f>
        <v/>
      </c>
      <c r="AL62" s="940">
        <f>IF(ISBLANK(AL26),"",AL26/AL$27)</f>
        <v/>
      </c>
      <c r="AM62" s="940">
        <f>IF(ISBLANK(AM26),"",AM26/AM$27)</f>
        <v/>
      </c>
      <c r="AN62" s="940">
        <f>IF(ISBLANK(AN26),"",AN26/AN$27)</f>
        <v/>
      </c>
      <c r="AO62" s="940">
        <f>IF(ISBLANK(AO26),"",AO26/AO$27)</f>
        <v/>
      </c>
      <c r="AP62" s="940">
        <f>IF(ISBLANK(AP26),"",AP26/AP$27)</f>
        <v/>
      </c>
      <c r="AQ62" s="940">
        <f>IF(ISBLANK(AQ26),"",AQ26/AQ$27)</f>
        <v/>
      </c>
      <c r="AR62" s="940">
        <f>IF(ISBLANK(AR26),"",AR26/AR$27)</f>
        <v/>
      </c>
      <c r="AS62" s="940">
        <f>IF(ISBLANK(AS26),"",AS26/AS$27)</f>
        <v/>
      </c>
    </row>
    <row r="63">
      <c r="A63" s="22">
        <f>A27</f>
        <v/>
      </c>
      <c r="B63" s="121" t="n"/>
      <c r="C63" s="121" t="n"/>
      <c r="D63" s="121" t="n"/>
      <c r="E63" s="121" t="n"/>
      <c r="F63" s="121" t="n"/>
      <c r="G63" s="121" t="n"/>
      <c r="H63" s="121" t="n"/>
      <c r="I63" s="121" t="n"/>
      <c r="J63" s="121" t="n"/>
      <c r="K63" s="121" t="n"/>
      <c r="L63" s="121" t="n"/>
      <c r="M63" s="121" t="n"/>
      <c r="N63" s="941">
        <f>IF(ISBLANK(N27),"",N27/N$27)</f>
        <v/>
      </c>
      <c r="O63" s="941">
        <f>IF(ISBLANK(O27),"",O27/O$27)</f>
        <v/>
      </c>
      <c r="P63" s="941">
        <f>IF(ISBLANK(P27),"",P27/P$27)</f>
        <v/>
      </c>
      <c r="Q63" s="941">
        <f>IF(ISBLANK(Q27),"",Q27/Q$27)</f>
        <v/>
      </c>
      <c r="R63" s="941">
        <f>IF(ISBLANK(R27),"",R27/R$27)</f>
        <v/>
      </c>
      <c r="S63" s="941">
        <f>IF(ISBLANK(S27),"",S27/S$27)</f>
        <v/>
      </c>
      <c r="T63" s="941">
        <f>IF(ISBLANK(T27),"",T27/T$27)</f>
        <v/>
      </c>
      <c r="U63" s="941">
        <f>IF(ISBLANK(U27),"",U27/U$27)</f>
        <v/>
      </c>
      <c r="V63" s="941">
        <f>IF(ISBLANK(V27),"",V27/V$27)</f>
        <v/>
      </c>
      <c r="W63" s="941">
        <f>IF(ISBLANK(W27),"",W27/W$27)</f>
        <v/>
      </c>
      <c r="X63" s="941">
        <f>IF(ISBLANK(X27),"",X27/X$27)</f>
        <v/>
      </c>
      <c r="Y63" s="941">
        <f>IF(ISBLANK(Y27),"",Y27/Y$27)</f>
        <v/>
      </c>
      <c r="Z63" s="941">
        <f>IF(ISBLANK(Z27),"",Z27/Z$27)</f>
        <v/>
      </c>
      <c r="AA63" s="941">
        <f>IF(ISBLANK(AA27),"",AA27/AA$27)</f>
        <v/>
      </c>
      <c r="AB63" s="941">
        <f>IF(ISBLANK(AB27),"",AB27/AB$27)</f>
        <v/>
      </c>
      <c r="AC63" s="941">
        <f>IF(ISBLANK(AC27),"",AC27/AC$27)</f>
        <v/>
      </c>
      <c r="AD63" s="941">
        <f>IF(ISBLANK(AD27),"",AD27/AD$27)</f>
        <v/>
      </c>
      <c r="AE63" s="941">
        <f>IF(ISBLANK(AE27),"",AE27/AE$27)</f>
        <v/>
      </c>
      <c r="AF63" s="941">
        <f>IF(ISBLANK(AF27),"",AF27/AF$27)</f>
        <v/>
      </c>
      <c r="AG63" s="941">
        <f>IF(ISBLANK(AG27),"",AG27/AG$27)</f>
        <v/>
      </c>
      <c r="AH63" s="941">
        <f>IF(ISBLANK(AH27),"",AH27/AH$27)</f>
        <v/>
      </c>
      <c r="AI63" s="941">
        <f>IF(ISBLANK(AI27),"",AI27/AI$27)</f>
        <v/>
      </c>
      <c r="AJ63" s="941">
        <f>IF(ISBLANK(AJ27),"",AJ27/AJ$27)</f>
        <v/>
      </c>
      <c r="AK63" s="941">
        <f>IF(ISBLANK(AK27),"",AK27/AK$27)</f>
        <v/>
      </c>
      <c r="AL63" s="941">
        <f>IF(ISBLANK(AL27),"",AL27/AL$27)</f>
        <v/>
      </c>
      <c r="AM63" s="941">
        <f>IF(ISBLANK(AM27),"",AM27/AM$27)</f>
        <v/>
      </c>
      <c r="AN63" s="941">
        <f>IF(ISBLANK(AN27),"",AN27/AN$27)</f>
        <v/>
      </c>
      <c r="AO63" s="941">
        <f>IF(ISBLANK(AO27),"",AO27/AO$27)</f>
        <v/>
      </c>
      <c r="AP63" s="941">
        <f>IF(ISBLANK(AP27),"",AP27/AP$27)</f>
        <v/>
      </c>
      <c r="AQ63" s="941">
        <f>IF(ISBLANK(AQ27),"",AQ27/AQ$27)</f>
        <v/>
      </c>
      <c r="AR63" s="941">
        <f>IF(ISBLANK(AR27),"",AR27/AR$27)</f>
        <v/>
      </c>
      <c r="AS63" s="941">
        <f>IF(ISBLANK(AS27),"",AS27/AS$27)</f>
        <v/>
      </c>
      <c r="AT63" s="941">
        <f>IF(ISBLANK(AT27),"",AT27/AT$27)</f>
        <v/>
      </c>
      <c r="AU63" s="941">
        <f>IF(ISBLANK(AU27),"",AU27/AU$27)</f>
        <v/>
      </c>
      <c r="AV63" s="941">
        <f>IF(ISBLANK(AV27),"",AV27/AV$27)</f>
        <v/>
      </c>
      <c r="AW63" s="941">
        <f>IF(ISBLANK(AW27),"",AW27/AW$27)</f>
        <v/>
      </c>
      <c r="AX63" s="941">
        <f>IF(ISBLANK(AX27),"",AX27/AX$27)</f>
        <v/>
      </c>
      <c r="AY63" s="941">
        <f>IF(ISBLANK(AY27),"",AY27/AY$27)</f>
        <v/>
      </c>
      <c r="AZ63" s="941">
        <f>IF(ISBLANK(AZ27),"",AZ27/AZ$27)</f>
        <v/>
      </c>
      <c r="BA63" s="941">
        <f>IF(ISBLANK(BA27),"",BA27/BA$27)</f>
        <v/>
      </c>
      <c r="BB63" s="941">
        <f>IF(ISBLANK(BB27),"",BB27/BB$27)</f>
        <v/>
      </c>
      <c r="BC63" s="941">
        <f>IF(ISBLANK(BC27),"",BC27/BC$27)</f>
        <v/>
      </c>
      <c r="BD63" s="941">
        <f>IF(ISBLANK(BD27),"",BD27/BD$27)</f>
        <v/>
      </c>
      <c r="BE63" s="941">
        <f>IF(ISBLANK(BE27),"",BE27/BE$27)</f>
        <v/>
      </c>
      <c r="BF63" s="941">
        <f>IF(ISBLANK(BF27),"",BF27/BF$27)</f>
        <v/>
      </c>
      <c r="BG63" s="941">
        <f>IF(ISBLANK(BG27),"",BG27/BG$27)</f>
        <v/>
      </c>
      <c r="BH63" s="941">
        <f>IF(ISBLANK(BH27),"",BH27/BH$27)</f>
        <v/>
      </c>
      <c r="BI63" s="941">
        <f>IF(ISBLANK(BI27),"",BI27/BI$27)</f>
        <v/>
      </c>
      <c r="BJ63" s="941">
        <f>IF(ISBLANK(BJ27),"",BJ27/BJ$27)</f>
        <v/>
      </c>
      <c r="BK63" s="941">
        <f>IF(ISBLANK(BK27),"",BK27/BK$27)</f>
        <v/>
      </c>
      <c r="BL63" s="941">
        <f>IF(ISBLANK(BL27),"",BL27/BL$27)</f>
        <v/>
      </c>
      <c r="BM63" s="941">
        <f>IF(ISBLANK(BM27),"",BM27/BM$27)</f>
        <v/>
      </c>
      <c r="BN63" s="941">
        <f>IF(ISBLANK(BN27),"",BN27/BN$27)</f>
        <v/>
      </c>
      <c r="BO63" s="941">
        <f>IF(ISBLANK(BO27),"",BO27/BO$27)</f>
        <v/>
      </c>
      <c r="BP63" s="941">
        <f>IF(ISBLANK(BP27),"",BP27/BP$27)</f>
        <v/>
      </c>
      <c r="BQ63" s="941">
        <f>IF(ISBLANK(BQ27),"",BQ27/BQ$27)</f>
        <v/>
      </c>
      <c r="BR63" s="941">
        <f>IF(ISBLANK(BR27),"",BR27/BR$27)</f>
        <v/>
      </c>
      <c r="BS63" t="n">
        <v>1</v>
      </c>
      <c r="BT63" t="inlineStr">
        <is>
          <t>IPGP-Financial-Data-Workbook-2024-Q2.xlsx|Key Metrics|43|93</t>
        </is>
      </c>
    </row>
    <row r="64">
      <c r="B64" s="121" t="n"/>
      <c r="C64" s="121" t="n"/>
      <c r="D64" s="121" t="n"/>
      <c r="E64" s="121" t="n"/>
      <c r="F64" s="121" t="n"/>
      <c r="G64" s="121" t="n"/>
      <c r="H64" s="121" t="n"/>
      <c r="I64" s="121" t="n"/>
      <c r="J64" s="121" t="n"/>
      <c r="K64" s="121" t="n"/>
      <c r="L64" s="121" t="n"/>
      <c r="M64" s="121" t="n"/>
      <c r="N64" s="121" t="n"/>
      <c r="O64" s="121" t="n"/>
      <c r="P64" s="121" t="n"/>
      <c r="Q64" s="458" t="n"/>
      <c r="R64" s="458" t="n"/>
      <c r="S64" s="121" t="n"/>
      <c r="T64" s="458" t="n"/>
      <c r="U64" s="458" t="n"/>
      <c r="V64" s="458" t="n"/>
      <c r="W64" s="458" t="n"/>
      <c r="X64" s="458" t="n"/>
      <c r="Y64" s="458" t="n"/>
      <c r="Z64" s="458" t="n"/>
      <c r="AA64" s="458" t="n"/>
      <c r="AB64" s="458" t="n"/>
      <c r="AC64" s="458" t="n"/>
      <c r="AD64" s="458" t="n"/>
      <c r="AE64" s="458" t="n"/>
      <c r="AF64" s="458" t="n"/>
      <c r="AG64" s="458" t="n"/>
      <c r="AH64" s="458" t="n"/>
      <c r="AI64" s="458" t="n"/>
      <c r="AJ64" s="458" t="n"/>
      <c r="AK64" s="145" t="n"/>
      <c r="AL64" s="145" t="n"/>
      <c r="AM64" s="145" t="n"/>
      <c r="AN64" s="145" t="n"/>
      <c r="AO64" s="145" t="n"/>
      <c r="AP64" s="145" t="n"/>
      <c r="AQ64" s="145" t="n"/>
      <c r="AR64" s="145" t="n"/>
      <c r="AS64" s="145" t="n"/>
    </row>
    <row r="65">
      <c r="A65" s="22" t="inlineStr">
        <is>
          <t>Segment mix (%)</t>
        </is>
      </c>
      <c r="B65" s="121" t="n"/>
      <c r="C65" s="121" t="n"/>
      <c r="D65" s="121" t="n"/>
      <c r="E65" s="121" t="n"/>
      <c r="F65" s="121" t="n"/>
      <c r="G65" s="121" t="n"/>
      <c r="H65" s="121" t="n"/>
      <c r="I65" s="121" t="n"/>
      <c r="J65" s="121" t="n"/>
      <c r="K65" s="121" t="n"/>
      <c r="L65" s="121" t="n"/>
      <c r="M65" s="121" t="n"/>
      <c r="N65" s="121" t="n"/>
      <c r="O65" s="121" t="n"/>
      <c r="P65" s="121" t="n"/>
      <c r="Q65" s="458" t="n"/>
      <c r="R65" s="458" t="n"/>
      <c r="S65" s="121" t="n"/>
      <c r="T65" s="458" t="n"/>
      <c r="U65" s="458" t="n"/>
      <c r="V65" s="458" t="n"/>
      <c r="W65" s="458" t="n"/>
      <c r="X65" s="458" t="n"/>
      <c r="Y65" s="458" t="n"/>
      <c r="Z65" s="458" t="n"/>
      <c r="AA65" s="458" t="n"/>
      <c r="AB65" s="458" t="n"/>
      <c r="AC65" s="458" t="n"/>
      <c r="AD65" s="458" t="n"/>
      <c r="AE65" s="458" t="n"/>
      <c r="AF65" s="458" t="n"/>
      <c r="AG65" s="458" t="n"/>
      <c r="AH65" s="458" t="n"/>
      <c r="AI65" s="458" t="n"/>
      <c r="AJ65" s="458" t="n"/>
      <c r="AK65" s="145" t="n"/>
      <c r="AL65" s="145" t="n"/>
      <c r="AM65" s="145" t="n"/>
      <c r="AN65" s="145" t="n"/>
      <c r="AO65" s="145" t="n"/>
      <c r="AP65" s="145" t="n"/>
      <c r="AQ65" s="145" t="n"/>
      <c r="AR65" s="145" t="n"/>
      <c r="AS65" s="145" t="n"/>
    </row>
    <row r="66">
      <c r="A66" s="74">
        <f>A30</f>
        <v/>
      </c>
      <c r="B66" s="121" t="n"/>
      <c r="C66" s="121" t="n"/>
      <c r="D66" s="121" t="n"/>
      <c r="E66" s="121" t="n"/>
      <c r="F66" s="121" t="n"/>
      <c r="G66" s="121" t="n"/>
      <c r="H66" s="121" t="n"/>
      <c r="I66" s="121" t="n"/>
      <c r="J66" s="121" t="n"/>
      <c r="K66" s="121" t="n"/>
      <c r="L66" s="121" t="n"/>
      <c r="M66" s="121" t="n"/>
      <c r="N66" s="941">
        <f>IF(ISBLANK(N30),"",N30/N$36)</f>
        <v/>
      </c>
      <c r="O66" s="941">
        <f>IF(ISBLANK(O30),"",O30/O$36)</f>
        <v/>
      </c>
      <c r="P66" s="941">
        <f>IF(ISBLANK(P30),"",P30/P$36)</f>
        <v/>
      </c>
      <c r="Q66" s="941">
        <f>IF(ISBLANK(Q30),"",Q30/Q$36)</f>
        <v/>
      </c>
      <c r="R66" s="941">
        <f>IF(ISBLANK(R30),"",R30/R$36)</f>
        <v/>
      </c>
      <c r="S66" s="941">
        <f>IF(ISBLANK(S30),"",S30/S$36)</f>
        <v/>
      </c>
      <c r="T66" s="941">
        <f>IF(ISBLANK(T30),"",T30/T$36)</f>
        <v/>
      </c>
      <c r="U66" s="941">
        <f>IF(ISBLANK(U30),"",U30/U$36)</f>
        <v/>
      </c>
      <c r="V66" s="941">
        <f>IF(ISBLANK(V30),"",V30/V$36)</f>
        <v/>
      </c>
      <c r="W66" s="941">
        <f>IF(ISBLANK(W30),"",W30/W$36)</f>
        <v/>
      </c>
      <c r="X66" s="941">
        <f>IF(ISBLANK(X30),"",X30/X$36)</f>
        <v/>
      </c>
      <c r="Y66" s="941">
        <f>IF(ISBLANK(Y30),"",Y30/Y$36)</f>
        <v/>
      </c>
      <c r="Z66" s="940">
        <f>IF(ISBLANK(Z30),"",Z30/Z$36)</f>
        <v/>
      </c>
      <c r="AA66" s="940">
        <f>IF(ISBLANK(AA30),"",AA30/AA$36)</f>
        <v/>
      </c>
      <c r="AB66" s="940">
        <f>IF(ISBLANK(AB30),"",AB30/AB$36)</f>
        <v/>
      </c>
      <c r="AC66" s="940">
        <f>IF(ISBLANK(AC30),"",AC30/AC$36)</f>
        <v/>
      </c>
      <c r="AD66" s="940">
        <f>IF(ISBLANK(AD30),"",AD30/AD$36)</f>
        <v/>
      </c>
      <c r="AE66" s="940">
        <f>IF(ISBLANK(AE30),"",AE30/AE$36)</f>
        <v/>
      </c>
      <c r="AF66" s="940">
        <f>IF(ISBLANK(AF30),"",AF30/AF$36)</f>
        <v/>
      </c>
      <c r="AG66" s="940">
        <f>IF(ISBLANK(AG30),"",AG30/AG$36)</f>
        <v/>
      </c>
      <c r="AH66" s="940">
        <f>IF(ISBLANK(AH30),"",AH30/AH$36)</f>
        <v/>
      </c>
      <c r="AI66" s="940">
        <f>IF(ISBLANK(AI30),"",AI30/AI$36)</f>
        <v/>
      </c>
      <c r="AJ66" s="940">
        <f>IF(ISBLANK(AJ30),"",AJ30/AJ$36)</f>
        <v/>
      </c>
      <c r="AK66" s="940">
        <f>IF(ISBLANK(AK30),"",AK30/AK$36)</f>
        <v/>
      </c>
      <c r="AL66" s="940">
        <f>IF(ISBLANK(AL30),"",AL30/AL$36)</f>
        <v/>
      </c>
      <c r="AM66" s="940">
        <f>IF(ISBLANK(AM30),"",AM30/AM$36)</f>
        <v/>
      </c>
      <c r="AN66" s="940">
        <f>IF(ISBLANK(AN30),"",AN30/AN$36)</f>
        <v/>
      </c>
      <c r="AO66" s="940">
        <f>IF(ISBLANK(AO30),"",AO30/AO$36)</f>
        <v/>
      </c>
      <c r="AP66" s="940">
        <f>IF(ISBLANK(AP30),"",AP30/AP$36)</f>
        <v/>
      </c>
      <c r="AQ66" s="940">
        <f>IF(ISBLANK(AQ30),"",AQ30/AQ$36)</f>
        <v/>
      </c>
      <c r="AR66" s="940">
        <f>IF(ISBLANK(AR30),"",AR30/AR$36)</f>
        <v/>
      </c>
      <c r="AS66" s="940">
        <f>IF(ISBLANK(AS30),"",AS30/AS$36)</f>
        <v/>
      </c>
      <c r="AT66" s="940">
        <f>IF(ISBLANK(AT30),"",AT30/AT$36)</f>
        <v/>
      </c>
      <c r="AU66" s="940">
        <f>IF(ISBLANK(AU30),"",AU30/AU$36)</f>
        <v/>
      </c>
      <c r="AV66" s="940">
        <f>IF(ISBLANK(AV30),"",AV30/AV$36)</f>
        <v/>
      </c>
      <c r="AW66" s="940">
        <f>IF(ISBLANK(AW30),"",AW30/AW$36)</f>
        <v/>
      </c>
      <c r="AX66" s="940">
        <f>IF(ISBLANK(AX30),"",AX30/AX$36)</f>
        <v/>
      </c>
      <c r="AY66" s="940">
        <f>IF(ISBLANK(AY30),"",AY30/AY$36)</f>
        <v/>
      </c>
      <c r="AZ66" s="940">
        <f>IF(ISBLANK(AZ30),"",AZ30/AZ$36)</f>
        <v/>
      </c>
      <c r="BA66" s="940">
        <f>IF(ISBLANK(BA30),"",BA30/BA$36)</f>
        <v/>
      </c>
      <c r="BB66" s="940">
        <f>IF(ISBLANK(BB30),"",BB30/BB$36)</f>
        <v/>
      </c>
      <c r="BC66" s="940">
        <f>IF(ISBLANK(BC30),"",BC30/BC$36)</f>
        <v/>
      </c>
      <c r="BD66" s="940">
        <f>IF(ISBLANK(BD30),"",BD30/BD$36)</f>
        <v/>
      </c>
      <c r="BE66" s="940">
        <f>IF(ISBLANK(BE30),"",BE30/BE$36)</f>
        <v/>
      </c>
      <c r="BF66" s="940">
        <f>IF(ISBLANK(BF30),"",BF30/BF$36)</f>
        <v/>
      </c>
      <c r="BG66" s="940">
        <f>IF(ISBLANK(BG30),"",BG30/BG$36)</f>
        <v/>
      </c>
      <c r="BH66" s="940">
        <f>IF(ISBLANK(BH30),"",BH30/BH$36)</f>
        <v/>
      </c>
      <c r="BI66" s="940">
        <f>IF(ISBLANK(BI30),"",BI30/BI$36)</f>
        <v/>
      </c>
      <c r="BJ66" s="940">
        <f>IF(ISBLANK(BJ30),"",BJ30/BJ$36)</f>
        <v/>
      </c>
      <c r="BK66" s="940">
        <f>IF(ISBLANK(BK30),"",BK30/BK$36)</f>
        <v/>
      </c>
      <c r="BL66" s="940">
        <f>IF(ISBLANK(BL30),"",BL30/BL$36)</f>
        <v/>
      </c>
      <c r="BM66" s="940">
        <f>IF(ISBLANK(BM30),"",BM30/BM$36)</f>
        <v/>
      </c>
      <c r="BN66" s="940">
        <f>IF(ISBLANK(BN30),"",BN30/BN$36)</f>
        <v/>
      </c>
      <c r="BO66" s="940">
        <f>IF(ISBLANK(BO30),"",BO30/BO$36)</f>
        <v/>
      </c>
      <c r="BP66" s="940">
        <f>IF(ISBLANK(BP30),"",BP30/BP$36)</f>
        <v/>
      </c>
      <c r="BQ66" s="940">
        <f>IF(ISBLANK(BQ30),"",BQ30/BQ$36)</f>
        <v/>
      </c>
      <c r="BR66" s="940">
        <f>IF(ISBLANK(BR30),"",BR30/BR$36)</f>
        <v/>
      </c>
      <c r="BS66" t="n">
        <v>0.3191406780647791</v>
      </c>
      <c r="BT66" t="inlineStr">
        <is>
          <t>IPGP-Financial-Data-Workbook-2024-Q2.xlsx|Key Metrics|55|93</t>
        </is>
      </c>
    </row>
    <row r="67">
      <c r="A67" s="74">
        <f>A31</f>
        <v/>
      </c>
      <c r="B67" s="121" t="n"/>
      <c r="C67" s="121" t="n"/>
      <c r="D67" s="121" t="n"/>
      <c r="E67" s="121" t="n"/>
      <c r="F67" s="121" t="n"/>
      <c r="G67" s="121" t="n"/>
      <c r="H67" s="121" t="n"/>
      <c r="I67" s="121" t="n"/>
      <c r="J67" s="121" t="n"/>
      <c r="K67" s="121" t="n"/>
      <c r="L67" s="121" t="n"/>
      <c r="M67" s="121" t="n"/>
      <c r="N67" s="941">
        <f>IF(ISBLANK(N31),"",N31/N$36)</f>
        <v/>
      </c>
      <c r="O67" s="941">
        <f>IF(ISBLANK(O31),"",O31/O$36)</f>
        <v/>
      </c>
      <c r="P67" s="941">
        <f>IF(ISBLANK(P31),"",P31/P$36)</f>
        <v/>
      </c>
      <c r="Q67" s="941">
        <f>IF(ISBLANK(Q31),"",Q31/Q$36)</f>
        <v/>
      </c>
      <c r="R67" s="941">
        <f>IF(ISBLANK(R31),"",R31/R$36)</f>
        <v/>
      </c>
      <c r="S67" s="941">
        <f>IF(ISBLANK(S31),"",S31/S$36)</f>
        <v/>
      </c>
      <c r="T67" s="941">
        <f>IF(ISBLANK(T31),"",T31/T$36)</f>
        <v/>
      </c>
      <c r="U67" s="941">
        <f>IF(ISBLANK(U31),"",U31/U$36)</f>
        <v/>
      </c>
      <c r="V67" s="941">
        <f>IF(ISBLANK(V31),"",V31/V$36)</f>
        <v/>
      </c>
      <c r="W67" s="941">
        <f>IF(ISBLANK(W31),"",W31/W$36)</f>
        <v/>
      </c>
      <c r="X67" s="941">
        <f>IF(ISBLANK(X31),"",X31/X$36)</f>
        <v/>
      </c>
      <c r="Y67" s="941">
        <f>IF(ISBLANK(Y31),"",Y31/Y$36)</f>
        <v/>
      </c>
      <c r="Z67" s="940">
        <f>IF(ISBLANK(Z31),"",Z31/Z$36)</f>
        <v/>
      </c>
      <c r="AA67" s="940">
        <f>IF(ISBLANK(AA31),"",AA31/AA$36)</f>
        <v/>
      </c>
      <c r="AB67" s="940">
        <f>IF(ISBLANK(AB31),"",AB31/AB$36)</f>
        <v/>
      </c>
      <c r="AC67" s="940">
        <f>IF(ISBLANK(AC31),"",AC31/AC$36)</f>
        <v/>
      </c>
      <c r="AD67" s="940">
        <f>IF(ISBLANK(AD31),"",AD31/AD$36)</f>
        <v/>
      </c>
      <c r="AE67" s="940">
        <f>IF(ISBLANK(AE31),"",AE31/AE$36)</f>
        <v/>
      </c>
      <c r="AF67" s="940">
        <f>IF(ISBLANK(AF31),"",AF31/AF$36)</f>
        <v/>
      </c>
      <c r="AG67" s="940">
        <f>IF(ISBLANK(AG31),"",AG31/AG$36)</f>
        <v/>
      </c>
      <c r="AH67" s="940">
        <f>IF(ISBLANK(AH31),"",AH31/AH$36)</f>
        <v/>
      </c>
      <c r="AI67" s="940">
        <f>IF(ISBLANK(AI31),"",AI31/AI$36)</f>
        <v/>
      </c>
      <c r="AJ67" s="940">
        <f>IF(ISBLANK(AJ31),"",AJ31/AJ$36)</f>
        <v/>
      </c>
      <c r="AK67" s="940">
        <f>IF(ISBLANK(AK31),"",AK31/AK$36)</f>
        <v/>
      </c>
      <c r="AL67" s="940">
        <f>IF(ISBLANK(AL31),"",AL31/AL$36)</f>
        <v/>
      </c>
      <c r="AM67" s="940">
        <f>IF(ISBLANK(AM31),"",AM31/AM$36)</f>
        <v/>
      </c>
      <c r="AN67" s="940">
        <f>IF(ISBLANK(AN31),"",AN31/AN$36)</f>
        <v/>
      </c>
      <c r="AO67" s="940">
        <f>IF(ISBLANK(AO31),"",AO31/AO$36)</f>
        <v/>
      </c>
      <c r="AP67" s="940">
        <f>IF(ISBLANK(AP31),"",AP31/AP$36)</f>
        <v/>
      </c>
      <c r="AQ67" s="940">
        <f>IF(ISBLANK(AQ31),"",AQ31/AQ$36)</f>
        <v/>
      </c>
      <c r="AR67" s="940">
        <f>IF(ISBLANK(AR31),"",AR31/AR$36)</f>
        <v/>
      </c>
      <c r="AS67" s="940">
        <f>IF(ISBLANK(AS31),"",AS31/AS$36)</f>
        <v/>
      </c>
      <c r="AT67" s="940">
        <f>IF(ISBLANK(AT31),"",AT31/AT$36)</f>
        <v/>
      </c>
      <c r="AU67" s="940">
        <f>IF(ISBLANK(AU31),"",AU31/AU$36)</f>
        <v/>
      </c>
      <c r="AV67" s="940">
        <f>IF(ISBLANK(AV31),"",AV31/AV$36)</f>
        <v/>
      </c>
      <c r="AW67" s="940">
        <f>IF(ISBLANK(AW31),"",AW31/AW$36)</f>
        <v/>
      </c>
      <c r="AX67" s="940">
        <f>IF(ISBLANK(AX31),"",AX31/AX$36)</f>
        <v/>
      </c>
      <c r="AY67" s="940">
        <f>IF(ISBLANK(AY31),"",AY31/AY$36)</f>
        <v/>
      </c>
      <c r="AZ67" s="940">
        <f>IF(ISBLANK(AZ31),"",AZ31/AZ$36)</f>
        <v/>
      </c>
      <c r="BA67" s="940">
        <f>IF(ISBLANK(BA31),"",BA31/BA$36)</f>
        <v/>
      </c>
      <c r="BB67" s="940">
        <f>IF(ISBLANK(BB31),"",BB31/BB$36)</f>
        <v/>
      </c>
      <c r="BC67" s="940">
        <f>IF(ISBLANK(BC31),"",BC31/BC$36)</f>
        <v/>
      </c>
      <c r="BD67" s="940">
        <f>IF(ISBLANK(BD31),"",BD31/BD$36)</f>
        <v/>
      </c>
      <c r="BE67" s="940">
        <f>IF(ISBLANK(BE31),"",BE31/BE$36)</f>
        <v/>
      </c>
      <c r="BF67" s="940">
        <f>IF(ISBLANK(BF31),"",BF31/BF$36)</f>
        <v/>
      </c>
      <c r="BG67" s="940">
        <f>IF(ISBLANK(BG31),"",BG31/BG$36)</f>
        <v/>
      </c>
      <c r="BH67" s="940">
        <f>IF(ISBLANK(BH31),"",BH31/BH$36)</f>
        <v/>
      </c>
      <c r="BI67" s="940">
        <f>IF(ISBLANK(BI31),"",BI31/BI$36)</f>
        <v/>
      </c>
      <c r="BJ67" s="940">
        <f>IF(ISBLANK(BJ31),"",BJ31/BJ$36)</f>
        <v/>
      </c>
      <c r="BK67" s="940">
        <f>IF(ISBLANK(BK31),"",BK31/BK$36)</f>
        <v/>
      </c>
      <c r="BL67" s="940">
        <f>IF(ISBLANK(BL31),"",BL31/BL$36)</f>
        <v/>
      </c>
      <c r="BM67" s="940">
        <f>IF(ISBLANK(BM31),"",BM31/BM$36)</f>
        <v/>
      </c>
      <c r="BN67" s="940">
        <f>IF(ISBLANK(BN31),"",BN31/BN$36)</f>
        <v/>
      </c>
      <c r="BO67" s="940">
        <f>IF(ISBLANK(BO31),"",BO31/BO$36)</f>
        <v/>
      </c>
      <c r="BP67" s="940">
        <f>IF(ISBLANK(BP31),"",BP31/BP$36)</f>
        <v/>
      </c>
      <c r="BQ67" s="940">
        <f>IF(ISBLANK(BQ31),"",BQ31/BQ$36)</f>
        <v/>
      </c>
      <c r="BR67" s="940">
        <f>IF(ISBLANK(BR31),"",BR31/BR$36)</f>
        <v/>
      </c>
      <c r="BS67" t="n">
        <v>0.06116167594946535</v>
      </c>
      <c r="BT67" t="inlineStr">
        <is>
          <t>IPGP-Financial-Data-Workbook-2024-Q2.xlsx|Key Metrics|56|93</t>
        </is>
      </c>
    </row>
    <row r="68">
      <c r="A68" s="74">
        <f>A32</f>
        <v/>
      </c>
      <c r="B68" s="121" t="n"/>
      <c r="C68" s="121" t="n"/>
      <c r="D68" s="121" t="n"/>
      <c r="E68" s="121" t="n"/>
      <c r="F68" s="121" t="n"/>
      <c r="G68" s="121" t="n"/>
      <c r="H68" s="121" t="n"/>
      <c r="I68" s="121" t="n"/>
      <c r="J68" s="121" t="n"/>
      <c r="K68" s="121" t="n"/>
      <c r="L68" s="121" t="n"/>
      <c r="M68" s="121" t="n"/>
      <c r="N68" s="941">
        <f>IF(ISBLANK(N32),"",N32/N$36)</f>
        <v/>
      </c>
      <c r="O68" s="941">
        <f>IF(ISBLANK(O32),"",O32/O$36)</f>
        <v/>
      </c>
      <c r="P68" s="941">
        <f>IF(ISBLANK(P32),"",P32/P$36)</f>
        <v/>
      </c>
      <c r="Q68" s="941">
        <f>IF(ISBLANK(Q32),"",Q32/Q$36)</f>
        <v/>
      </c>
      <c r="R68" s="941">
        <f>IF(ISBLANK(R32),"",R32/R$36)</f>
        <v/>
      </c>
      <c r="S68" s="941">
        <f>IF(ISBLANK(S32),"",S32/S$36)</f>
        <v/>
      </c>
      <c r="T68" s="941">
        <f>IF(ISBLANK(T32),"",T32/T$36)</f>
        <v/>
      </c>
      <c r="U68" s="941">
        <f>IF(ISBLANK(U32),"",U32/U$36)</f>
        <v/>
      </c>
      <c r="V68" s="941">
        <f>IF(ISBLANK(V32),"",V32/V$36)</f>
        <v/>
      </c>
      <c r="W68" s="941">
        <f>IF(ISBLANK(W32),"",W32/W$36)</f>
        <v/>
      </c>
      <c r="X68" s="941">
        <f>IF(ISBLANK(X32),"",X32/X$36)</f>
        <v/>
      </c>
      <c r="Y68" s="941">
        <f>IF(ISBLANK(Y32),"",Y32/Y$36)</f>
        <v/>
      </c>
      <c r="Z68" s="940">
        <f>IF(ISBLANK(Z32),"",Z32/Z$36)</f>
        <v/>
      </c>
      <c r="AA68" s="940">
        <f>IF(ISBLANK(AA32),"",AA32/AA$36)</f>
        <v/>
      </c>
      <c r="AB68" s="940">
        <f>IF(ISBLANK(AB32),"",AB32/AB$36)</f>
        <v/>
      </c>
      <c r="AC68" s="940">
        <f>IF(ISBLANK(AC32),"",AC32/AC$36)</f>
        <v/>
      </c>
      <c r="AD68" s="940">
        <f>IF(ISBLANK(AD32),"",AD32/AD$36)</f>
        <v/>
      </c>
      <c r="AE68" s="940">
        <f>IF(ISBLANK(AE32),"",AE32/AE$36)</f>
        <v/>
      </c>
      <c r="AF68" s="940">
        <f>IF(ISBLANK(AF32),"",AF32/AF$36)</f>
        <v/>
      </c>
      <c r="AG68" s="940">
        <f>IF(ISBLANK(AG32),"",AG32/AG$36)</f>
        <v/>
      </c>
      <c r="AH68" s="940">
        <f>IF(ISBLANK(AH32),"",AH32/AH$36)</f>
        <v/>
      </c>
      <c r="AI68" s="940">
        <f>IF(ISBLANK(AI32),"",AI32/AI$36)</f>
        <v/>
      </c>
      <c r="AJ68" s="940">
        <f>IF(ISBLANK(AJ32),"",AJ32/AJ$36)</f>
        <v/>
      </c>
      <c r="AK68" s="940">
        <f>IF(ISBLANK(AK32),"",AK32/AK$36)</f>
        <v/>
      </c>
      <c r="AL68" s="940">
        <f>IF(ISBLANK(AL32),"",AL32/AL$36)</f>
        <v/>
      </c>
      <c r="AM68" s="940">
        <f>IF(ISBLANK(AM32),"",AM32/AM$36)</f>
        <v/>
      </c>
      <c r="AN68" s="940">
        <f>IF(ISBLANK(AN32),"",AN32/AN$36)</f>
        <v/>
      </c>
      <c r="AO68" s="940">
        <f>IF(ISBLANK(AO32),"",AO32/AO$36)</f>
        <v/>
      </c>
      <c r="AP68" s="940">
        <f>IF(ISBLANK(AP32),"",AP32/AP$36)</f>
        <v/>
      </c>
      <c r="AQ68" s="940">
        <f>IF(ISBLANK(AQ32),"",AQ32/AQ$36)</f>
        <v/>
      </c>
      <c r="AR68" s="940">
        <f>IF(ISBLANK(AR32),"",AR32/AR$36)</f>
        <v/>
      </c>
      <c r="AS68" s="940">
        <f>IF(ISBLANK(AS32),"",AS32/AS$36)</f>
        <v/>
      </c>
      <c r="AT68" s="940">
        <f>IF(ISBLANK(AT32),"",AT32/AT$36)</f>
        <v/>
      </c>
      <c r="AU68" s="940">
        <f>IF(ISBLANK(AU32),"",AU32/AU$36)</f>
        <v/>
      </c>
      <c r="AV68" s="940">
        <f>IF(ISBLANK(AV32),"",AV32/AV$36)</f>
        <v/>
      </c>
      <c r="AW68" s="940">
        <f>IF(ISBLANK(AW32),"",AW32/AW$36)</f>
        <v/>
      </c>
      <c r="AX68" s="940">
        <f>IF(ISBLANK(AX32),"",AX32/AX$36)</f>
        <v/>
      </c>
      <c r="AY68" s="940">
        <f>IF(ISBLANK(AY32),"",AY32/AY$36)</f>
        <v/>
      </c>
      <c r="AZ68" s="940">
        <f>IF(ISBLANK(AZ32),"",AZ32/AZ$36)</f>
        <v/>
      </c>
      <c r="BA68" s="940">
        <f>IF(ISBLANK(BA32),"",BA32/BA$36)</f>
        <v/>
      </c>
      <c r="BB68" s="940">
        <f>IF(ISBLANK(BB32),"",BB32/BB$36)</f>
        <v/>
      </c>
      <c r="BC68" s="940">
        <f>IF(ISBLANK(BC32),"",BC32/BC$36)</f>
        <v/>
      </c>
      <c r="BD68" s="940">
        <f>IF(ISBLANK(BD32),"",BD32/BD$36)</f>
        <v/>
      </c>
      <c r="BE68" s="940">
        <f>IF(ISBLANK(BE32),"",BE32/BE$36)</f>
        <v/>
      </c>
      <c r="BF68" s="940">
        <f>IF(ISBLANK(BF32),"",BF32/BF$36)</f>
        <v/>
      </c>
      <c r="BG68" s="940">
        <f>IF(ISBLANK(BG32),"",BG32/BG$36)</f>
        <v/>
      </c>
      <c r="BH68" s="940">
        <f>IF(ISBLANK(BH32),"",BH32/BH$36)</f>
        <v/>
      </c>
      <c r="BI68" s="940">
        <f>IF(ISBLANK(BI32),"",BI32/BI$36)</f>
        <v/>
      </c>
      <c r="BJ68" s="940">
        <f>IF(ISBLANK(BJ32),"",BJ32/BJ$36)</f>
        <v/>
      </c>
      <c r="BK68" s="940">
        <f>IF(ISBLANK(BK32),"",BK32/BK$36)</f>
        <v/>
      </c>
      <c r="BL68" s="940">
        <f>IF(ISBLANK(BL32),"",BL32/BL$36)</f>
        <v/>
      </c>
      <c r="BM68" s="940">
        <f>IF(ISBLANK(BM32),"",BM32/BM$36)</f>
        <v/>
      </c>
      <c r="BN68" s="940">
        <f>IF(ISBLANK(BN32),"",BN32/BN$36)</f>
        <v/>
      </c>
      <c r="BO68" s="940">
        <f>IF(ISBLANK(BO32),"",BO32/BO$36)</f>
        <v/>
      </c>
      <c r="BP68" s="940">
        <f>IF(ISBLANK(BP32),"",BP32/BP$36)</f>
        <v/>
      </c>
      <c r="BQ68" s="940">
        <f>IF(ISBLANK(BQ32),"",BQ32/BQ$36)</f>
        <v/>
      </c>
      <c r="BR68" s="940">
        <f>IF(ISBLANK(BR32),"",BR32/BR$36)</f>
        <v/>
      </c>
      <c r="BS68" t="n">
        <v>0.1650953831822857</v>
      </c>
      <c r="BT68" t="inlineStr">
        <is>
          <t>IPGP-Financial-Data-Workbook-2024-Q2.xlsx|Key Metrics|57|93</t>
        </is>
      </c>
    </row>
    <row r="69">
      <c r="A69" s="74">
        <f>A33</f>
        <v/>
      </c>
      <c r="B69" s="121" t="n"/>
      <c r="C69" s="121" t="n"/>
      <c r="D69" s="121" t="n"/>
      <c r="E69" s="121" t="n"/>
      <c r="F69" s="121" t="n"/>
      <c r="G69" s="121" t="n"/>
      <c r="H69" s="121" t="n"/>
      <c r="I69" s="121" t="n"/>
      <c r="J69" s="121" t="n"/>
      <c r="K69" s="121" t="n"/>
      <c r="L69" s="121" t="n"/>
      <c r="M69" s="121" t="n"/>
      <c r="N69" s="941">
        <f>IF(ISBLANK(N33),"",N33/N$36)</f>
        <v/>
      </c>
      <c r="O69" s="941">
        <f>IF(ISBLANK(O33),"",O33/O$36)</f>
        <v/>
      </c>
      <c r="P69" s="941">
        <f>IF(ISBLANK(P33),"",P33/P$36)</f>
        <v/>
      </c>
      <c r="Q69" s="941">
        <f>IF(ISBLANK(Q33),"",Q33/Q$36)</f>
        <v/>
      </c>
      <c r="R69" s="941">
        <f>IF(ISBLANK(R33),"",R33/R$36)</f>
        <v/>
      </c>
      <c r="S69" s="941">
        <f>IF(ISBLANK(S33),"",S33/S$36)</f>
        <v/>
      </c>
      <c r="T69" s="941">
        <f>IF(ISBLANK(T33),"",T33/T$36)</f>
        <v/>
      </c>
      <c r="U69" s="941">
        <f>IF(ISBLANK(U33),"",U33/U$36)</f>
        <v/>
      </c>
      <c r="V69" s="941">
        <f>IF(ISBLANK(V33),"",V33/V$36)</f>
        <v/>
      </c>
      <c r="W69" s="941">
        <f>IF(ISBLANK(W33),"",W33/W$36)</f>
        <v/>
      </c>
      <c r="X69" s="941">
        <f>IF(ISBLANK(X33),"",X33/X$36)</f>
        <v/>
      </c>
      <c r="Y69" s="941">
        <f>IF(ISBLANK(Y33),"",Y33/Y$36)</f>
        <v/>
      </c>
      <c r="Z69" s="940">
        <f>IF(ISBLANK(Z33),"",Z33/Z$36)</f>
        <v/>
      </c>
      <c r="AA69" s="940">
        <f>IF(ISBLANK(AA33),"",AA33/AA$36)</f>
        <v/>
      </c>
      <c r="AB69" s="940">
        <f>IF(ISBLANK(AB33),"",AB33/AB$36)</f>
        <v/>
      </c>
      <c r="AC69" s="940">
        <f>IF(ISBLANK(AC33),"",AC33/AC$36)</f>
        <v/>
      </c>
      <c r="AD69" s="940">
        <f>IF(ISBLANK(AD33),"",AD33/AD$36)</f>
        <v/>
      </c>
      <c r="AE69" s="940">
        <f>IF(ISBLANK(AE33),"",AE33/AE$36)</f>
        <v/>
      </c>
      <c r="AF69" s="940">
        <f>IF(ISBLANK(AF33),"",AF33/AF$36)</f>
        <v/>
      </c>
      <c r="AG69" s="940">
        <f>IF(ISBLANK(AG33),"",AG33/AG$36)</f>
        <v/>
      </c>
      <c r="AH69" s="940">
        <f>IF(ISBLANK(AH33),"",AH33/AH$36)</f>
        <v/>
      </c>
      <c r="AI69" s="940">
        <f>IF(ISBLANK(AI33),"",AI33/AI$36)</f>
        <v/>
      </c>
      <c r="AJ69" s="940">
        <f>IF(ISBLANK(AJ33),"",AJ33/AJ$36)</f>
        <v/>
      </c>
      <c r="AK69" s="940">
        <f>IF(ISBLANK(AK33),"",AK33/AK$36)</f>
        <v/>
      </c>
      <c r="AL69" s="940">
        <f>IF(ISBLANK(AL33),"",AL33/AL$36)</f>
        <v/>
      </c>
      <c r="AM69" s="940">
        <f>IF(ISBLANK(AM33),"",AM33/AM$36)</f>
        <v/>
      </c>
      <c r="AN69" s="940">
        <f>IF(ISBLANK(AN33),"",AN33/AN$36)</f>
        <v/>
      </c>
      <c r="AO69" s="940">
        <f>IF(ISBLANK(AO33),"",AO33/AO$36)</f>
        <v/>
      </c>
      <c r="AP69" s="940">
        <f>IF(ISBLANK(AP33),"",AP33/AP$36)</f>
        <v/>
      </c>
      <c r="AQ69" s="940">
        <f>IF(ISBLANK(AQ33),"",AQ33/AQ$36)</f>
        <v/>
      </c>
      <c r="AR69" s="940">
        <f>IF(ISBLANK(AR33),"",AR33/AR$36)</f>
        <v/>
      </c>
      <c r="AS69" s="940">
        <f>IF(ISBLANK(AS33),"",AS33/AS$36)</f>
        <v/>
      </c>
      <c r="AT69" s="940">
        <f>IF(ISBLANK(AT33),"",AT33/AT$36)</f>
        <v/>
      </c>
      <c r="AU69" s="940">
        <f>IF(ISBLANK(AU33),"",AU33/AU$36)</f>
        <v/>
      </c>
      <c r="AV69" s="940">
        <f>IF(ISBLANK(AV33),"",AV33/AV$36)</f>
        <v/>
      </c>
      <c r="AW69" s="940">
        <f>IF(ISBLANK(AW33),"",AW33/AW$36)</f>
        <v/>
      </c>
      <c r="AX69" s="940">
        <f>IF(ISBLANK(AX33),"",AX33/AX$36)</f>
        <v/>
      </c>
      <c r="AY69" s="940">
        <f>IF(ISBLANK(AY33),"",AY33/AY$36)</f>
        <v/>
      </c>
      <c r="AZ69" s="940">
        <f>IF(ISBLANK(AZ33),"",AZ33/AZ$36)</f>
        <v/>
      </c>
      <c r="BA69" s="940">
        <f>IF(ISBLANK(BA33),"",BA33/BA$36)</f>
        <v/>
      </c>
      <c r="BB69" s="940">
        <f>IF(ISBLANK(BB33),"",BB33/BB$36)</f>
        <v/>
      </c>
      <c r="BC69" s="940">
        <f>IF(ISBLANK(BC33),"",BC33/BC$36)</f>
        <v/>
      </c>
      <c r="BD69" s="940">
        <f>IF(ISBLANK(BD33),"",BD33/BD$36)</f>
        <v/>
      </c>
      <c r="BE69" s="940">
        <f>IF(ISBLANK(BE33),"",BE33/BE$36)</f>
        <v/>
      </c>
      <c r="BF69" s="940">
        <f>IF(ISBLANK(BF33),"",BF33/BF$36)</f>
        <v/>
      </c>
      <c r="BG69" s="940">
        <f>IF(ISBLANK(BG33),"",BG33/BG$36)</f>
        <v/>
      </c>
      <c r="BH69" s="940">
        <f>IF(ISBLANK(BH33),"",BH33/BH$36)</f>
        <v/>
      </c>
      <c r="BI69" s="940">
        <f>IF(ISBLANK(BI33),"",BI33/BI$36)</f>
        <v/>
      </c>
      <c r="BJ69" s="940">
        <f>IF(ISBLANK(BJ33),"",BJ33/BJ$36)</f>
        <v/>
      </c>
      <c r="BK69" s="940">
        <f>IF(ISBLANK(BK33),"",BK33/BK$36)</f>
        <v/>
      </c>
      <c r="BL69" s="940">
        <f>IF(ISBLANK(BL33),"",BL33/BL$36)</f>
        <v/>
      </c>
      <c r="BM69" s="940">
        <f>IF(ISBLANK(BM33),"",BM33/BM$36)</f>
        <v/>
      </c>
      <c r="BN69" s="940">
        <f>IF(ISBLANK(BN33),"",BN33/BN$36)</f>
        <v/>
      </c>
      <c r="BO69" s="940">
        <f>IF(ISBLANK(BO33),"",BO33/BO$36)</f>
        <v/>
      </c>
      <c r="BP69" s="940">
        <f>IF(ISBLANK(BP33),"",BP33/BP$36)</f>
        <v/>
      </c>
      <c r="BQ69" s="940">
        <f>IF(ISBLANK(BQ33),"",BQ33/BQ$36)</f>
        <v/>
      </c>
      <c r="BR69" s="940">
        <f>IF(ISBLANK(BR33),"",BR33/BR$36)</f>
        <v/>
      </c>
      <c r="BS69" t="n">
        <v>0.04094393448349473</v>
      </c>
      <c r="BT69" t="inlineStr">
        <is>
          <t>IPGP-Financial-Data-Workbook-2024-Q2.xlsx|Key Metrics|58|93</t>
        </is>
      </c>
    </row>
    <row r="70">
      <c r="A70" s="74">
        <f>A34</f>
        <v/>
      </c>
      <c r="B70" s="121" t="n"/>
      <c r="C70" s="121" t="n"/>
      <c r="D70" s="121" t="n"/>
      <c r="E70" s="121" t="n"/>
      <c r="F70" s="121" t="n"/>
      <c r="G70" s="121" t="n"/>
      <c r="H70" s="121" t="n"/>
      <c r="I70" s="121" t="n"/>
      <c r="J70" s="121" t="n"/>
      <c r="K70" s="121" t="n"/>
      <c r="L70" s="121" t="n"/>
      <c r="M70" s="121" t="n"/>
      <c r="N70" s="941">
        <f>IF(ISBLANK(N34),"",N34/N$36)</f>
        <v/>
      </c>
      <c r="O70" s="941">
        <f>IF(ISBLANK(O34),"",O34/O$36)</f>
        <v/>
      </c>
      <c r="P70" s="941">
        <f>IF(ISBLANK(P34),"",P34/P$36)</f>
        <v/>
      </c>
      <c r="Q70" s="941">
        <f>IF(ISBLANK(Q34),"",Q34/Q$36)</f>
        <v/>
      </c>
      <c r="R70" s="941">
        <f>IF(ISBLANK(R34),"",R34/R$36)</f>
        <v/>
      </c>
      <c r="S70" s="941">
        <f>IF(ISBLANK(S34),"",S34/S$36)</f>
        <v/>
      </c>
      <c r="T70" s="941">
        <f>IF(ISBLANK(T34),"",T34/T$36)</f>
        <v/>
      </c>
      <c r="U70" s="941">
        <f>IF(ISBLANK(U34),"",U34/U$36)</f>
        <v/>
      </c>
      <c r="V70" s="941">
        <f>IF(ISBLANK(V34),"",V34/V$36)</f>
        <v/>
      </c>
      <c r="W70" s="941">
        <f>IF(ISBLANK(W34),"",W34/W$36)</f>
        <v/>
      </c>
      <c r="X70" s="941">
        <f>IF(ISBLANK(X34),"",X34/X$36)</f>
        <v/>
      </c>
      <c r="Y70" s="941">
        <f>IF(ISBLANK(Y34),"",Y34/Y$36)</f>
        <v/>
      </c>
      <c r="Z70" s="940">
        <f>IF(ISBLANK(Z34),"",Z34/Z$36)</f>
        <v/>
      </c>
      <c r="AA70" s="940">
        <f>IF(ISBLANK(AA34),"",AA34/AA$36)</f>
        <v/>
      </c>
      <c r="AB70" s="940">
        <f>IF(ISBLANK(AB34),"",AB34/AB$36)</f>
        <v/>
      </c>
      <c r="AC70" s="940">
        <f>IF(ISBLANK(AC34),"",AC34/AC$36)</f>
        <v/>
      </c>
      <c r="AD70" s="940">
        <f>IF(ISBLANK(AD34),"",AD34/AD$36)</f>
        <v/>
      </c>
      <c r="AE70" s="940">
        <f>IF(ISBLANK(AE34),"",AE34/AE$36)</f>
        <v/>
      </c>
      <c r="AF70" s="940">
        <f>IF(ISBLANK(AF34),"",AF34/AF$36)</f>
        <v/>
      </c>
      <c r="AG70" s="940">
        <f>IF(ISBLANK(AG34),"",AG34/AG$36)</f>
        <v/>
      </c>
      <c r="AH70" s="940">
        <f>IF(ISBLANK(AH34),"",AH34/AH$36)</f>
        <v/>
      </c>
      <c r="AI70" s="940">
        <f>IF(ISBLANK(AI34),"",AI34/AI$36)</f>
        <v/>
      </c>
      <c r="AJ70" s="940">
        <f>IF(ISBLANK(AJ34),"",AJ34/AJ$36)</f>
        <v/>
      </c>
      <c r="AK70" s="940">
        <f>IF(ISBLANK(AK34),"",AK34/AK$36)</f>
        <v/>
      </c>
      <c r="AL70" s="940">
        <f>IF(ISBLANK(AL34),"",AL34/AL$36)</f>
        <v/>
      </c>
      <c r="AM70" s="940">
        <f>IF(ISBLANK(AM34),"",AM34/AM$36)</f>
        <v/>
      </c>
      <c r="AN70" s="940">
        <f>IF(ISBLANK(AN34),"",AN34/AN$36)</f>
        <v/>
      </c>
      <c r="AO70" s="940">
        <f>IF(ISBLANK(AO34),"",AO34/AO$36)</f>
        <v/>
      </c>
      <c r="AP70" s="940">
        <f>IF(ISBLANK(AP34),"",AP34/AP$36)</f>
        <v/>
      </c>
      <c r="AQ70" s="940">
        <f>IF(ISBLANK(AQ34),"",AQ34/AQ$36)</f>
        <v/>
      </c>
      <c r="AR70" s="940">
        <f>IF(ISBLANK(AR34),"",AR34/AR$36)</f>
        <v/>
      </c>
      <c r="AS70" s="940">
        <f>IF(ISBLANK(AS34),"",AS34/AS$36)</f>
        <v/>
      </c>
      <c r="AT70" s="940">
        <f>IF(ISBLANK(AT34),"",AT34/AT$36)</f>
        <v/>
      </c>
      <c r="AU70" s="940">
        <f>IF(ISBLANK(AU34),"",AU34/AU$36)</f>
        <v/>
      </c>
      <c r="AV70" s="940">
        <f>IF(ISBLANK(AV34),"",AV34/AV$36)</f>
        <v/>
      </c>
      <c r="AW70" s="940">
        <f>IF(ISBLANK(AW34),"",AW34/AW$36)</f>
        <v/>
      </c>
      <c r="AX70" s="940">
        <f>IF(ISBLANK(AX34),"",AX34/AX$36)</f>
        <v/>
      </c>
      <c r="AY70" s="940">
        <f>IF(ISBLANK(AY34),"",AY34/AY$36)</f>
        <v/>
      </c>
      <c r="AZ70" s="940">
        <f>IF(ISBLANK(AZ34),"",AZ34/AZ$36)</f>
        <v/>
      </c>
      <c r="BA70" s="940">
        <f>IF(ISBLANK(BA34),"",BA34/BA$36)</f>
        <v/>
      </c>
      <c r="BB70" s="940">
        <f>IF(ISBLANK(BB34),"",BB34/BB$36)</f>
        <v/>
      </c>
      <c r="BC70" s="940">
        <f>IF(ISBLANK(BC34),"",BC34/BC$36)</f>
        <v/>
      </c>
      <c r="BD70" s="940">
        <f>IF(ISBLANK(BD34),"",BD34/BD$36)</f>
        <v/>
      </c>
      <c r="BE70" s="940">
        <f>IF(ISBLANK(BE34),"",BE34/BE$36)</f>
        <v/>
      </c>
      <c r="BF70" s="940">
        <f>IF(ISBLANK(BF34),"",BF34/BF$36)</f>
        <v/>
      </c>
      <c r="BG70" s="940">
        <f>IF(ISBLANK(BG34),"",BG34/BG$36)</f>
        <v/>
      </c>
      <c r="BH70" s="940">
        <f>IF(ISBLANK(BH34),"",BH34/BH$36)</f>
        <v/>
      </c>
      <c r="BI70" s="940">
        <f>IF(ISBLANK(BI34),"",BI34/BI$36)</f>
        <v/>
      </c>
      <c r="BJ70" s="940">
        <f>IF(ISBLANK(BJ34),"",BJ34/BJ$36)</f>
        <v/>
      </c>
      <c r="BK70" s="940">
        <f>IF(ISBLANK(BK34),"",BK34/BK$36)</f>
        <v/>
      </c>
      <c r="BL70" s="940">
        <f>IF(ISBLANK(BL34),"",BL34/BL$36)</f>
        <v/>
      </c>
      <c r="BM70" s="940">
        <f>IF(ISBLANK(BM34),"",BM34/BM$36)</f>
        <v/>
      </c>
      <c r="BN70" s="940">
        <f>IF(ISBLANK(BN34),"",BN34/BN$36)</f>
        <v/>
      </c>
      <c r="BO70" s="940">
        <f>IF(ISBLANK(BO34),"",BO34/BO$36)</f>
        <v/>
      </c>
      <c r="BP70" s="940">
        <f>IF(ISBLANK(BP34),"",BP34/BP$36)</f>
        <v/>
      </c>
      <c r="BQ70" s="940">
        <f>IF(ISBLANK(BQ34),"",BQ34/BQ$36)</f>
        <v/>
      </c>
      <c r="BR70" s="940">
        <f>IF(ISBLANK(BR34),"",BR34/BR$36)</f>
        <v/>
      </c>
      <c r="BS70" t="n">
        <v>0.1500824778280192</v>
      </c>
      <c r="BT70" t="inlineStr">
        <is>
          <t>IPGP-Financial-Data-Workbook-2024-Q2.xlsx|Key Metrics|59|93</t>
        </is>
      </c>
    </row>
    <row r="71">
      <c r="A71" s="74">
        <f>A35</f>
        <v/>
      </c>
      <c r="B71" s="121" t="n"/>
      <c r="C71" s="121" t="n"/>
      <c r="D71" s="121" t="n"/>
      <c r="E71" s="121" t="n"/>
      <c r="F71" s="121" t="n"/>
      <c r="G71" s="121" t="n"/>
      <c r="H71" s="121" t="n"/>
      <c r="I71" s="121" t="n"/>
      <c r="J71" s="121" t="n"/>
      <c r="K71" s="121" t="n"/>
      <c r="L71" s="121" t="n"/>
      <c r="M71" s="121" t="n"/>
      <c r="N71" s="941">
        <f>IF(ISBLANK(N35),"",N35/N$36)</f>
        <v/>
      </c>
      <c r="O71" s="941">
        <f>IF(ISBLANK(O35),"",O35/O$36)</f>
        <v/>
      </c>
      <c r="P71" s="941">
        <f>IF(ISBLANK(P35),"",P35/P$36)</f>
        <v/>
      </c>
      <c r="Q71" s="941">
        <f>IF(ISBLANK(Q35),"",Q35/Q$36)</f>
        <v/>
      </c>
      <c r="R71" s="941">
        <f>IF(ISBLANK(R35),"",R35/R$36)</f>
        <v/>
      </c>
      <c r="S71" s="941">
        <f>IF(ISBLANK(S35),"",S35/S$36)</f>
        <v/>
      </c>
      <c r="T71" s="941">
        <f>IF(ISBLANK(T35),"",T35/T$36)</f>
        <v/>
      </c>
      <c r="U71" s="941">
        <f>IF(ISBLANK(U35),"",U35/U$36)</f>
        <v/>
      </c>
      <c r="V71" s="941">
        <f>IF(ISBLANK(V35),"",V35/V$36)</f>
        <v/>
      </c>
      <c r="W71" s="941">
        <f>IF(ISBLANK(W35),"",W35/W$36)</f>
        <v/>
      </c>
      <c r="X71" s="941">
        <f>IF(ISBLANK(X35),"",X35/X$36)</f>
        <v/>
      </c>
      <c r="Y71" s="941">
        <f>IF(ISBLANK(Y35),"",Y35/Y$36)</f>
        <v/>
      </c>
      <c r="Z71" s="940">
        <f>IF(ISBLANK(Z35),"",Z35/Z$36)</f>
        <v/>
      </c>
      <c r="AA71" s="940">
        <f>IF(ISBLANK(AA35),"",AA35/AA$36)</f>
        <v/>
      </c>
      <c r="AB71" s="940">
        <f>IF(ISBLANK(AB35),"",AB35/AB$36)</f>
        <v/>
      </c>
      <c r="AC71" s="940">
        <f>IF(ISBLANK(AC35),"",AC35/AC$36)</f>
        <v/>
      </c>
      <c r="AD71" s="940">
        <f>IF(ISBLANK(AD35),"",AD35/AD$36)</f>
        <v/>
      </c>
      <c r="AE71" s="940">
        <f>IF(ISBLANK(AE35),"",AE35/AE$36)</f>
        <v/>
      </c>
      <c r="AF71" s="940">
        <f>IF(ISBLANK(AF35),"",AF35/AF$36)</f>
        <v/>
      </c>
      <c r="AG71" s="940">
        <f>IF(ISBLANK(AG35),"",AG35/AG$36)</f>
        <v/>
      </c>
      <c r="AH71" s="940">
        <f>IF(ISBLANK(AH35),"",AH35/AH$36)</f>
        <v/>
      </c>
      <c r="AI71" s="940">
        <f>IF(ISBLANK(AI35),"",AI35/AI$36)</f>
        <v/>
      </c>
      <c r="AJ71" s="940">
        <f>IF(ISBLANK(AJ35),"",AJ35/AJ$36)</f>
        <v/>
      </c>
      <c r="AK71" s="940">
        <f>IF(ISBLANK(AK35),"",AK35/AK$36)</f>
        <v/>
      </c>
      <c r="AL71" s="940">
        <f>IF(ISBLANK(AL35),"",AL35/AL$36)</f>
        <v/>
      </c>
      <c r="AM71" s="940">
        <f>IF(ISBLANK(AM35),"",AM35/AM$36)</f>
        <v/>
      </c>
      <c r="AN71" s="940">
        <f>IF(ISBLANK(AN35),"",AN35/AN$36)</f>
        <v/>
      </c>
      <c r="AO71" s="940">
        <f>IF(ISBLANK(AO35),"",AO35/AO$36)</f>
        <v/>
      </c>
      <c r="AP71" s="940">
        <f>IF(ISBLANK(AP35),"",AP35/AP$36)</f>
        <v/>
      </c>
      <c r="AQ71" s="940">
        <f>IF(ISBLANK(AQ35),"",AQ35/AQ$36)</f>
        <v/>
      </c>
      <c r="AR71" s="940">
        <f>IF(ISBLANK(AR35),"",AR35/AR$36)</f>
        <v/>
      </c>
      <c r="AS71" s="940">
        <f>IF(ISBLANK(AS35),"",AS35/AS$36)</f>
        <v/>
      </c>
      <c r="AT71" s="940">
        <f>IF(ISBLANK(AT35),"",AT35/AT$36)</f>
        <v/>
      </c>
      <c r="AU71" s="940">
        <f>IF(ISBLANK(AU35),"",AU35/AU$36)</f>
        <v/>
      </c>
      <c r="AV71" s="940">
        <f>IF(ISBLANK(AV35),"",AV35/AV$36)</f>
        <v/>
      </c>
      <c r="AW71" s="940">
        <f>IF(ISBLANK(AW35),"",AW35/AW$36)</f>
        <v/>
      </c>
      <c r="AX71" s="940">
        <f>IF(ISBLANK(AX35),"",AX35/AX$36)</f>
        <v/>
      </c>
      <c r="AY71" s="940">
        <f>IF(ISBLANK(AY35),"",AY35/AY$36)</f>
        <v/>
      </c>
      <c r="AZ71" s="940">
        <f>IF(ISBLANK(AZ35),"",AZ35/AZ$36)</f>
        <v/>
      </c>
      <c r="BA71" s="940">
        <f>IF(ISBLANK(BA35),"",BA35/BA$36)</f>
        <v/>
      </c>
      <c r="BB71" s="940">
        <f>IF(ISBLANK(BB35),"",BB35/BB$36)</f>
        <v/>
      </c>
      <c r="BC71" s="940">
        <f>IF(ISBLANK(BC35),"",BC35/BC$36)</f>
        <v/>
      </c>
      <c r="BD71" s="940">
        <f>IF(ISBLANK(BD35),"",BD35/BD$36)</f>
        <v/>
      </c>
      <c r="BE71" s="940">
        <f>IF(ISBLANK(BE35),"",BE35/BE$36)</f>
        <v/>
      </c>
      <c r="BF71" s="940">
        <f>IF(ISBLANK(BF35),"",BF35/BF$36)</f>
        <v/>
      </c>
      <c r="BG71" s="940">
        <f>IF(ISBLANK(BG35),"",BG35/BG$36)</f>
        <v/>
      </c>
      <c r="BH71" s="940">
        <f>IF(ISBLANK(BH35),"",BH35/BH$36)</f>
        <v/>
      </c>
      <c r="BI71" s="940">
        <f>IF(ISBLANK(BI35),"",BI35/BI$36)</f>
        <v/>
      </c>
      <c r="BJ71" s="940">
        <f>IF(ISBLANK(BJ35),"",BJ35/BJ$36)</f>
        <v/>
      </c>
      <c r="BK71" s="940">
        <f>IF(ISBLANK(BK35),"",BK35/BK$36)</f>
        <v/>
      </c>
      <c r="BL71" s="940">
        <f>IF(ISBLANK(BL35),"",BL35/BL$36)</f>
        <v/>
      </c>
      <c r="BM71" s="940">
        <f>IF(ISBLANK(BM35),"",BM35/BM$36)</f>
        <v/>
      </c>
      <c r="BN71" s="940">
        <f>IF(ISBLANK(BN35),"",BN35/BN$36)</f>
        <v/>
      </c>
      <c r="BO71" s="940">
        <f>IF(ISBLANK(BO35),"",BO35/BO$36)</f>
        <v/>
      </c>
      <c r="BP71" s="940">
        <f>IF(ISBLANK(BP35),"",BP35/BP$36)</f>
        <v/>
      </c>
      <c r="BQ71" s="940">
        <f>IF(ISBLANK(BQ35),"",BQ35/BQ$36)</f>
        <v/>
      </c>
      <c r="BR71" s="940">
        <f>IF(ISBLANK(BR35),"",BR35/BR$36)</f>
        <v/>
      </c>
      <c r="BS71" t="n">
        <v>0.263575850491956</v>
      </c>
      <c r="BT71" t="inlineStr">
        <is>
          <t>IPGP-Financial-Data-Workbook-2024-Q2.xlsx|Key Metrics|60|93</t>
        </is>
      </c>
    </row>
    <row r="72">
      <c r="A72" s="22">
        <f>A36</f>
        <v/>
      </c>
      <c r="B72" s="121" t="n"/>
      <c r="C72" s="121" t="n"/>
      <c r="D72" s="121" t="n"/>
      <c r="E72" s="121" t="n"/>
      <c r="F72" s="121" t="n"/>
      <c r="G72" s="121" t="n"/>
      <c r="H72" s="121" t="n"/>
      <c r="I72" s="121" t="n"/>
      <c r="J72" s="121" t="n"/>
      <c r="K72" s="121" t="n"/>
      <c r="L72" s="121" t="n"/>
      <c r="M72" s="121" t="n"/>
      <c r="N72" s="941">
        <f>IF(ISBLANK(N36),"",N36/N$36)</f>
        <v/>
      </c>
      <c r="O72" s="941">
        <f>IF(ISBLANK(O36),"",O36/O$36)</f>
        <v/>
      </c>
      <c r="P72" s="941">
        <f>IF(ISBLANK(P36),"",P36/P$36)</f>
        <v/>
      </c>
      <c r="Q72" s="941">
        <f>IF(ISBLANK(Q36),"",Q36/Q$36)</f>
        <v/>
      </c>
      <c r="R72" s="941">
        <f>IF(ISBLANK(R36),"",R36/R$36)</f>
        <v/>
      </c>
      <c r="S72" s="941">
        <f>IF(ISBLANK(S36),"",S36/S$36)</f>
        <v/>
      </c>
      <c r="T72" s="941">
        <f>IF(ISBLANK(T36),"",T36/T$36)</f>
        <v/>
      </c>
      <c r="U72" s="941">
        <f>IF(ISBLANK(U36),"",U36/U$36)</f>
        <v/>
      </c>
      <c r="V72" s="941">
        <f>IF(ISBLANK(V36),"",V36/V$36)</f>
        <v/>
      </c>
      <c r="W72" s="941">
        <f>IF(ISBLANK(W36),"",W36/W$36)</f>
        <v/>
      </c>
      <c r="X72" s="941">
        <f>IF(ISBLANK(X36),"",X36/X$36)</f>
        <v/>
      </c>
      <c r="Y72" s="941">
        <f>IF(ISBLANK(Y36),"",Y36/Y$36)</f>
        <v/>
      </c>
      <c r="Z72" s="941">
        <f>IF(ISBLANK(Z36),"",Z36/Z$36)</f>
        <v/>
      </c>
      <c r="AA72" s="941">
        <f>IF(ISBLANK(AA36),"",AA36/AA$36)</f>
        <v/>
      </c>
      <c r="AB72" s="941">
        <f>IF(ISBLANK(AB36),"",AB36/AB$36)</f>
        <v/>
      </c>
      <c r="AC72" s="941">
        <f>IF(ISBLANK(AC36),"",AC36/AC$36)</f>
        <v/>
      </c>
      <c r="AD72" s="941">
        <f>IF(ISBLANK(AD36),"",AD36/AD$36)</f>
        <v/>
      </c>
      <c r="AE72" s="941">
        <f>IF(ISBLANK(AE36),"",AE36/AE$36)</f>
        <v/>
      </c>
      <c r="AF72" s="941">
        <f>IF(ISBLANK(AF36),"",AF36/AF$36)</f>
        <v/>
      </c>
      <c r="AG72" s="941">
        <f>IF(ISBLANK(AG36),"",AG36/AG$36)</f>
        <v/>
      </c>
      <c r="AH72" s="941">
        <f>IF(ISBLANK(AH36),"",AH36/AH$36)</f>
        <v/>
      </c>
      <c r="AI72" s="941">
        <f>IF(ISBLANK(AI36),"",AI36/AI$36)</f>
        <v/>
      </c>
      <c r="AJ72" s="941">
        <f>IF(ISBLANK(AJ36),"",AJ36/AJ$36)</f>
        <v/>
      </c>
      <c r="AK72" s="941">
        <f>IF(ISBLANK(AK36),"",AK36/AK$36)</f>
        <v/>
      </c>
      <c r="AL72" s="941">
        <f>IF(ISBLANK(AL36),"",AL36/AL$36)</f>
        <v/>
      </c>
      <c r="AM72" s="941">
        <f>IF(ISBLANK(AM36),"",AM36/AM$36)</f>
        <v/>
      </c>
      <c r="AN72" s="941">
        <f>IF(ISBLANK(AN36),"",AN36/AN$36)</f>
        <v/>
      </c>
      <c r="AO72" s="941">
        <f>IF(ISBLANK(AO36),"",AO36/AO$36)</f>
        <v/>
      </c>
      <c r="AP72" s="941">
        <f>IF(ISBLANK(AP36),"",AP36/AP$36)</f>
        <v/>
      </c>
      <c r="AQ72" s="941">
        <f>IF(ISBLANK(AQ36),"",AQ36/AQ$36)</f>
        <v/>
      </c>
      <c r="AR72" s="941">
        <f>IF(ISBLANK(AR36),"",AR36/AR$36)</f>
        <v/>
      </c>
      <c r="AS72" s="941">
        <f>IF(ISBLANK(AS36),"",AS36/AS$36)</f>
        <v/>
      </c>
      <c r="AT72" s="941">
        <f>IF(ISBLANK(AT36),"",AT36/AT$36)</f>
        <v/>
      </c>
      <c r="AU72" s="941">
        <f>IF(ISBLANK(AU36),"",AU36/AU$36)</f>
        <v/>
      </c>
      <c r="AV72" s="941">
        <f>IF(ISBLANK(AV36),"",AV36/AV$36)</f>
        <v/>
      </c>
      <c r="AW72" s="941">
        <f>IF(ISBLANK(AW36),"",AW36/AW$36)</f>
        <v/>
      </c>
      <c r="AX72" s="941">
        <f>IF(ISBLANK(AX36),"",AX36/AX$36)</f>
        <v/>
      </c>
      <c r="AY72" s="941">
        <f>IF(ISBLANK(AY36),"",AY36/AY$36)</f>
        <v/>
      </c>
      <c r="AZ72" s="941">
        <f>IF(ISBLANK(AZ36),"",AZ36/AZ$36)</f>
        <v/>
      </c>
      <c r="BA72" s="941">
        <f>IF(ISBLANK(BA36),"",BA36/BA$36)</f>
        <v/>
      </c>
      <c r="BB72" s="941">
        <f>IF(ISBLANK(BB36),"",BB36/BB$36)</f>
        <v/>
      </c>
      <c r="BC72" s="941">
        <f>IF(ISBLANK(BC36),"",BC36/BC$36)</f>
        <v/>
      </c>
      <c r="BD72" s="941">
        <f>IF(ISBLANK(BD36),"",BD36/BD$36)</f>
        <v/>
      </c>
      <c r="BE72" s="941">
        <f>IF(ISBLANK(BE36),"",BE36/BE$36)</f>
        <v/>
      </c>
      <c r="BF72" s="941">
        <f>IF(ISBLANK(BF36),"",BF36/BF$36)</f>
        <v/>
      </c>
      <c r="BG72" s="941">
        <f>IF(ISBLANK(BG36),"",BG36/BG$36)</f>
        <v/>
      </c>
      <c r="BH72" s="941">
        <f>IF(ISBLANK(BH36),"",BH36/BH$36)</f>
        <v/>
      </c>
      <c r="BI72" s="941">
        <f>IF(ISBLANK(BI36),"",BI36/BI$36)</f>
        <v/>
      </c>
      <c r="BJ72" s="941">
        <f>IF(ISBLANK(BJ36),"",BJ36/BJ$36)</f>
        <v/>
      </c>
      <c r="BK72" s="941">
        <f>IF(ISBLANK(BK36),"",BK36/BK$36)</f>
        <v/>
      </c>
      <c r="BL72" s="941">
        <f>IF(ISBLANK(BL36),"",BL36/BL$36)</f>
        <v/>
      </c>
      <c r="BM72" s="941">
        <f>IF(ISBLANK(BM36),"",BM36/BM$36)</f>
        <v/>
      </c>
      <c r="BN72" s="941">
        <f>IF(ISBLANK(BN36),"",BN36/BN$36)</f>
        <v/>
      </c>
      <c r="BO72" s="941">
        <f>IF(ISBLANK(BO36),"",BO36/BO$36)</f>
        <v/>
      </c>
      <c r="BP72" s="941">
        <f>IF(ISBLANK(BP36),"",BP36/BP$36)</f>
        <v/>
      </c>
      <c r="BQ72" s="941">
        <f>IF(ISBLANK(BQ36),"",BQ36/BQ$36)</f>
        <v/>
      </c>
      <c r="BR72" s="941">
        <f>IF(ISBLANK(BR36),"",BR36/BR$36)</f>
        <v/>
      </c>
      <c r="BS72" t="n">
        <v>1</v>
      </c>
      <c r="BT72" t="inlineStr">
        <is>
          <t>IPGP-Financial-Data-Workbook-2024-Q2.xlsx|Key Metrics|61|93</t>
        </is>
      </c>
    </row>
    <row r="73">
      <c r="B73" s="121" t="n"/>
      <c r="C73" s="121" t="n"/>
      <c r="D73" s="121" t="n"/>
      <c r="E73" s="121" t="n"/>
      <c r="F73" s="121" t="n"/>
      <c r="G73" s="121" t="n"/>
      <c r="H73" s="121" t="n"/>
      <c r="I73" s="121" t="n"/>
      <c r="J73" s="121" t="n"/>
      <c r="K73" s="121" t="n"/>
      <c r="L73" s="121" t="n"/>
      <c r="M73" s="121" t="n"/>
      <c r="N73" s="121" t="n"/>
      <c r="O73" s="121" t="n"/>
      <c r="P73" s="121" t="n"/>
      <c r="Q73" s="458" t="n"/>
      <c r="R73" s="458" t="n"/>
      <c r="S73" s="121" t="n"/>
      <c r="T73" s="458" t="n"/>
      <c r="U73" s="458" t="n"/>
      <c r="V73" s="458" t="n"/>
      <c r="W73" s="458" t="n"/>
      <c r="X73" s="458" t="n"/>
      <c r="Y73" s="458" t="n"/>
      <c r="Z73" s="458" t="n"/>
      <c r="AA73" s="458" t="n"/>
      <c r="AB73" s="458" t="n"/>
      <c r="AC73" s="458" t="n"/>
      <c r="AD73" s="458" t="n"/>
      <c r="AE73" s="458" t="n"/>
      <c r="AF73" s="458" t="n"/>
      <c r="AG73" s="458" t="n"/>
      <c r="AH73" s="458" t="n"/>
      <c r="AI73" s="458" t="n"/>
      <c r="AJ73" s="458" t="n"/>
      <c r="AK73" s="145" t="n"/>
      <c r="AL73" s="145" t="n"/>
      <c r="AM73" s="145" t="n"/>
      <c r="AN73" s="145" t="n"/>
      <c r="AO73" s="145" t="n"/>
      <c r="AP73" s="145" t="n"/>
      <c r="AQ73" s="145" t="n"/>
      <c r="AR73" s="145" t="n"/>
      <c r="AS73" s="145" t="n"/>
    </row>
    <row r="74">
      <c r="B74" s="121" t="n"/>
      <c r="C74" s="121" t="n"/>
      <c r="D74" s="121" t="n"/>
      <c r="E74" s="121" t="n"/>
      <c r="F74" s="121" t="n"/>
      <c r="G74" s="121" t="n"/>
      <c r="H74" s="121" t="n"/>
      <c r="I74" s="121" t="n"/>
      <c r="J74" s="121" t="n"/>
      <c r="K74" s="121" t="n"/>
      <c r="L74" s="121" t="n"/>
      <c r="M74" s="121" t="n"/>
      <c r="N74" s="121" t="n"/>
      <c r="O74" s="121" t="n"/>
      <c r="P74" s="121" t="n"/>
      <c r="Q74" s="458" t="n"/>
      <c r="R74" s="458" t="n"/>
      <c r="S74" s="121" t="n"/>
      <c r="T74" s="458" t="n"/>
      <c r="U74" s="458" t="n"/>
      <c r="V74" s="458" t="n"/>
      <c r="W74" s="458" t="n"/>
      <c r="X74" s="458" t="n"/>
      <c r="Y74" s="458" t="n"/>
      <c r="Z74" s="458" t="n"/>
      <c r="AA74" s="458" t="n"/>
      <c r="AB74" s="458" t="n"/>
      <c r="AC74" s="458" t="n"/>
      <c r="AD74" s="458" t="n"/>
      <c r="AE74" s="458" t="n"/>
      <c r="AF74" s="458" t="n"/>
      <c r="AG74" s="458" t="n"/>
      <c r="AH74" s="458" t="n"/>
      <c r="AI74" s="458" t="n"/>
      <c r="AJ74" s="458" t="n"/>
      <c r="AK74" s="145" t="n"/>
      <c r="AL74" s="145" t="n"/>
      <c r="AM74" s="145" t="n"/>
      <c r="AN74" s="145" t="n"/>
      <c r="AO74" s="145" t="n"/>
      <c r="AP74" s="145" t="n"/>
      <c r="AQ74" s="145" t="n"/>
      <c r="AR74" s="145" t="n"/>
      <c r="AS74" s="145" t="n"/>
    </row>
    <row r="75">
      <c r="B75" s="121" t="n"/>
      <c r="C75" s="121" t="n"/>
      <c r="D75" s="121" t="n"/>
      <c r="E75" s="121" t="n"/>
      <c r="F75" s="121" t="n"/>
      <c r="G75" s="121" t="n"/>
      <c r="H75" s="121" t="n"/>
      <c r="I75" s="121" t="n"/>
      <c r="J75" s="121" t="n"/>
      <c r="K75" s="121" t="n"/>
      <c r="L75" s="121" t="n"/>
      <c r="M75" s="121" t="n"/>
      <c r="N75" s="121" t="n"/>
      <c r="O75" s="121" t="n"/>
      <c r="P75" s="121" t="n"/>
      <c r="Q75" s="458" t="n"/>
      <c r="R75" s="458" t="n"/>
      <c r="S75" s="121" t="n"/>
      <c r="T75" s="458" t="n"/>
      <c r="U75" s="458" t="n"/>
      <c r="V75" s="458" t="n"/>
      <c r="W75" s="458" t="n"/>
      <c r="X75" s="458" t="n"/>
      <c r="Y75" s="458" t="n"/>
      <c r="Z75" s="458" t="n"/>
      <c r="AA75" s="458" t="n"/>
      <c r="AB75" s="458" t="n"/>
      <c r="AC75" s="458" t="n"/>
      <c r="AD75" s="458" t="n"/>
      <c r="AE75" s="458" t="n"/>
      <c r="AF75" s="458" t="n"/>
      <c r="AG75" s="458" t="n"/>
      <c r="AH75" s="458" t="n"/>
      <c r="AI75" s="458" t="n"/>
      <c r="AJ75" s="458" t="n"/>
      <c r="AK75" s="145" t="n"/>
      <c r="AL75" s="145" t="n"/>
      <c r="AM75" s="145" t="n"/>
      <c r="AN75" s="145" t="n"/>
      <c r="AO75" s="145" t="n"/>
      <c r="AP75" s="145" t="n"/>
      <c r="AQ75" s="145" t="n"/>
      <c r="AR75" s="145" t="n"/>
      <c r="AS75" s="145" t="n"/>
    </row>
    <row r="76">
      <c r="A76" s="105" t="n"/>
      <c r="B76" s="121" t="n"/>
      <c r="C76" s="121" t="n"/>
      <c r="D76" s="121" t="n"/>
      <c r="E76" s="121" t="n"/>
      <c r="F76" s="121" t="n"/>
      <c r="G76" s="121" t="n"/>
      <c r="H76" s="121" t="n"/>
      <c r="I76" s="121" t="n"/>
      <c r="J76" s="121" t="n"/>
      <c r="K76" s="121" t="n"/>
      <c r="L76" s="121" t="n"/>
      <c r="M76" s="121" t="n"/>
      <c r="N76" s="121" t="n"/>
      <c r="O76" s="121" t="n"/>
      <c r="P76" s="121" t="n"/>
      <c r="Q76" s="121" t="n"/>
      <c r="R76" s="121" t="n"/>
      <c r="S76" s="121" t="n"/>
      <c r="T76" s="121" t="n"/>
      <c r="U76" s="121" t="n"/>
      <c r="V76" s="121" t="n"/>
      <c r="W76" s="121" t="n"/>
      <c r="X76" s="121" t="n"/>
      <c r="Y76" s="121" t="n"/>
      <c r="Z76" s="121" t="n"/>
      <c r="AA76" s="121" t="n"/>
      <c r="AB76" s="121" t="n"/>
      <c r="AC76" s="121" t="n"/>
      <c r="AD76" s="121" t="n"/>
      <c r="AE76" s="121" t="n"/>
      <c r="AF76" s="121" t="n"/>
      <c r="AG76" s="121" t="n"/>
      <c r="AH76" s="121" t="n"/>
      <c r="AI76" s="121" t="n"/>
      <c r="AJ76" s="121" t="n"/>
      <c r="AK76" s="439" t="n"/>
      <c r="AL76" s="439" t="n"/>
      <c r="AM76" s="121" t="n"/>
      <c r="AN76" s="121" t="n"/>
      <c r="AO76" s="121" t="n"/>
      <c r="AP76" s="121" t="n"/>
      <c r="AQ76" s="121" t="n"/>
      <c r="AR76" s="121" t="n"/>
      <c r="AS76" s="121" t="n"/>
    </row>
    <row r="77">
      <c r="A77" s="81" t="inlineStr">
        <is>
          <t>CONSOLIDATED INCOME STATEMENT (in '000 USD) -YTD</t>
        </is>
      </c>
      <c r="B77" s="119" t="n"/>
      <c r="C77" s="119" t="n"/>
      <c r="D77" s="119" t="n"/>
      <c r="E77" s="119" t="n"/>
      <c r="F77" s="119" t="n"/>
      <c r="G77" s="119" t="n"/>
      <c r="H77" s="119" t="n"/>
      <c r="I77" s="119" t="n"/>
      <c r="J77" s="119" t="n"/>
      <c r="K77" s="119" t="n"/>
      <c r="L77" s="119" t="n"/>
      <c r="M77" s="119" t="n"/>
      <c r="N77" s="119" t="n"/>
      <c r="O77" s="119" t="n"/>
      <c r="P77" s="119" t="n"/>
      <c r="Q77" s="119" t="n"/>
      <c r="R77" s="119" t="n"/>
      <c r="S77" s="119" t="n"/>
      <c r="T77" s="20" t="n"/>
      <c r="U77" s="20" t="n"/>
      <c r="V77" s="20" t="n"/>
      <c r="W77" s="20" t="n"/>
      <c r="X77" s="20" t="n"/>
      <c r="Y77" s="20" t="n"/>
      <c r="Z77" s="20" t="n"/>
      <c r="AA77" s="20" t="n"/>
      <c r="AB77" s="20" t="n"/>
      <c r="AC77" s="20" t="n"/>
      <c r="AD77" s="20" t="n"/>
      <c r="AE77" s="20" t="n"/>
      <c r="AF77" s="20" t="n"/>
      <c r="AG77" s="20" t="n"/>
      <c r="AH77" s="20" t="n"/>
      <c r="AI77" s="20" t="n"/>
      <c r="AJ77" s="20" t="n"/>
      <c r="AK77" s="20" t="n"/>
      <c r="AL77" s="20" t="n"/>
      <c r="AM77" s="20" t="n"/>
      <c r="AN77" s="20" t="n"/>
      <c r="AO77" s="20" t="n"/>
      <c r="AP77" s="20" t="n"/>
      <c r="AQ77" s="20" t="n"/>
      <c r="AR77" s="20" t="n"/>
      <c r="AS77" s="20" t="n"/>
    </row>
    <row r="78">
      <c r="B78" s="76" t="n"/>
      <c r="C78" s="76" t="n"/>
      <c r="D78" s="76" t="n"/>
      <c r="E78" s="76" t="n"/>
      <c r="F78" s="76" t="n"/>
      <c r="G78" s="76" t="n"/>
      <c r="H78" s="76" t="n"/>
      <c r="I78" s="76" t="n"/>
      <c r="J78" s="76" t="n"/>
      <c r="K78" s="76" t="n"/>
      <c r="L78" s="76" t="n"/>
      <c r="M78" s="76" t="n"/>
      <c r="N78" s="76" t="n"/>
      <c r="O78" s="76" t="n"/>
      <c r="P78" s="76" t="n"/>
      <c r="Q78" s="76" t="n"/>
      <c r="R78" s="76" t="n"/>
      <c r="S78" s="76" t="n"/>
      <c r="AO78" s="108" t="n"/>
      <c r="AP78" s="108" t="n"/>
      <c r="AQ78" s="108" t="n"/>
      <c r="AR78" s="108" t="n"/>
      <c r="AS78" s="108" t="n"/>
    </row>
    <row r="79">
      <c r="A79" s="22" t="inlineStr">
        <is>
          <t>Net Sales</t>
        </is>
      </c>
      <c r="B79" s="133" t="n"/>
      <c r="C79" s="133" t="n"/>
      <c r="D79" s="133" t="n"/>
      <c r="E79" s="133" t="n"/>
      <c r="F79" s="133" t="n"/>
      <c r="G79" s="133" t="n"/>
      <c r="H79" s="133" t="n"/>
      <c r="I79" s="133" t="n"/>
      <c r="J79" s="133" t="n"/>
      <c r="K79" s="133" t="n"/>
      <c r="L79" s="133" t="n"/>
      <c r="M79" s="133" t="n"/>
      <c r="N79" s="133" t="n">
        <v>51204</v>
      </c>
      <c r="O79" s="133" t="n">
        <v>118462</v>
      </c>
      <c r="P79" s="133" t="n">
        <v>198271</v>
      </c>
      <c r="Q79" s="133" t="n">
        <v>299256</v>
      </c>
      <c r="R79" s="133" t="n">
        <v>99958</v>
      </c>
      <c r="S79" s="133" t="n">
        <v>221894</v>
      </c>
      <c r="T79" s="133" t="n">
        <v>350958</v>
      </c>
      <c r="U79" s="133" t="n">
        <v>474482</v>
      </c>
      <c r="V79" s="133" t="n">
        <v>123192</v>
      </c>
      <c r="W79" s="133" t="n">
        <v>261119</v>
      </c>
      <c r="X79" s="133" t="n">
        <v>417498</v>
      </c>
      <c r="Y79" s="133" t="n">
        <v>562528</v>
      </c>
      <c r="Z79" s="133" t="n">
        <v>141852</v>
      </c>
      <c r="AA79" s="133" t="n">
        <v>310023</v>
      </c>
      <c r="AB79" s="133" t="n">
        <v>482175</v>
      </c>
      <c r="AC79" s="133" t="n">
        <v>648034</v>
      </c>
      <c r="AD79" s="133" t="n">
        <v>170575</v>
      </c>
      <c r="AE79" s="133" t="n">
        <v>362779</v>
      </c>
      <c r="AF79" s="133" t="n">
        <v>562430</v>
      </c>
      <c r="AG79" s="133" t="n">
        <v>769832</v>
      </c>
      <c r="AH79" s="133" t="n">
        <v>198960</v>
      </c>
      <c r="AI79" s="133" t="n">
        <v>434098</v>
      </c>
      <c r="AJ79" s="133" t="n">
        <v>677639</v>
      </c>
      <c r="AK79" s="133" t="n">
        <v>901265</v>
      </c>
      <c r="AL79" s="133" t="n">
        <v>207248</v>
      </c>
      <c r="AM79" s="133" t="n">
        <v>460035</v>
      </c>
      <c r="AN79" s="133" t="n">
        <v>726052</v>
      </c>
      <c r="AO79" s="133" t="n">
        <v>1006173</v>
      </c>
      <c r="AP79" s="133" t="n">
        <v>285846</v>
      </c>
      <c r="AQ79" s="133" t="n">
        <v>655219</v>
      </c>
      <c r="AR79" s="133" t="n">
        <v>1047834</v>
      </c>
      <c r="AS79" s="133" t="n">
        <v>1408889</v>
      </c>
      <c r="AT79" s="133" t="n">
        <v>359864</v>
      </c>
      <c r="AU79" s="133" t="n">
        <v>773477</v>
      </c>
      <c r="AV79" s="133" t="n">
        <v>1129823</v>
      </c>
      <c r="AW79" s="133" t="n">
        <v>1459874</v>
      </c>
      <c r="AX79" s="133" t="n">
        <v>315047</v>
      </c>
      <c r="AY79" s="133" t="n">
        <v>678816</v>
      </c>
      <c r="AZ79" s="133" t="n">
        <v>1007954</v>
      </c>
      <c r="BA79" s="133" t="n">
        <v>1314581</v>
      </c>
      <c r="BB79" s="133" t="n">
        <v>249242</v>
      </c>
      <c r="BC79" s="133" t="n">
        <v>545653</v>
      </c>
      <c r="BD79" s="133" t="n">
        <v>864094</v>
      </c>
      <c r="BE79" s="133" t="n">
        <v>1200724</v>
      </c>
      <c r="BF79" s="133" t="n">
        <v>345585</v>
      </c>
      <c r="BG79" s="133" t="n">
        <v>717243</v>
      </c>
      <c r="BH79" s="133" t="n">
        <v>1096393</v>
      </c>
      <c r="BI79" s="133" t="n">
        <v>1460860</v>
      </c>
      <c r="BJ79" s="133" t="n">
        <v>369979</v>
      </c>
      <c r="BK79" s="133" t="n">
        <v>747002</v>
      </c>
      <c r="BL79" s="133" t="n">
        <v>1096008</v>
      </c>
      <c r="BM79" s="133" t="n">
        <v>1429547</v>
      </c>
      <c r="BN79" s="133" t="n">
        <v>347174</v>
      </c>
      <c r="BO79" s="133" t="n">
        <v>687145</v>
      </c>
      <c r="BP79" s="133" t="n">
        <v>988546</v>
      </c>
      <c r="BQ79" s="133" t="n">
        <v>1287439</v>
      </c>
      <c r="BR79" s="133" t="n">
        <v>252009</v>
      </c>
      <c r="BS79" t="n">
        <v>257645</v>
      </c>
      <c r="BT79" t="inlineStr">
        <is>
          <t>IPGP-Financial-Data-Workbook-2024-Q2.xlsx|Key Metrics|13|93</t>
        </is>
      </c>
    </row>
    <row r="80">
      <c r="A80" s="74" t="inlineStr">
        <is>
          <t>Cost of sales</t>
        </is>
      </c>
      <c r="B80" s="145" t="n"/>
      <c r="C80" s="145" t="n"/>
      <c r="D80" s="145" t="n"/>
      <c r="E80" s="145" t="n"/>
      <c r="F80" s="145" t="n"/>
      <c r="G80" s="145" t="n"/>
      <c r="H80" s="145" t="n"/>
      <c r="I80" s="145" t="n"/>
      <c r="J80" s="145" t="n"/>
      <c r="K80" s="145" t="n"/>
      <c r="L80" s="145" t="n"/>
      <c r="M80" s="145" t="n"/>
      <c r="N80" s="145" t="n">
        <v>30657</v>
      </c>
      <c r="O80" s="145" t="n">
        <v>67454</v>
      </c>
      <c r="P80" s="145" t="n">
        <v>107332</v>
      </c>
      <c r="Q80" s="145" t="n">
        <v>152798</v>
      </c>
      <c r="R80" s="145" t="n">
        <v>46292</v>
      </c>
      <c r="S80" s="145" t="n">
        <v>101522</v>
      </c>
      <c r="T80" s="145" t="n">
        <v>160127</v>
      </c>
      <c r="U80" s="145" t="n">
        <v>217227</v>
      </c>
      <c r="V80" s="145" t="n">
        <v>54508</v>
      </c>
      <c r="W80" s="145" t="n">
        <v>117525</v>
      </c>
      <c r="X80" s="145" t="n">
        <v>187945</v>
      </c>
      <c r="Y80" s="145" t="n">
        <v>257801</v>
      </c>
      <c r="Z80" s="145" t="n">
        <v>66211</v>
      </c>
      <c r="AA80" s="145" t="n">
        <v>144460</v>
      </c>
      <c r="AB80" s="145" t="n">
        <v>223799</v>
      </c>
      <c r="AC80" s="145" t="n">
        <v>308136</v>
      </c>
      <c r="AD80" s="145" t="n">
        <v>81291</v>
      </c>
      <c r="AE80" s="145" t="n">
        <v>169268</v>
      </c>
      <c r="AF80" s="145" t="n">
        <v>259829</v>
      </c>
      <c r="AG80" s="145" t="n">
        <v>353314</v>
      </c>
      <c r="AH80" s="145" t="n">
        <v>91133</v>
      </c>
      <c r="AI80" s="145" t="n">
        <v>197568</v>
      </c>
      <c r="AJ80" s="145" t="n">
        <v>307805</v>
      </c>
      <c r="AK80" s="145" t="n">
        <v>409388</v>
      </c>
      <c r="AL80" s="145" t="n">
        <v>92838</v>
      </c>
      <c r="AM80" s="145" t="n">
        <v>207921</v>
      </c>
      <c r="AN80" s="145" t="n">
        <v>329147</v>
      </c>
      <c r="AO80" s="145" t="n">
        <v>453933</v>
      </c>
      <c r="AP80" s="145" t="n">
        <v>128579</v>
      </c>
      <c r="AQ80" s="145" t="n">
        <v>291656</v>
      </c>
      <c r="AR80" s="145" t="n">
        <v>459716</v>
      </c>
      <c r="AS80" s="145" t="n">
        <v>611978</v>
      </c>
      <c r="AT80" s="145" t="n">
        <v>156502</v>
      </c>
      <c r="AU80" s="145" t="n">
        <v>335140</v>
      </c>
      <c r="AV80" s="145" t="n">
        <v>496303</v>
      </c>
      <c r="AW80" s="145" t="n">
        <v>659606</v>
      </c>
      <c r="AX80" s="145" t="n">
        <v>166136</v>
      </c>
      <c r="AY80" s="145" t="n">
        <v>349668</v>
      </c>
      <c r="AZ80" s="145" t="n">
        <v>525948</v>
      </c>
      <c r="BA80" s="145" t="n">
        <v>708372</v>
      </c>
      <c r="BB80" s="145" t="n">
        <v>146366</v>
      </c>
      <c r="BC80" s="145" t="n">
        <v>306328</v>
      </c>
      <c r="BD80" s="145" t="n">
        <v>471977</v>
      </c>
      <c r="BE80" s="145" t="n">
        <v>661728</v>
      </c>
      <c r="BF80" s="145" t="n">
        <v>181594</v>
      </c>
      <c r="BG80" s="145" t="n">
        <v>372724</v>
      </c>
      <c r="BH80" s="145" t="n">
        <v>566000</v>
      </c>
      <c r="BI80" s="145" t="n">
        <v>764462</v>
      </c>
      <c r="BJ80" s="145" t="n">
        <v>198158</v>
      </c>
      <c r="BK80" s="145" t="n">
        <v>402837</v>
      </c>
      <c r="BL80" s="145" t="n">
        <v>601419</v>
      </c>
      <c r="BM80" s="145" t="n">
        <v>874134</v>
      </c>
      <c r="BN80" s="145" t="n">
        <v>200236</v>
      </c>
      <c r="BO80" s="145" t="n">
        <v>392516</v>
      </c>
      <c r="BP80" s="145" t="n">
        <v>561015</v>
      </c>
      <c r="BQ80" s="145" t="n">
        <v>745741</v>
      </c>
      <c r="BR80" s="145" t="n">
        <v>154473</v>
      </c>
      <c r="BS80" t="n">
        <v>161459</v>
      </c>
      <c r="BT80" t="inlineStr">
        <is>
          <t>IPGP-Financial-Data-Workbook-2024-Q2.xlsx|Income Statement|6|93</t>
        </is>
      </c>
    </row>
    <row r="81">
      <c r="A81" s="22" t="inlineStr">
        <is>
          <t>Gross profit</t>
        </is>
      </c>
      <c r="B81" s="133" t="n"/>
      <c r="C81" s="133" t="n"/>
      <c r="D81" s="133" t="n"/>
      <c r="E81" s="133" t="n"/>
      <c r="F81" s="133" t="n"/>
      <c r="G81" s="133" t="n"/>
      <c r="H81" s="133" t="n"/>
      <c r="I81" s="133" t="n"/>
      <c r="J81" s="133" t="n"/>
      <c r="K81" s="133" t="n"/>
      <c r="L81" s="133" t="n"/>
      <c r="M81" s="133" t="n"/>
      <c r="N81" s="133" t="n">
        <v>20547</v>
      </c>
      <c r="O81" s="133" t="n">
        <v>51008</v>
      </c>
      <c r="P81" s="133" t="n">
        <v>90939</v>
      </c>
      <c r="Q81" s="133" t="n">
        <v>146458</v>
      </c>
      <c r="R81" s="133" t="n">
        <v>53666</v>
      </c>
      <c r="S81" s="133" t="n">
        <v>120372</v>
      </c>
      <c r="T81" s="133" t="n">
        <v>190831</v>
      </c>
      <c r="U81" s="133" t="n">
        <v>257255</v>
      </c>
      <c r="V81" s="133" t="n">
        <v>68684</v>
      </c>
      <c r="W81" s="133" t="n">
        <v>143594</v>
      </c>
      <c r="X81" s="133" t="n">
        <v>229553</v>
      </c>
      <c r="Y81" s="133" t="n">
        <v>304727</v>
      </c>
      <c r="Z81" s="133" t="n">
        <v>75641</v>
      </c>
      <c r="AA81" s="133" t="n">
        <v>165563</v>
      </c>
      <c r="AB81" s="133" t="n">
        <v>258376</v>
      </c>
      <c r="AC81" s="133" t="n">
        <v>339898</v>
      </c>
      <c r="AD81" s="133" t="n">
        <v>89284</v>
      </c>
      <c r="AE81" s="133" t="n">
        <v>193511</v>
      </c>
      <c r="AF81" s="133" t="n">
        <v>302601</v>
      </c>
      <c r="AG81" s="133" t="n">
        <v>416518</v>
      </c>
      <c r="AH81" s="133" t="n">
        <v>107827</v>
      </c>
      <c r="AI81" s="133" t="n">
        <v>236530</v>
      </c>
      <c r="AJ81" s="133" t="n">
        <v>369834</v>
      </c>
      <c r="AK81" s="133" t="n">
        <v>491877</v>
      </c>
      <c r="AL81" s="133" t="n">
        <v>114410</v>
      </c>
      <c r="AM81" s="133" t="n">
        <v>252114</v>
      </c>
      <c r="AN81" s="133" t="n">
        <v>396905</v>
      </c>
      <c r="AO81" s="133" t="n">
        <v>552240</v>
      </c>
      <c r="AP81" s="133" t="n">
        <v>157267</v>
      </c>
      <c r="AQ81" s="133" t="n">
        <v>363563</v>
      </c>
      <c r="AR81" s="133" t="n">
        <v>588118</v>
      </c>
      <c r="AS81" s="133" t="n">
        <v>796911</v>
      </c>
      <c r="AT81" s="133" t="n">
        <v>203362</v>
      </c>
      <c r="AU81" s="133" t="n">
        <v>438337</v>
      </c>
      <c r="AV81" s="133" t="n">
        <v>633520</v>
      </c>
      <c r="AW81" s="133" t="n">
        <v>800268</v>
      </c>
      <c r="AX81" s="133" t="n">
        <v>148911</v>
      </c>
      <c r="AY81" s="133" t="n">
        <v>329148</v>
      </c>
      <c r="AZ81" s="133" t="n">
        <v>482006</v>
      </c>
      <c r="BA81" s="133" t="n">
        <v>606209</v>
      </c>
      <c r="BB81" s="133" t="n">
        <v>102876</v>
      </c>
      <c r="BC81" s="133" t="n">
        <v>239325</v>
      </c>
      <c r="BD81" s="133" t="n">
        <v>392117</v>
      </c>
      <c r="BE81" s="133" t="n">
        <v>538996</v>
      </c>
      <c r="BF81" s="133" t="n">
        <v>163991</v>
      </c>
      <c r="BG81" s="133" t="n">
        <v>344519</v>
      </c>
      <c r="BH81" s="133" t="n">
        <v>530393</v>
      </c>
      <c r="BI81" s="133" t="n">
        <v>696398</v>
      </c>
      <c r="BJ81" s="133" t="n">
        <v>171821</v>
      </c>
      <c r="BK81" s="133" t="n">
        <v>344165</v>
      </c>
      <c r="BL81" s="133" t="n">
        <v>494589</v>
      </c>
      <c r="BM81" s="133" t="n">
        <v>555413</v>
      </c>
      <c r="BN81" s="133" t="n">
        <v>146938</v>
      </c>
      <c r="BO81" s="133" t="n">
        <v>294629</v>
      </c>
      <c r="BP81" s="133" t="n">
        <v>427531</v>
      </c>
      <c r="BQ81" s="133" t="n">
        <v>541698</v>
      </c>
      <c r="BR81" s="133" t="n">
        <v>97536</v>
      </c>
      <c r="BS81" t="n">
        <v>96186</v>
      </c>
      <c r="BT81" t="inlineStr">
        <is>
          <t>IPGP-Financial-Data-Workbook-2024-Q2.xlsx|Income Statement|7|93</t>
        </is>
      </c>
    </row>
    <row r="82">
      <c r="A82" s="33" t="inlineStr">
        <is>
          <t>Sales and marketing</t>
        </is>
      </c>
      <c r="B82" s="145" t="n"/>
      <c r="C82" s="145" t="n"/>
      <c r="D82" s="145" t="n"/>
      <c r="E82" s="145" t="n"/>
      <c r="F82" s="145" t="n"/>
      <c r="G82" s="145" t="n"/>
      <c r="H82" s="145" t="n"/>
      <c r="I82" s="145" t="n"/>
      <c r="J82" s="145" t="n"/>
      <c r="K82" s="145" t="n"/>
      <c r="L82" s="145" t="n"/>
      <c r="M82" s="145" t="n"/>
      <c r="N82" s="145" t="n">
        <v>4338</v>
      </c>
      <c r="O82" s="145" t="n">
        <v>9270</v>
      </c>
      <c r="P82" s="145" t="n">
        <v>13797</v>
      </c>
      <c r="Q82" s="145" t="n">
        <v>19100</v>
      </c>
      <c r="R82" s="145" t="n">
        <v>4948</v>
      </c>
      <c r="S82" s="145" t="n">
        <v>10795</v>
      </c>
      <c r="T82" s="145" t="n">
        <v>16451</v>
      </c>
      <c r="U82" s="145" t="n">
        <v>21731</v>
      </c>
      <c r="V82" s="145" t="n">
        <v>5132</v>
      </c>
      <c r="W82" s="145" t="n">
        <v>10986</v>
      </c>
      <c r="X82" s="145" t="n">
        <v>16771</v>
      </c>
      <c r="Y82" s="145" t="n">
        <v>23845</v>
      </c>
      <c r="Z82" s="145" t="n">
        <v>5868</v>
      </c>
      <c r="AA82" s="145" t="n">
        <v>12713</v>
      </c>
      <c r="AB82" s="145" t="n">
        <v>19514</v>
      </c>
      <c r="AC82" s="145" t="n">
        <v>26692</v>
      </c>
      <c r="AD82" s="145" t="n">
        <v>7165</v>
      </c>
      <c r="AE82" s="145" t="n">
        <v>15212</v>
      </c>
      <c r="AF82" s="145" t="n">
        <v>22708</v>
      </c>
      <c r="AG82" s="145" t="n">
        <v>30637</v>
      </c>
      <c r="AH82" s="145" t="n">
        <v>7549</v>
      </c>
      <c r="AI82" s="145" t="n">
        <v>15511</v>
      </c>
      <c r="AJ82" s="145" t="n">
        <v>23228</v>
      </c>
      <c r="AK82" s="145" t="n">
        <v>31868</v>
      </c>
      <c r="AL82" s="145" t="n">
        <v>8034</v>
      </c>
      <c r="AM82" s="145" t="n">
        <v>17723</v>
      </c>
      <c r="AN82" s="145" t="n">
        <v>28183</v>
      </c>
      <c r="AO82" s="145" t="n">
        <v>38393</v>
      </c>
      <c r="AP82" s="145" t="n">
        <v>10827</v>
      </c>
      <c r="AQ82" s="145" t="n">
        <v>22963</v>
      </c>
      <c r="AR82" s="145" t="n">
        <v>36347</v>
      </c>
      <c r="AS82" s="145" t="n">
        <v>49801</v>
      </c>
      <c r="AT82" s="145" t="n">
        <v>13516</v>
      </c>
      <c r="AU82" s="145" t="n">
        <v>28052</v>
      </c>
      <c r="AV82" s="145" t="n">
        <v>41531</v>
      </c>
      <c r="AW82" s="145" t="n">
        <v>57815</v>
      </c>
      <c r="AX82" s="145" t="n">
        <v>19275</v>
      </c>
      <c r="AY82" s="145" t="n">
        <v>39938</v>
      </c>
      <c r="AZ82" s="145" t="n">
        <v>58907</v>
      </c>
      <c r="BA82" s="145" t="n">
        <v>77745</v>
      </c>
      <c r="BB82" s="145" t="n">
        <v>18683</v>
      </c>
      <c r="BC82" s="145" t="n">
        <v>36009</v>
      </c>
      <c r="BD82" s="145" t="n">
        <v>53341</v>
      </c>
      <c r="BE82" s="145" t="n">
        <v>70583</v>
      </c>
      <c r="BF82" s="145" t="n">
        <v>18883</v>
      </c>
      <c r="BG82" s="145" t="n">
        <v>38076</v>
      </c>
      <c r="BH82" s="145" t="n">
        <v>58764</v>
      </c>
      <c r="BI82" s="145" t="n">
        <v>78180</v>
      </c>
      <c r="BJ82" s="145" t="n">
        <v>20374</v>
      </c>
      <c r="BK82" s="145" t="n">
        <v>39384</v>
      </c>
      <c r="BL82" s="145" t="n">
        <v>58767</v>
      </c>
      <c r="BM82" s="145" t="n">
        <v>76643</v>
      </c>
      <c r="BN82" s="145" t="n">
        <v>21088</v>
      </c>
      <c r="BO82" s="145" t="n">
        <v>41275</v>
      </c>
      <c r="BP82" s="145" t="n">
        <v>63518</v>
      </c>
      <c r="BQ82" s="145" t="n">
        <v>85679</v>
      </c>
      <c r="BR82" s="145" t="n">
        <v>22998</v>
      </c>
      <c r="BS82" t="n">
        <v>22487</v>
      </c>
      <c r="BT82" t="inlineStr">
        <is>
          <t>IPGP-Financial-Data-Workbook-2024-Q2.xlsx|Income Statement|10|93</t>
        </is>
      </c>
    </row>
    <row r="83">
      <c r="A83" s="33" t="inlineStr">
        <is>
          <t>Research and development</t>
        </is>
      </c>
      <c r="B83" s="145" t="n"/>
      <c r="C83" s="145" t="n"/>
      <c r="D83" s="145" t="n"/>
      <c r="E83" s="145" t="n"/>
      <c r="F83" s="145" t="n"/>
      <c r="G83" s="145" t="n"/>
      <c r="H83" s="145" t="n"/>
      <c r="I83" s="145" t="n"/>
      <c r="J83" s="145" t="n"/>
      <c r="K83" s="145" t="n"/>
      <c r="L83" s="145" t="n"/>
      <c r="M83" s="145" t="n"/>
      <c r="N83" s="145" t="n">
        <v>4158</v>
      </c>
      <c r="O83" s="145" t="n">
        <v>8887</v>
      </c>
      <c r="P83" s="145" t="n">
        <v>13868</v>
      </c>
      <c r="Q83" s="145" t="n">
        <v>19160</v>
      </c>
      <c r="R83" s="145" t="n">
        <v>5731</v>
      </c>
      <c r="S83" s="145" t="n">
        <v>12341</v>
      </c>
      <c r="T83" s="145" t="n">
        <v>18842</v>
      </c>
      <c r="U83" s="145" t="n">
        <v>25422</v>
      </c>
      <c r="V83" s="145" t="n">
        <v>7140</v>
      </c>
      <c r="W83" s="145" t="n">
        <v>14369</v>
      </c>
      <c r="X83" s="145" t="n">
        <v>22131</v>
      </c>
      <c r="Y83" s="145" t="n">
        <v>31401</v>
      </c>
      <c r="Z83" s="145" t="n">
        <v>8798</v>
      </c>
      <c r="AA83" s="145" t="n">
        <v>19281</v>
      </c>
      <c r="AB83" s="145" t="n">
        <v>30782</v>
      </c>
      <c r="AC83" s="145" t="n">
        <v>41660</v>
      </c>
      <c r="AD83" s="145" t="n">
        <v>12784</v>
      </c>
      <c r="AE83" s="145" t="n">
        <v>26146</v>
      </c>
      <c r="AF83" s="145" t="n">
        <v>39593</v>
      </c>
      <c r="AG83" s="145" t="n">
        <v>53403</v>
      </c>
      <c r="AH83" s="145" t="n">
        <v>14230</v>
      </c>
      <c r="AI83" s="145" t="n">
        <v>29344</v>
      </c>
      <c r="AJ83" s="145" t="n">
        <v>45565</v>
      </c>
      <c r="AK83" s="145" t="n">
        <v>63334</v>
      </c>
      <c r="AL83" s="145" t="n">
        <v>17489</v>
      </c>
      <c r="AM83" s="145" t="n">
        <v>35901</v>
      </c>
      <c r="AN83" s="145" t="n">
        <v>56444</v>
      </c>
      <c r="AO83" s="145" t="n">
        <v>78552</v>
      </c>
      <c r="AP83" s="145" t="n">
        <v>22780</v>
      </c>
      <c r="AQ83" s="145" t="n">
        <v>48740</v>
      </c>
      <c r="AR83" s="145" t="n">
        <v>74281</v>
      </c>
      <c r="AS83" s="145" t="n">
        <v>100870</v>
      </c>
      <c r="AT83" s="145" t="n">
        <v>28546</v>
      </c>
      <c r="AU83" s="145" t="n">
        <v>60359</v>
      </c>
      <c r="AV83" s="145" t="n">
        <v>91268</v>
      </c>
      <c r="AW83" s="145" t="n">
        <v>122769</v>
      </c>
      <c r="AX83" s="145" t="n">
        <v>32496</v>
      </c>
      <c r="AY83" s="145" t="n">
        <v>67368</v>
      </c>
      <c r="AZ83" s="145" t="n">
        <v>99528</v>
      </c>
      <c r="BA83" s="145" t="n">
        <v>129997</v>
      </c>
      <c r="BB83" s="145" t="n">
        <v>31838</v>
      </c>
      <c r="BC83" s="145" t="n">
        <v>63422</v>
      </c>
      <c r="BD83" s="145" t="n">
        <v>95132</v>
      </c>
      <c r="BE83" s="145" t="n">
        <v>126898</v>
      </c>
      <c r="BF83" s="145" t="n">
        <v>33339</v>
      </c>
      <c r="BG83" s="145" t="n">
        <v>68530</v>
      </c>
      <c r="BH83" s="145" t="n">
        <v>102807</v>
      </c>
      <c r="BI83" s="145" t="n">
        <v>139573</v>
      </c>
      <c r="BJ83" s="145" t="n">
        <v>33450</v>
      </c>
      <c r="BK83" s="145" t="n">
        <v>64058</v>
      </c>
      <c r="BL83" s="145" t="n">
        <v>89494</v>
      </c>
      <c r="BM83" s="145" t="n">
        <v>116114</v>
      </c>
      <c r="BN83" s="145" t="n">
        <v>22770</v>
      </c>
      <c r="BO83" s="145" t="n">
        <v>46282</v>
      </c>
      <c r="BP83" s="145" t="n">
        <v>70990</v>
      </c>
      <c r="BQ83" s="145" t="n">
        <v>98704</v>
      </c>
      <c r="BR83" s="145" t="n">
        <v>29381</v>
      </c>
      <c r="BS83" t="n">
        <v>27487</v>
      </c>
      <c r="BT83" t="inlineStr">
        <is>
          <t>IPGP-Financial-Data-Workbook-2024-Q2.xlsx|Income Statement|11|93</t>
        </is>
      </c>
    </row>
    <row r="84">
      <c r="A84" s="33" t="inlineStr">
        <is>
          <t>General and administrative</t>
        </is>
      </c>
      <c r="B84" s="145" t="n"/>
      <c r="C84" s="145" t="n"/>
      <c r="D84" s="145" t="n"/>
      <c r="E84" s="145" t="n"/>
      <c r="F84" s="145" t="n"/>
      <c r="G84" s="145" t="n"/>
      <c r="H84" s="145" t="n"/>
      <c r="I84" s="145" t="n"/>
      <c r="J84" s="145" t="n"/>
      <c r="K84" s="145" t="n"/>
      <c r="L84" s="145" t="n"/>
      <c r="M84" s="145" t="n"/>
      <c r="N84" s="145" t="n">
        <v>6828</v>
      </c>
      <c r="O84" s="145" t="n">
        <v>14212</v>
      </c>
      <c r="P84" s="145" t="n">
        <v>22012</v>
      </c>
      <c r="Q84" s="145" t="n">
        <v>28645</v>
      </c>
      <c r="R84" s="145" t="n">
        <v>8169</v>
      </c>
      <c r="S84" s="145" t="n">
        <v>16502</v>
      </c>
      <c r="T84" s="145" t="n">
        <v>27499</v>
      </c>
      <c r="U84" s="145" t="n">
        <v>37442</v>
      </c>
      <c r="V84" s="145" t="n">
        <v>9949</v>
      </c>
      <c r="W84" s="145" t="n">
        <v>18685</v>
      </c>
      <c r="X84" s="145" t="n">
        <v>29294</v>
      </c>
      <c r="Y84" s="145" t="n">
        <v>39231</v>
      </c>
      <c r="Z84" s="145" t="n">
        <v>11810</v>
      </c>
      <c r="AA84" s="145" t="n">
        <v>24639</v>
      </c>
      <c r="AB84" s="145" t="n">
        <v>37814</v>
      </c>
      <c r="AC84" s="145" t="n">
        <v>50863</v>
      </c>
      <c r="AD84" s="145" t="n">
        <v>12916</v>
      </c>
      <c r="AE84" s="145" t="n">
        <v>26040</v>
      </c>
      <c r="AF84" s="145" t="n">
        <v>40212</v>
      </c>
      <c r="AG84" s="145" t="n">
        <v>55338</v>
      </c>
      <c r="AH84" s="145" t="n">
        <v>12778</v>
      </c>
      <c r="AI84" s="145" t="n">
        <v>27795</v>
      </c>
      <c r="AJ84" s="145" t="n">
        <v>42474</v>
      </c>
      <c r="AK84" s="145" t="n">
        <v>57192</v>
      </c>
      <c r="AL84" s="145" t="n">
        <v>13901</v>
      </c>
      <c r="AM84" s="145" t="n">
        <v>30052</v>
      </c>
      <c r="AN84" s="145" t="n">
        <v>46849</v>
      </c>
      <c r="AO84" s="145" t="n">
        <v>66486</v>
      </c>
      <c r="AP84" s="145" t="n">
        <v>17726</v>
      </c>
      <c r="AQ84" s="145" t="n">
        <v>37601</v>
      </c>
      <c r="AR84" s="145" t="n">
        <v>59092</v>
      </c>
      <c r="AS84" s="145" t="n">
        <v>80668</v>
      </c>
      <c r="AT84" s="145" t="n">
        <v>25495</v>
      </c>
      <c r="AU84" s="145" t="n">
        <v>49612</v>
      </c>
      <c r="AV84" s="145" t="n">
        <v>74857</v>
      </c>
      <c r="AW84" s="145" t="n">
        <v>102429</v>
      </c>
      <c r="AX84" s="145" t="n">
        <v>27212</v>
      </c>
      <c r="AY84" s="145" t="n">
        <v>55750</v>
      </c>
      <c r="AZ84" s="145" t="n">
        <v>82526</v>
      </c>
      <c r="BA84" s="145" t="n">
        <v>107597</v>
      </c>
      <c r="BB84" s="145" t="n">
        <v>27124</v>
      </c>
      <c r="BC84" s="145" t="n">
        <v>53523</v>
      </c>
      <c r="BD84" s="145" t="n">
        <v>82561</v>
      </c>
      <c r="BE84" s="145" t="n">
        <v>110005</v>
      </c>
      <c r="BF84" s="145" t="n">
        <v>30092</v>
      </c>
      <c r="BG84" s="145" t="n">
        <v>61158</v>
      </c>
      <c r="BH84" s="145" t="n">
        <v>93715</v>
      </c>
      <c r="BI84" s="145" t="n">
        <v>125882</v>
      </c>
      <c r="BJ84" s="145" t="n">
        <v>30664</v>
      </c>
      <c r="BK84" s="145" t="n">
        <v>64075</v>
      </c>
      <c r="BL84" s="145" t="n">
        <v>97888</v>
      </c>
      <c r="BM84" s="145" t="n">
        <v>131253</v>
      </c>
      <c r="BN84" s="145" t="n">
        <v>30128</v>
      </c>
      <c r="BO84" s="145" t="n">
        <v>59788</v>
      </c>
      <c r="BP84" s="145" t="n">
        <v>90746</v>
      </c>
      <c r="BQ84" s="145" t="n">
        <v>125749</v>
      </c>
      <c r="BR84" s="145" t="n">
        <v>31158</v>
      </c>
      <c r="BS84" t="n">
        <v>31602</v>
      </c>
      <c r="BT84" t="inlineStr">
        <is>
          <t>IPGP-Financial-Data-Workbook-2024-Q2.xlsx|Income Statement|12|93</t>
        </is>
      </c>
    </row>
    <row r="85">
      <c r="A85" s="33" t="inlineStr">
        <is>
          <t>Loss (gain) on foreign exchange and others</t>
        </is>
      </c>
      <c r="B85" s="145" t="n"/>
      <c r="C85" s="145" t="n"/>
      <c r="D85" s="145" t="n"/>
      <c r="E85" s="145" t="n"/>
      <c r="F85" s="145" t="n"/>
      <c r="G85" s="145" t="n"/>
      <c r="H85" s="145" t="n"/>
      <c r="I85" s="145" t="n"/>
      <c r="J85" s="145" t="n"/>
      <c r="K85" s="145" t="n"/>
      <c r="L85" s="145" t="n"/>
      <c r="M85" s="145" t="n"/>
      <c r="N85" s="145" t="n">
        <v>-108</v>
      </c>
      <c r="O85" s="145" t="n">
        <v>-2403</v>
      </c>
      <c r="P85" s="145" t="n">
        <v>-325</v>
      </c>
      <c r="Q85" s="145" t="n">
        <v>-848</v>
      </c>
      <c r="R85" s="145" t="n">
        <v>720</v>
      </c>
      <c r="S85" s="145" t="n">
        <v>514</v>
      </c>
      <c r="T85" s="145" t="n">
        <v>-1413</v>
      </c>
      <c r="U85" s="145" t="n">
        <v>-2862</v>
      </c>
      <c r="V85" s="145" t="n">
        <v>1286</v>
      </c>
      <c r="W85" s="145" t="n">
        <v>-2068</v>
      </c>
      <c r="X85" s="145" t="n">
        <v>-272</v>
      </c>
      <c r="Y85" s="145" t="n">
        <v>1362</v>
      </c>
      <c r="Z85" s="145" t="n">
        <v>-481</v>
      </c>
      <c r="AA85" s="145" t="n">
        <v>-591</v>
      </c>
      <c r="AB85" s="145" t="n">
        <v>972</v>
      </c>
      <c r="AC85" s="145" t="n">
        <v>2536</v>
      </c>
      <c r="AD85" s="145" t="n">
        <v>-1370</v>
      </c>
      <c r="AE85" s="145" t="n">
        <v>-425</v>
      </c>
      <c r="AF85" s="145" t="n">
        <v>-4039</v>
      </c>
      <c r="AG85" s="145" t="n">
        <v>-6618</v>
      </c>
      <c r="AH85" s="145" t="n">
        <v>-8752</v>
      </c>
      <c r="AI85" s="145" t="n">
        <v>-5585</v>
      </c>
      <c r="AJ85" s="145" t="n">
        <v>-460</v>
      </c>
      <c r="AK85" s="145" t="n">
        <v>-2560</v>
      </c>
      <c r="AL85" s="145" t="n">
        <v>4967</v>
      </c>
      <c r="AM85" s="145" t="n">
        <v>3411</v>
      </c>
      <c r="AN85" s="145" t="n">
        <v>6316</v>
      </c>
      <c r="AO85" s="145" t="n">
        <v>4496</v>
      </c>
      <c r="AP85" s="145" t="n">
        <v>4453</v>
      </c>
      <c r="AQ85" s="145" t="n">
        <v>11636</v>
      </c>
      <c r="AR85" s="145" t="n">
        <v>15553</v>
      </c>
      <c r="AS85" s="145" t="n">
        <v>14460</v>
      </c>
      <c r="AT85" s="145" t="n">
        <v>-5295</v>
      </c>
      <c r="AU85" s="145" t="n">
        <v>-3177</v>
      </c>
      <c r="AV85" s="145" t="n">
        <v>-1489</v>
      </c>
      <c r="AW85" s="145" t="n">
        <v>-6150</v>
      </c>
      <c r="AX85" s="145" t="n">
        <v>1613</v>
      </c>
      <c r="AY85" s="145" t="n">
        <v>6687</v>
      </c>
      <c r="AZ85" s="145" t="n">
        <v>7495</v>
      </c>
      <c r="BA85" s="346">
        <f>12827+37120+7130</f>
        <v/>
      </c>
      <c r="BB85" s="145" t="n">
        <v>-19565</v>
      </c>
      <c r="BC85" s="145">
        <f>-6799+1165</f>
        <v/>
      </c>
      <c r="BD85" s="145">
        <f>-18101+1177+44589</f>
        <v/>
      </c>
      <c r="BE85" s="346">
        <f>-12915+44589+1177</f>
        <v/>
      </c>
      <c r="BF85" s="145" t="n">
        <v>-7165</v>
      </c>
      <c r="BG85" s="145" t="n">
        <v>-4339</v>
      </c>
      <c r="BH85" s="145" t="n">
        <v>-7973</v>
      </c>
      <c r="BI85" s="145" t="n">
        <v>-15120</v>
      </c>
      <c r="BJ85" s="145" t="n">
        <v>-5810</v>
      </c>
      <c r="BK85" s="145" t="n">
        <v>11830</v>
      </c>
      <c r="BL85" s="145">
        <f>11289+919-21748</f>
        <v/>
      </c>
      <c r="BM85" s="145">
        <f>4103+9697+79949-31846</f>
        <v/>
      </c>
      <c r="BN85" s="145">
        <f>-2655+181</f>
        <v/>
      </c>
      <c r="BO85" s="145">
        <f>-1349+1144</f>
        <v/>
      </c>
      <c r="BP85" s="145">
        <f>-1798-357+1237</f>
        <v/>
      </c>
      <c r="BQ85" s="145">
        <f>1237-288-1356</f>
        <v/>
      </c>
      <c r="BR85" s="145">
        <f>-6776+1675</f>
        <v/>
      </c>
      <c r="BS85" t="n">
        <v>3244</v>
      </c>
      <c r="BT85" t="inlineStr">
        <is>
          <t>IPGP-Financial-Data-Workbook-2024-Q2.xlsx|Income Statement|17|93</t>
        </is>
      </c>
    </row>
    <row r="86">
      <c r="A86" s="74" t="inlineStr">
        <is>
          <t>Total operating expenses</t>
        </is>
      </c>
      <c r="B86" s="145" t="n"/>
      <c r="C86" s="145" t="n"/>
      <c r="D86" s="145" t="n"/>
      <c r="E86" s="145" t="n"/>
      <c r="F86" s="145" t="n"/>
      <c r="G86" s="145" t="n"/>
      <c r="H86" s="145" t="n"/>
      <c r="I86" s="145" t="n"/>
      <c r="J86" s="145" t="n"/>
      <c r="K86" s="145" t="n"/>
      <c r="L86" s="145" t="n"/>
      <c r="M86" s="145" t="n"/>
      <c r="N86" s="145" t="n">
        <v>15216</v>
      </c>
      <c r="O86" s="145" t="n">
        <v>29966</v>
      </c>
      <c r="P86" s="145" t="n">
        <v>49352</v>
      </c>
      <c r="Q86" s="145" t="n">
        <v>66057</v>
      </c>
      <c r="R86" s="145" t="n">
        <v>19568</v>
      </c>
      <c r="S86" s="145" t="n">
        <v>40152</v>
      </c>
      <c r="T86" s="145" t="n">
        <v>61379</v>
      </c>
      <c r="U86" s="145" t="n">
        <v>81733</v>
      </c>
      <c r="V86" s="145" t="n">
        <v>23507</v>
      </c>
      <c r="W86" s="145" t="n">
        <v>41972</v>
      </c>
      <c r="X86" s="145" t="n">
        <v>67924</v>
      </c>
      <c r="Y86" s="145" t="n">
        <v>95839</v>
      </c>
      <c r="Z86" s="145" t="n">
        <v>25995</v>
      </c>
      <c r="AA86" s="145" t="n">
        <v>56042</v>
      </c>
      <c r="AB86" s="145" t="n">
        <v>89082</v>
      </c>
      <c r="AC86" s="145" t="n">
        <v>121751</v>
      </c>
      <c r="AD86" s="145" t="n">
        <v>31495</v>
      </c>
      <c r="AE86" s="145" t="n">
        <v>66973</v>
      </c>
      <c r="AF86" s="145" t="n">
        <v>98474</v>
      </c>
      <c r="AG86" s="145" t="n">
        <v>132760</v>
      </c>
      <c r="AH86" s="145" t="n">
        <v>25805</v>
      </c>
      <c r="AI86" s="145" t="n">
        <v>67065</v>
      </c>
      <c r="AJ86" s="145" t="n">
        <v>110807</v>
      </c>
      <c r="AK86" s="145" t="n">
        <v>149834</v>
      </c>
      <c r="AL86" s="145" t="n">
        <v>44391</v>
      </c>
      <c r="AM86" s="145" t="n">
        <v>87087</v>
      </c>
      <c r="AN86" s="145" t="n">
        <v>137792</v>
      </c>
      <c r="AO86" s="145" t="n">
        <v>187927</v>
      </c>
      <c r="AP86" s="145" t="n">
        <v>55786</v>
      </c>
      <c r="AQ86" s="145" t="n">
        <v>120940</v>
      </c>
      <c r="AR86" s="145" t="n">
        <v>185273</v>
      </c>
      <c r="AS86" s="145" t="n">
        <v>245799</v>
      </c>
      <c r="AT86" s="145" t="n">
        <v>62262</v>
      </c>
      <c r="AU86" s="145" t="n">
        <v>134846</v>
      </c>
      <c r="AV86" s="145" t="n">
        <v>206167</v>
      </c>
      <c r="AW86" s="145" t="n">
        <v>276863</v>
      </c>
      <c r="AX86" s="145" t="n">
        <v>80596</v>
      </c>
      <c r="AY86" s="145" t="n">
        <v>169743</v>
      </c>
      <c r="AZ86" s="145" t="n">
        <v>248456</v>
      </c>
      <c r="BA86" s="145" t="n">
        <v>372416</v>
      </c>
      <c r="BB86" s="145" t="n">
        <v>58080</v>
      </c>
      <c r="BC86" s="145" t="n">
        <v>147320</v>
      </c>
      <c r="BD86" s="145" t="n">
        <v>258699</v>
      </c>
      <c r="BE86" s="145" t="n">
        <v>340337</v>
      </c>
      <c r="BF86" s="145" t="n">
        <v>75149</v>
      </c>
      <c r="BG86" s="145" t="n">
        <v>163425</v>
      </c>
      <c r="BH86" s="145" t="n">
        <v>247313</v>
      </c>
      <c r="BI86" s="145" t="n">
        <v>328515</v>
      </c>
      <c r="BJ86" s="145" t="n">
        <v>78678</v>
      </c>
      <c r="BK86" s="145" t="n">
        <v>179347</v>
      </c>
      <c r="BL86" s="145" t="n">
        <v>236609</v>
      </c>
      <c r="BM86" s="145" t="n">
        <v>385913</v>
      </c>
      <c r="BN86" s="145" t="n">
        <v>71512</v>
      </c>
      <c r="BO86" s="145" t="n">
        <v>147140</v>
      </c>
      <c r="BP86" s="145" t="n">
        <v>224336</v>
      </c>
      <c r="BQ86" s="145" t="n">
        <v>309725</v>
      </c>
      <c r="BR86" s="145" t="n">
        <v>78436</v>
      </c>
      <c r="BS86" t="n">
        <v>84146</v>
      </c>
      <c r="BT86" t="inlineStr">
        <is>
          <t>IPGP-Financial-Data-Workbook-2024-Q2.xlsx|Income Statement|18|93</t>
        </is>
      </c>
    </row>
    <row r="87">
      <c r="A87" s="22" t="inlineStr">
        <is>
          <t>Operating Income</t>
        </is>
      </c>
      <c r="B87" s="133" t="n"/>
      <c r="C87" s="133" t="n"/>
      <c r="D87" s="133" t="n"/>
      <c r="E87" s="133" t="n"/>
      <c r="F87" s="133" t="n"/>
      <c r="G87" s="133" t="n"/>
      <c r="H87" s="133" t="n"/>
      <c r="I87" s="133" t="n"/>
      <c r="J87" s="133" t="n"/>
      <c r="K87" s="133" t="n"/>
      <c r="L87" s="133" t="n"/>
      <c r="M87" s="133" t="n"/>
      <c r="N87" s="133" t="n">
        <v>5331</v>
      </c>
      <c r="O87" s="133" t="n">
        <v>21042</v>
      </c>
      <c r="P87" s="133" t="n">
        <v>41587</v>
      </c>
      <c r="Q87" s="133" t="n">
        <v>80401</v>
      </c>
      <c r="R87" s="133" t="n">
        <v>34098</v>
      </c>
      <c r="S87" s="133" t="n">
        <v>80220</v>
      </c>
      <c r="T87" s="133" t="n">
        <v>129452</v>
      </c>
      <c r="U87" s="133" t="n">
        <v>175522</v>
      </c>
      <c r="V87" s="133" t="n">
        <v>45177</v>
      </c>
      <c r="W87" s="133" t="n">
        <v>101622</v>
      </c>
      <c r="X87" s="133" t="n">
        <v>161629</v>
      </c>
      <c r="Y87" s="133" t="n">
        <v>208888</v>
      </c>
      <c r="Z87" s="133" t="n">
        <v>49646</v>
      </c>
      <c r="AA87" s="133" t="n">
        <v>109521</v>
      </c>
      <c r="AB87" s="133" t="n">
        <v>169294</v>
      </c>
      <c r="AC87" s="133" t="n">
        <v>218147</v>
      </c>
      <c r="AD87" s="133" t="n">
        <v>57789</v>
      </c>
      <c r="AE87" s="133" t="n">
        <v>126538</v>
      </c>
      <c r="AF87" s="133" t="n">
        <v>204127</v>
      </c>
      <c r="AG87" s="133" t="n">
        <v>283758</v>
      </c>
      <c r="AH87" s="133" t="n">
        <v>82022</v>
      </c>
      <c r="AI87" s="133" t="n">
        <v>169465</v>
      </c>
      <c r="AJ87" s="133" t="n">
        <v>259027</v>
      </c>
      <c r="AK87" s="133" t="n">
        <v>342043</v>
      </c>
      <c r="AL87" s="133" t="n">
        <v>70019</v>
      </c>
      <c r="AM87" s="133" t="n">
        <v>165027</v>
      </c>
      <c r="AN87" s="133" t="n">
        <v>259113</v>
      </c>
      <c r="AO87" s="133" t="n">
        <v>364313</v>
      </c>
      <c r="AP87" s="133" t="n">
        <v>101481</v>
      </c>
      <c r="AQ87" s="133" t="n">
        <v>242623</v>
      </c>
      <c r="AR87" s="133" t="n">
        <v>402845</v>
      </c>
      <c r="AS87" s="133" t="n">
        <v>551112</v>
      </c>
      <c r="AT87" s="133" t="n">
        <v>141100</v>
      </c>
      <c r="AU87" s="133" t="n">
        <v>303491</v>
      </c>
      <c r="AV87" s="133" t="n">
        <v>427353</v>
      </c>
      <c r="AW87" s="133" t="n">
        <v>523405</v>
      </c>
      <c r="AX87" s="133" t="n">
        <v>68315</v>
      </c>
      <c r="AY87" s="133" t="n">
        <v>159405</v>
      </c>
      <c r="AZ87" s="133" t="n">
        <v>233550</v>
      </c>
      <c r="BA87" s="133" t="n">
        <v>233793</v>
      </c>
      <c r="BB87" s="133" t="n">
        <v>44796</v>
      </c>
      <c r="BC87" s="133" t="n">
        <v>92005</v>
      </c>
      <c r="BD87" s="133" t="n">
        <v>133418</v>
      </c>
      <c r="BE87" s="133" t="n">
        <v>198659</v>
      </c>
      <c r="BF87" s="133" t="n">
        <v>88842</v>
      </c>
      <c r="BG87" s="133" t="n">
        <v>181094</v>
      </c>
      <c r="BH87" s="133" t="n">
        <v>283080</v>
      </c>
      <c r="BI87" s="133" t="n">
        <v>367883</v>
      </c>
      <c r="BJ87" s="133" t="n">
        <v>93143</v>
      </c>
      <c r="BK87" s="133" t="n">
        <v>164818</v>
      </c>
      <c r="BL87" s="133" t="n">
        <v>257980</v>
      </c>
      <c r="BM87" s="133" t="n">
        <v>169500</v>
      </c>
      <c r="BN87" s="133" t="n">
        <v>75426</v>
      </c>
      <c r="BO87" s="133" t="n">
        <v>147489</v>
      </c>
      <c r="BP87" s="133" t="n">
        <v>203195</v>
      </c>
      <c r="BQ87" s="133" t="n">
        <v>231973</v>
      </c>
      <c r="BR87" s="133" t="n">
        <v>19100</v>
      </c>
      <c r="BS87" t="n">
        <v>12040</v>
      </c>
      <c r="BT87" t="inlineStr">
        <is>
          <t>IPGP-Financial-Data-Workbook-2024-Q2.xlsx|Income Statement|20|93</t>
        </is>
      </c>
    </row>
    <row r="88">
      <c r="A88" s="33" t="inlineStr">
        <is>
          <t>Interest income (expense), net</t>
        </is>
      </c>
      <c r="B88" s="145" t="n"/>
      <c r="C88" s="145" t="n"/>
      <c r="D88" s="145" t="n"/>
      <c r="E88" s="145" t="n"/>
      <c r="F88" s="145" t="n"/>
      <c r="G88" s="145" t="n"/>
      <c r="H88" s="145" t="n"/>
      <c r="I88" s="145" t="n"/>
      <c r="J88" s="145" t="n"/>
      <c r="K88" s="145" t="n"/>
      <c r="L88" s="145" t="n"/>
      <c r="M88" s="145" t="n"/>
      <c r="N88" s="145" t="n">
        <v>-208</v>
      </c>
      <c r="O88" s="145" t="n">
        <v>-399</v>
      </c>
      <c r="P88" s="145" t="n">
        <v>-749</v>
      </c>
      <c r="Q88" s="145" t="n">
        <v>-1188</v>
      </c>
      <c r="R88" s="145" t="n">
        <v>-206</v>
      </c>
      <c r="S88" s="145" t="n">
        <v>-376</v>
      </c>
      <c r="T88" s="145" t="n">
        <v>-585</v>
      </c>
      <c r="U88" s="145" t="n">
        <v>-681</v>
      </c>
      <c r="V88" s="145" t="n">
        <v>-129</v>
      </c>
      <c r="W88" s="145" t="n">
        <v>486</v>
      </c>
      <c r="X88" s="145" t="n">
        <v>541</v>
      </c>
      <c r="Y88" s="145" t="n">
        <v>319</v>
      </c>
      <c r="Z88" s="145" t="n">
        <v>-53</v>
      </c>
      <c r="AA88" s="145" t="n">
        <v>-88</v>
      </c>
      <c r="AB88" s="145" t="n">
        <v>-25</v>
      </c>
      <c r="AC88" s="145" t="n">
        <v>-1</v>
      </c>
      <c r="AD88" s="145" t="n">
        <v>-139</v>
      </c>
      <c r="AE88" s="145" t="n">
        <v>-139</v>
      </c>
      <c r="AF88" s="145" t="n">
        <v>-143</v>
      </c>
      <c r="AG88" s="145" t="n">
        <v>-77</v>
      </c>
      <c r="AH88" s="145" t="n">
        <v>-184</v>
      </c>
      <c r="AI88" s="145" t="n">
        <v>-296</v>
      </c>
      <c r="AJ88" s="145" t="n">
        <v>-335</v>
      </c>
      <c r="AK88" s="145" t="n">
        <v>-301</v>
      </c>
      <c r="AL88" s="145" t="n">
        <v>192</v>
      </c>
      <c r="AM88" s="145" t="n">
        <v>462</v>
      </c>
      <c r="AN88" s="145" t="n">
        <v>835</v>
      </c>
      <c r="AO88" s="145" t="n">
        <v>1304</v>
      </c>
      <c r="AP88" s="145" t="n">
        <v>308</v>
      </c>
      <c r="AQ88" s="145" t="n">
        <v>776</v>
      </c>
      <c r="AR88" s="145" t="n">
        <v>651</v>
      </c>
      <c r="AS88" s="145" t="n">
        <v>737</v>
      </c>
      <c r="AT88" s="145" t="n">
        <v>311</v>
      </c>
      <c r="AU88" s="145" t="n">
        <v>1040</v>
      </c>
      <c r="AV88" s="145" t="n">
        <v>4925</v>
      </c>
      <c r="AW88" s="145" t="n">
        <v>9057</v>
      </c>
      <c r="AX88" s="145" t="n">
        <v>3952</v>
      </c>
      <c r="AY88" s="145" t="n">
        <v>8003</v>
      </c>
      <c r="AZ88" s="145" t="n">
        <v>11737</v>
      </c>
      <c r="BA88" s="145" t="n">
        <v>14238</v>
      </c>
      <c r="BB88" s="145" t="n">
        <v>3073</v>
      </c>
      <c r="BC88" s="145" t="n">
        <v>4929</v>
      </c>
      <c r="BD88" s="145" t="n">
        <v>6097</v>
      </c>
      <c r="BE88" s="145" t="n">
        <v>6270</v>
      </c>
      <c r="BF88" s="145" t="n">
        <v>-495</v>
      </c>
      <c r="BG88" s="145" t="n">
        <v>-902</v>
      </c>
      <c r="BH88" s="145" t="n">
        <v>-1190</v>
      </c>
      <c r="BI88" s="145" t="n">
        <v>-1839</v>
      </c>
      <c r="BJ88" s="145" t="n">
        <v>-70</v>
      </c>
      <c r="BK88" s="145" t="n">
        <v>1107</v>
      </c>
      <c r="BL88" s="145" t="n">
        <v>4732</v>
      </c>
      <c r="BM88" s="145" t="n">
        <v>12620</v>
      </c>
      <c r="BN88" s="145" t="n">
        <v>7533</v>
      </c>
      <c r="BO88" s="145" t="n">
        <v>16797</v>
      </c>
      <c r="BP88" s="145" t="n">
        <v>28366</v>
      </c>
      <c r="BQ88" s="145" t="n">
        <v>41735</v>
      </c>
      <c r="BR88" s="145" t="n">
        <v>14177</v>
      </c>
      <c r="BS88" t="n">
        <v>12778</v>
      </c>
      <c r="BT88" t="inlineStr">
        <is>
          <t>IPGP-Financial-Data-Workbook-2024-Q2.xlsx|Income Statement|23|93</t>
        </is>
      </c>
    </row>
    <row r="89">
      <c r="A89" s="33" t="inlineStr">
        <is>
          <t>Other income (expense), net</t>
        </is>
      </c>
      <c r="B89" s="145" t="n"/>
      <c r="C89" s="145" t="n"/>
      <c r="D89" s="145" t="n"/>
      <c r="E89" s="145" t="n"/>
      <c r="F89" s="145" t="n"/>
      <c r="G89" s="145" t="n"/>
      <c r="H89" s="145" t="n"/>
      <c r="I89" s="145" t="n"/>
      <c r="J89" s="145" t="n"/>
      <c r="K89" s="145" t="n"/>
      <c r="L89" s="145" t="n"/>
      <c r="M89" s="145" t="n"/>
      <c r="N89" s="145" t="n">
        <v>-66</v>
      </c>
      <c r="O89" s="145" t="n">
        <v>-92</v>
      </c>
      <c r="P89" s="145" t="n">
        <v>-414</v>
      </c>
      <c r="Q89" s="145" t="n">
        <v>39</v>
      </c>
      <c r="R89" s="145" t="n">
        <v>8</v>
      </c>
      <c r="S89" s="145" t="n">
        <v>-610</v>
      </c>
      <c r="T89" s="145" t="n">
        <v>-465</v>
      </c>
      <c r="U89" s="145" t="n">
        <v>-257</v>
      </c>
      <c r="V89" s="145" t="n">
        <v>-1094</v>
      </c>
      <c r="W89" s="145" t="n">
        <v>-1186</v>
      </c>
      <c r="X89" s="145" t="n">
        <v>-981</v>
      </c>
      <c r="Y89" s="145" t="n">
        <v>8</v>
      </c>
      <c r="Z89" s="145" t="n">
        <v>70</v>
      </c>
      <c r="AA89" s="145" t="n">
        <v>-169</v>
      </c>
      <c r="AB89" s="145" t="n">
        <v>49</v>
      </c>
      <c r="AC89" s="145" t="n">
        <v>155</v>
      </c>
      <c r="AD89" s="145" t="n">
        <v>334</v>
      </c>
      <c r="AE89" s="145" t="n">
        <v>573</v>
      </c>
      <c r="AF89" s="145" t="n">
        <v>735</v>
      </c>
      <c r="AG89" s="145" t="n">
        <v>793</v>
      </c>
      <c r="AH89" s="145" t="n">
        <v>85</v>
      </c>
      <c r="AI89" s="145" t="n">
        <v>246</v>
      </c>
      <c r="AJ89" s="145" t="n">
        <v>378</v>
      </c>
      <c r="AK89" s="145" t="n">
        <v>-125</v>
      </c>
      <c r="AL89" s="145" t="n">
        <v>7</v>
      </c>
      <c r="AM89" s="145" t="n">
        <v>148</v>
      </c>
      <c r="AN89" s="145" t="n">
        <v>342</v>
      </c>
      <c r="AO89" s="145" t="n">
        <v>948</v>
      </c>
      <c r="AP89" s="145" t="n">
        <v>-529</v>
      </c>
      <c r="AQ89" s="145" t="n">
        <v>-506</v>
      </c>
      <c r="AR89" s="145" t="n">
        <v>-47</v>
      </c>
      <c r="AS89" s="145" t="n">
        <v>22</v>
      </c>
      <c r="AT89" s="145" t="n">
        <v>443</v>
      </c>
      <c r="AU89" s="145" t="n">
        <v>829</v>
      </c>
      <c r="AV89" s="145" t="n">
        <v>1252</v>
      </c>
      <c r="AW89" s="145" t="n">
        <v>1933</v>
      </c>
      <c r="AX89" s="145" t="n">
        <v>-9</v>
      </c>
      <c r="AY89" s="145" t="n">
        <v>649</v>
      </c>
      <c r="AZ89" s="145" t="n">
        <v>129</v>
      </c>
      <c r="BA89" s="145" t="n">
        <v>345</v>
      </c>
      <c r="BB89" s="145" t="n">
        <v>191</v>
      </c>
      <c r="BC89" s="145" t="n">
        <v>640</v>
      </c>
      <c r="BD89" s="145" t="n">
        <v>581</v>
      </c>
      <c r="BE89" s="145" t="n">
        <v>763</v>
      </c>
      <c r="BF89" s="145" t="n">
        <v>253</v>
      </c>
      <c r="BG89" s="145" t="n">
        <v>281</v>
      </c>
      <c r="BH89" s="145" t="n">
        <v>70</v>
      </c>
      <c r="BI89" s="145" t="n">
        <v>437</v>
      </c>
      <c r="BJ89" s="145" t="n">
        <v>-236</v>
      </c>
      <c r="BK89" s="145" t="n">
        <v>382</v>
      </c>
      <c r="BL89" s="145" t="n">
        <v>683</v>
      </c>
      <c r="BM89" s="145" t="n">
        <v>1231</v>
      </c>
      <c r="BN89" s="145" t="n">
        <v>331</v>
      </c>
      <c r="BO89" s="145" t="n">
        <v>616</v>
      </c>
      <c r="BP89" s="145" t="n">
        <v>1161</v>
      </c>
      <c r="BQ89" s="145" t="n">
        <v>1167</v>
      </c>
      <c r="BR89" s="145" t="n">
        <v>325</v>
      </c>
      <c r="BS89" t="n">
        <v>194</v>
      </c>
      <c r="BT89" t="inlineStr">
        <is>
          <t>IPGP-Financial-Data-Workbook-2024-Q2.xlsx|Income Statement|24|93</t>
        </is>
      </c>
    </row>
    <row r="90">
      <c r="A90" s="74" t="inlineStr">
        <is>
          <t>Total other income (expense), net</t>
        </is>
      </c>
      <c r="B90" s="145" t="n"/>
      <c r="C90" s="145" t="n"/>
      <c r="D90" s="145" t="n"/>
      <c r="E90" s="145" t="n"/>
      <c r="F90" s="145" t="n"/>
      <c r="G90" s="145" t="n"/>
      <c r="H90" s="145" t="n"/>
      <c r="I90" s="145" t="n"/>
      <c r="J90" s="145" t="n"/>
      <c r="K90" s="145" t="n"/>
      <c r="L90" s="145" t="n"/>
      <c r="M90" s="145" t="n"/>
      <c r="N90" s="145" t="n">
        <v>-274</v>
      </c>
      <c r="O90" s="145" t="n">
        <v>-491</v>
      </c>
      <c r="P90" s="145" t="n">
        <v>-1163</v>
      </c>
      <c r="Q90" s="145" t="n">
        <v>-1149</v>
      </c>
      <c r="R90" s="145" t="n">
        <v>-198</v>
      </c>
      <c r="S90" s="145" t="n">
        <v>-986</v>
      </c>
      <c r="T90" s="145" t="n">
        <v>-1050</v>
      </c>
      <c r="U90" s="145" t="n">
        <v>-938</v>
      </c>
      <c r="V90" s="145" t="n">
        <v>-1223</v>
      </c>
      <c r="W90" s="145" t="n">
        <v>-700</v>
      </c>
      <c r="X90" s="145" t="n">
        <v>-440</v>
      </c>
      <c r="Y90" s="145" t="n">
        <v>327</v>
      </c>
      <c r="Z90" s="145" t="n">
        <v>17</v>
      </c>
      <c r="AA90" s="145" t="n">
        <v>-257</v>
      </c>
      <c r="AB90" s="145" t="n">
        <v>24</v>
      </c>
      <c r="AC90" s="145" t="n">
        <v>154</v>
      </c>
      <c r="AD90" s="145" t="n">
        <v>195</v>
      </c>
      <c r="AE90" s="145" t="n">
        <v>434</v>
      </c>
      <c r="AF90" s="145" t="n">
        <v>592</v>
      </c>
      <c r="AG90" s="145" t="n">
        <v>716</v>
      </c>
      <c r="AH90" s="145" t="n">
        <v>-99</v>
      </c>
      <c r="AI90" s="145" t="n">
        <v>-50</v>
      </c>
      <c r="AJ90" s="145" t="n">
        <v>43</v>
      </c>
      <c r="AK90" s="145" t="n">
        <v>-426</v>
      </c>
      <c r="AL90" s="145" t="n">
        <v>199</v>
      </c>
      <c r="AM90" s="145" t="n">
        <v>610</v>
      </c>
      <c r="AN90" s="145" t="n">
        <v>1177</v>
      </c>
      <c r="AO90" s="145" t="n">
        <v>2252</v>
      </c>
      <c r="AP90" s="145" t="n">
        <v>-221</v>
      </c>
      <c r="AQ90" s="145" t="n">
        <v>270</v>
      </c>
      <c r="AR90" s="145" t="n">
        <v>604</v>
      </c>
      <c r="AS90" s="145" t="n">
        <v>759</v>
      </c>
      <c r="AT90" s="145" t="n">
        <v>754</v>
      </c>
      <c r="AU90" s="145" t="n">
        <v>1869</v>
      </c>
      <c r="AV90" s="145" t="n">
        <v>6177</v>
      </c>
      <c r="AW90" s="145" t="n">
        <v>10990</v>
      </c>
      <c r="AX90" s="145" t="n">
        <v>3943</v>
      </c>
      <c r="AY90" s="145" t="n">
        <v>8652</v>
      </c>
      <c r="AZ90" s="145" t="n">
        <v>11866</v>
      </c>
      <c r="BA90" s="145" t="n">
        <v>14583</v>
      </c>
      <c r="BB90" s="145" t="n">
        <v>3264</v>
      </c>
      <c r="BC90" s="145" t="n">
        <v>5569</v>
      </c>
      <c r="BD90" s="145" t="n">
        <v>6678</v>
      </c>
      <c r="BE90" s="145" t="n">
        <v>7033</v>
      </c>
      <c r="BF90" s="145" t="n">
        <v>-242</v>
      </c>
      <c r="BG90" s="145" t="n">
        <v>-621</v>
      </c>
      <c r="BH90" s="145" t="n">
        <v>-1120</v>
      </c>
      <c r="BI90" s="145" t="n">
        <v>-1402</v>
      </c>
      <c r="BJ90" s="145" t="n">
        <v>-306</v>
      </c>
      <c r="BK90" s="145" t="n">
        <v>1489</v>
      </c>
      <c r="BL90" s="145" t="n">
        <v>5415</v>
      </c>
      <c r="BM90" s="145" t="n">
        <v>13851</v>
      </c>
      <c r="BN90" s="145" t="n">
        <v>7864</v>
      </c>
      <c r="BO90" s="145" t="n">
        <v>17413</v>
      </c>
      <c r="BP90" s="145" t="n">
        <v>29527</v>
      </c>
      <c r="BQ90" s="145" t="n">
        <v>42902</v>
      </c>
      <c r="BR90" s="145" t="n">
        <v>14502</v>
      </c>
      <c r="BS90" t="n">
        <v>12972</v>
      </c>
      <c r="BT90" t="inlineStr">
        <is>
          <t>IPGP-Financial-Data-Workbook-2024-Q2.xlsx|Income Statement|25|93</t>
        </is>
      </c>
    </row>
    <row r="91">
      <c r="A91" s="40" t="inlineStr">
        <is>
          <t>Income before provision for income taxes</t>
        </is>
      </c>
      <c r="B91" s="133" t="n"/>
      <c r="C91" s="133" t="n"/>
      <c r="D91" s="133" t="n"/>
      <c r="E91" s="133" t="n"/>
      <c r="F91" s="133" t="n"/>
      <c r="G91" s="133" t="n"/>
      <c r="H91" s="133" t="n"/>
      <c r="I91" s="133" t="n"/>
      <c r="J91" s="133" t="n"/>
      <c r="K91" s="133" t="n"/>
      <c r="L91" s="133" t="n"/>
      <c r="M91" s="133" t="n"/>
      <c r="N91" s="133" t="n">
        <v>5057</v>
      </c>
      <c r="O91" s="133" t="n">
        <v>20551</v>
      </c>
      <c r="P91" s="133" t="n">
        <v>40424</v>
      </c>
      <c r="Q91" s="133" t="n">
        <v>79252</v>
      </c>
      <c r="R91" s="133" t="n">
        <v>33900</v>
      </c>
      <c r="S91" s="133" t="n">
        <v>79234</v>
      </c>
      <c r="T91" s="133" t="n">
        <v>128402</v>
      </c>
      <c r="U91" s="133" t="n">
        <v>174584</v>
      </c>
      <c r="V91" s="133" t="n">
        <v>43954</v>
      </c>
      <c r="W91" s="133" t="n">
        <v>100922</v>
      </c>
      <c r="X91" s="133" t="n">
        <v>161189</v>
      </c>
      <c r="Y91" s="133" t="n">
        <v>209215</v>
      </c>
      <c r="Z91" s="133" t="n">
        <v>49663</v>
      </c>
      <c r="AA91" s="133" t="n">
        <v>109264</v>
      </c>
      <c r="AB91" s="133" t="n">
        <v>169318</v>
      </c>
      <c r="AC91" s="133" t="n">
        <v>218301</v>
      </c>
      <c r="AD91" s="133" t="n">
        <v>57984</v>
      </c>
      <c r="AE91" s="133" t="n">
        <v>126972</v>
      </c>
      <c r="AF91" s="133" t="n">
        <v>204719</v>
      </c>
      <c r="AG91" s="133" t="n">
        <v>284474</v>
      </c>
      <c r="AH91" s="133" t="n">
        <v>81923</v>
      </c>
      <c r="AI91" s="133" t="n">
        <v>169415</v>
      </c>
      <c r="AJ91" s="133" t="n">
        <v>259070</v>
      </c>
      <c r="AK91" s="133" t="n">
        <v>341617</v>
      </c>
      <c r="AL91" s="133" t="n">
        <v>70218</v>
      </c>
      <c r="AM91" s="133" t="n">
        <v>165637</v>
      </c>
      <c r="AN91" s="133" t="n">
        <v>260290</v>
      </c>
      <c r="AO91" s="133" t="n">
        <v>366565</v>
      </c>
      <c r="AP91" s="133" t="n">
        <v>101260</v>
      </c>
      <c r="AQ91" s="133" t="n">
        <v>242893</v>
      </c>
      <c r="AR91" s="133" t="n">
        <v>403449</v>
      </c>
      <c r="AS91" s="133" t="n">
        <v>551871</v>
      </c>
      <c r="AT91" s="133" t="n">
        <v>141854</v>
      </c>
      <c r="AU91" s="133" t="n">
        <v>305360</v>
      </c>
      <c r="AV91" s="133" t="n">
        <v>433530</v>
      </c>
      <c r="AW91" s="133" t="n">
        <v>534395</v>
      </c>
      <c r="AX91" s="133" t="n">
        <v>72258</v>
      </c>
      <c r="AY91" s="133" t="n">
        <v>168057</v>
      </c>
      <c r="AZ91" s="133" t="n">
        <v>245416</v>
      </c>
      <c r="BA91" s="133" t="n">
        <v>248376</v>
      </c>
      <c r="BB91" s="133" t="n">
        <v>48060</v>
      </c>
      <c r="BC91" s="133" t="n">
        <v>97574</v>
      </c>
      <c r="BD91" s="133" t="n">
        <v>140096</v>
      </c>
      <c r="BE91" s="133" t="n">
        <v>205692</v>
      </c>
      <c r="BF91" s="133" t="n">
        <v>88600</v>
      </c>
      <c r="BG91" s="133" t="n">
        <v>180473</v>
      </c>
      <c r="BH91" s="133" t="n">
        <v>281960</v>
      </c>
      <c r="BI91" s="133" t="n">
        <v>366481</v>
      </c>
      <c r="BJ91" s="133" t="n">
        <v>92837</v>
      </c>
      <c r="BK91" s="133" t="n">
        <v>166307</v>
      </c>
      <c r="BL91" s="133" t="n">
        <v>263395</v>
      </c>
      <c r="BM91" s="133" t="n">
        <v>183351</v>
      </c>
      <c r="BN91" s="133" t="n">
        <v>83290</v>
      </c>
      <c r="BO91" s="133" t="n">
        <v>164902</v>
      </c>
      <c r="BP91" s="133" t="n">
        <v>232722</v>
      </c>
      <c r="BQ91" s="133" t="n">
        <v>274875</v>
      </c>
      <c r="BR91" s="133" t="n">
        <v>33602</v>
      </c>
      <c r="BS91" t="n">
        <v>25012</v>
      </c>
      <c r="BT91" t="inlineStr">
        <is>
          <t>IPGP-Financial-Data-Workbook-2024-Q2.xlsx|Income Statement|27|93</t>
        </is>
      </c>
    </row>
    <row r="92">
      <c r="A92" s="74" t="inlineStr">
        <is>
          <t>Provision for income taxes</t>
        </is>
      </c>
      <c r="B92" s="145" t="n"/>
      <c r="C92" s="145" t="n"/>
      <c r="D92" s="145" t="n"/>
      <c r="E92" s="145" t="n"/>
      <c r="F92" s="145" t="n"/>
      <c r="G92" s="145" t="n"/>
      <c r="H92" s="145" t="n"/>
      <c r="I92" s="145" t="n"/>
      <c r="J92" s="145" t="n"/>
      <c r="K92" s="145" t="n"/>
      <c r="L92" s="145" t="n"/>
      <c r="M92" s="145" t="n"/>
      <c r="N92" s="145" t="n">
        <v>-1633</v>
      </c>
      <c r="O92" s="145" t="n">
        <v>-6782</v>
      </c>
      <c r="P92" s="145" t="n">
        <v>-13340</v>
      </c>
      <c r="Q92" s="145" t="n">
        <v>-24900</v>
      </c>
      <c r="R92" s="145" t="n">
        <v>-10522</v>
      </c>
      <c r="S92" s="145" t="n">
        <v>-24349</v>
      </c>
      <c r="T92" s="145" t="n">
        <v>-39248</v>
      </c>
      <c r="U92" s="145" t="n">
        <v>-53575</v>
      </c>
      <c r="V92" s="145" t="n">
        <v>-13406</v>
      </c>
      <c r="W92" s="145" t="n">
        <v>-30525</v>
      </c>
      <c r="X92" s="145" t="n">
        <v>-48357</v>
      </c>
      <c r="Y92" s="145" t="n">
        <v>-61471</v>
      </c>
      <c r="Z92" s="145" t="n">
        <v>-14536</v>
      </c>
      <c r="AA92" s="145" t="n">
        <v>-32417</v>
      </c>
      <c r="AB92" s="145" t="n">
        <v>-50133</v>
      </c>
      <c r="AC92" s="145" t="n">
        <v>-62521</v>
      </c>
      <c r="AD92" s="145" t="n">
        <v>-17453</v>
      </c>
      <c r="AE92" s="145" t="n">
        <v>-38158</v>
      </c>
      <c r="AF92" s="145" t="n">
        <v>-60705</v>
      </c>
      <c r="AG92" s="145" t="n">
        <v>-84029</v>
      </c>
      <c r="AH92" s="145" t="n">
        <v>-24577</v>
      </c>
      <c r="AI92" s="145" t="n">
        <v>-50825</v>
      </c>
      <c r="AJ92" s="145" t="n">
        <v>-77721</v>
      </c>
      <c r="AK92" s="145" t="n">
        <v>-99590</v>
      </c>
      <c r="AL92" s="145" t="n">
        <v>-20890</v>
      </c>
      <c r="AM92" s="145" t="n">
        <v>-49277</v>
      </c>
      <c r="AN92" s="145" t="n">
        <v>-74703</v>
      </c>
      <c r="AO92" s="145" t="n">
        <v>-105849</v>
      </c>
      <c r="AP92" s="145" t="n">
        <v>-26328</v>
      </c>
      <c r="AQ92" s="145" t="n">
        <v>-63858</v>
      </c>
      <c r="AR92" s="145" t="n">
        <v>-108817</v>
      </c>
      <c r="AS92" s="145" t="n">
        <v>-204283</v>
      </c>
      <c r="AT92" s="145" t="n">
        <v>-35520</v>
      </c>
      <c r="AU92" s="145" t="n">
        <v>-77409</v>
      </c>
      <c r="AV92" s="145" t="n">
        <v>-104827</v>
      </c>
      <c r="AW92" s="145" t="n">
        <v>-130226</v>
      </c>
      <c r="AX92" s="145" t="n">
        <v>-17342</v>
      </c>
      <c r="AY92" s="145" t="n">
        <v>-40620</v>
      </c>
      <c r="AZ92" s="145" t="n">
        <v>-60852</v>
      </c>
      <c r="BA92" s="145" t="n">
        <v>-68115</v>
      </c>
      <c r="BB92" s="145">
        <f>-11294</f>
        <v/>
      </c>
      <c r="BC92" s="145" t="n">
        <v>-22442</v>
      </c>
      <c r="BD92" s="145" t="n">
        <v>-29434</v>
      </c>
      <c r="BE92" s="145" t="n">
        <v>-45354</v>
      </c>
      <c r="BF92" s="145" t="n">
        <v>-20378</v>
      </c>
      <c r="BG92" s="145" t="n">
        <v>-42574</v>
      </c>
      <c r="BH92" s="145" t="n">
        <v>-69362</v>
      </c>
      <c r="BI92" s="145" t="n">
        <v>-88615</v>
      </c>
      <c r="BJ92" s="145" t="n">
        <v>-23209</v>
      </c>
      <c r="BK92" s="145" t="n">
        <v>-39348</v>
      </c>
      <c r="BL92" s="145" t="n">
        <v>-59738</v>
      </c>
      <c r="BM92" s="145" t="n">
        <v>-72589</v>
      </c>
      <c r="BN92" s="145" t="n">
        <v>-23155</v>
      </c>
      <c r="BO92" s="145" t="n">
        <v>-42446</v>
      </c>
      <c r="BP92" s="145" t="n">
        <v>-55272</v>
      </c>
      <c r="BQ92" s="145" t="n">
        <v>-55997</v>
      </c>
      <c r="BR92" s="145" t="n">
        <v>-9503</v>
      </c>
      <c r="BS92" t="n">
        <v>4858</v>
      </c>
      <c r="BT92" t="inlineStr">
        <is>
          <t>IPGP-Financial-Data-Workbook-2024-Q2.xlsx|Income Statement|28|93</t>
        </is>
      </c>
    </row>
    <row r="93">
      <c r="A93" s="40" t="inlineStr">
        <is>
          <t>Net income</t>
        </is>
      </c>
      <c r="B93" s="133" t="n"/>
      <c r="C93" s="133" t="n"/>
      <c r="D93" s="133" t="n"/>
      <c r="E93" s="133" t="n"/>
      <c r="F93" s="133" t="n"/>
      <c r="G93" s="133" t="n"/>
      <c r="H93" s="133" t="n"/>
      <c r="I93" s="133" t="n"/>
      <c r="J93" s="133" t="n"/>
      <c r="K93" s="133" t="n"/>
      <c r="L93" s="133" t="n"/>
      <c r="M93" s="133" t="n"/>
      <c r="N93" s="133" t="n">
        <v>3424</v>
      </c>
      <c r="O93" s="133" t="n">
        <v>13769</v>
      </c>
      <c r="P93" s="133" t="n">
        <v>27084</v>
      </c>
      <c r="Q93" s="133" t="n">
        <v>54352</v>
      </c>
      <c r="R93" s="133" t="n">
        <v>23378</v>
      </c>
      <c r="S93" s="133" t="n">
        <v>54885</v>
      </c>
      <c r="T93" s="133" t="n">
        <v>89154</v>
      </c>
      <c r="U93" s="133" t="n">
        <v>121009</v>
      </c>
      <c r="V93" s="133" t="n">
        <v>30548</v>
      </c>
      <c r="W93" s="133" t="n">
        <v>70397</v>
      </c>
      <c r="X93" s="133" t="n">
        <v>112832</v>
      </c>
      <c r="Y93" s="133" t="n">
        <v>147744</v>
      </c>
      <c r="Z93" s="133" t="n">
        <v>35127</v>
      </c>
      <c r="AA93" s="133" t="n">
        <v>76847</v>
      </c>
      <c r="AB93" s="133" t="n">
        <v>119185</v>
      </c>
      <c r="AC93" s="133" t="n">
        <v>155780</v>
      </c>
      <c r="AD93" s="133" t="n">
        <v>40531</v>
      </c>
      <c r="AE93" s="133" t="n">
        <v>88814</v>
      </c>
      <c r="AF93" s="133" t="n">
        <v>144014</v>
      </c>
      <c r="AG93" s="133" t="n">
        <v>200445</v>
      </c>
      <c r="AH93" s="133" t="n">
        <v>57346</v>
      </c>
      <c r="AI93" s="133" t="n">
        <v>118590</v>
      </c>
      <c r="AJ93" s="133" t="n">
        <v>181349</v>
      </c>
      <c r="AK93" s="133" t="n">
        <v>242027</v>
      </c>
      <c r="AL93" s="133" t="n">
        <v>49328</v>
      </c>
      <c r="AM93" s="133" t="n">
        <v>116360</v>
      </c>
      <c r="AN93" s="133" t="n">
        <v>185587</v>
      </c>
      <c r="AO93" s="133" t="n">
        <v>260716</v>
      </c>
      <c r="AP93" s="133" t="n">
        <v>74932</v>
      </c>
      <c r="AQ93" s="133" t="n">
        <v>179035</v>
      </c>
      <c r="AR93" s="133" t="n">
        <v>294632</v>
      </c>
      <c r="AS93" s="133" t="n">
        <v>347588</v>
      </c>
      <c r="AT93" s="133" t="n">
        <v>106334</v>
      </c>
      <c r="AU93" s="133" t="n">
        <v>227951</v>
      </c>
      <c r="AV93" s="133" t="n">
        <v>328703</v>
      </c>
      <c r="AW93" s="133" t="n">
        <v>404169</v>
      </c>
      <c r="AX93" s="133" t="n">
        <v>54916</v>
      </c>
      <c r="AY93" s="133" t="n">
        <v>127437</v>
      </c>
      <c r="AZ93" s="133" t="n">
        <v>184564</v>
      </c>
      <c r="BA93" s="133" t="n">
        <v>180261</v>
      </c>
      <c r="BB93" s="133" t="n">
        <v>36766</v>
      </c>
      <c r="BC93" s="133" t="n">
        <v>75132</v>
      </c>
      <c r="BD93" s="133" t="n">
        <v>110662</v>
      </c>
      <c r="BE93" s="133" t="n">
        <v>160338</v>
      </c>
      <c r="BF93" s="133" t="n">
        <v>68222</v>
      </c>
      <c r="BG93" s="133" t="n">
        <v>137899</v>
      </c>
      <c r="BH93" s="133" t="n">
        <v>212598</v>
      </c>
      <c r="BI93" s="133" t="n">
        <v>277866</v>
      </c>
      <c r="BJ93" s="133" t="n">
        <v>69628</v>
      </c>
      <c r="BK93" s="133" t="n">
        <v>126959</v>
      </c>
      <c r="BL93" s="133" t="n">
        <v>203657</v>
      </c>
      <c r="BM93" s="133" t="n">
        <v>110762</v>
      </c>
      <c r="BN93" s="133" t="n">
        <v>60135</v>
      </c>
      <c r="BO93" s="133" t="n">
        <v>122456</v>
      </c>
      <c r="BP93" s="133" t="n">
        <v>177450</v>
      </c>
      <c r="BQ93" s="133" t="n">
        <v>218878</v>
      </c>
      <c r="BR93" s="133" t="n">
        <v>24099</v>
      </c>
      <c r="BS93" t="n">
        <v>20154</v>
      </c>
      <c r="BT93" t="inlineStr">
        <is>
          <t>IPGP-Financial-Data-Workbook-2024-Q2.xlsx|Income Statement|30|93</t>
        </is>
      </c>
    </row>
    <row r="94">
      <c r="A94" s="74" t="inlineStr">
        <is>
          <t>Less: Net loss attributable to noncontrolling interests</t>
        </is>
      </c>
      <c r="B94" s="145" t="n"/>
      <c r="C94" s="145" t="n"/>
      <c r="D94" s="145" t="n"/>
      <c r="E94" s="145" t="n"/>
      <c r="F94" s="145" t="n"/>
      <c r="G94" s="145" t="n"/>
      <c r="H94" s="145" t="n"/>
      <c r="I94" s="145" t="n"/>
      <c r="J94" s="145" t="n"/>
      <c r="K94" s="145" t="n"/>
      <c r="L94" s="145" t="n"/>
      <c r="M94" s="145" t="n"/>
      <c r="N94" s="145" t="n">
        <v>27</v>
      </c>
      <c r="O94" s="145" t="n">
        <v>66</v>
      </c>
      <c r="P94" s="145" t="n">
        <v>155</v>
      </c>
      <c r="Q94" s="145" t="n">
        <v>361</v>
      </c>
      <c r="R94" s="145" t="n">
        <v>310</v>
      </c>
      <c r="S94" s="145" t="n">
        <v>1081</v>
      </c>
      <c r="T94" s="145" t="n">
        <v>2481</v>
      </c>
      <c r="U94" s="145" t="n">
        <v>3250</v>
      </c>
      <c r="V94" s="145" t="n">
        <v>633</v>
      </c>
      <c r="W94" s="145" t="n">
        <v>2740</v>
      </c>
      <c r="X94" s="145" t="n">
        <v>2740</v>
      </c>
      <c r="Y94" s="145" t="n">
        <v>2740</v>
      </c>
      <c r="Z94" s="145" t="n">
        <v>0</v>
      </c>
      <c r="AA94" s="145" t="n">
        <v>0</v>
      </c>
      <c r="AB94" s="145" t="n">
        <v>0</v>
      </c>
      <c r="AC94" s="145" t="n">
        <v>0</v>
      </c>
      <c r="AD94" s="145" t="n">
        <v>0</v>
      </c>
      <c r="AE94" s="145" t="n">
        <v>0</v>
      </c>
      <c r="AF94" s="145" t="n">
        <v>0</v>
      </c>
      <c r="AG94" s="145" t="n">
        <v>0</v>
      </c>
      <c r="AH94" s="145" t="n">
        <v>-13</v>
      </c>
      <c r="AI94" s="145" t="n">
        <v>-68</v>
      </c>
      <c r="AJ94" s="145" t="n">
        <v>-101</v>
      </c>
      <c r="AK94" s="145" t="n">
        <v>-127</v>
      </c>
      <c r="AL94" s="145" t="n">
        <v>2</v>
      </c>
      <c r="AM94" s="145" t="n">
        <v>-25</v>
      </c>
      <c r="AN94" s="145" t="n">
        <v>-33</v>
      </c>
      <c r="AO94" s="145" t="n">
        <v>-36</v>
      </c>
      <c r="AP94" s="145" t="n">
        <v>-13</v>
      </c>
      <c r="AQ94" s="145" t="n">
        <v>-26</v>
      </c>
      <c r="AR94" s="145" t="n">
        <v>-26</v>
      </c>
      <c r="AS94" s="145" t="n">
        <v>-26</v>
      </c>
      <c r="AT94" s="145" t="n">
        <v>0</v>
      </c>
      <c r="AU94" s="145" t="n">
        <v>0</v>
      </c>
      <c r="AV94" s="145" t="n">
        <v>235</v>
      </c>
      <c r="AW94" s="145" t="n">
        <v>142</v>
      </c>
      <c r="AX94" s="145" t="n">
        <v>-243</v>
      </c>
      <c r="AY94" s="145" t="n">
        <v>6</v>
      </c>
      <c r="AZ94" s="145" t="n">
        <v>-120</v>
      </c>
      <c r="BA94" s="145" t="n">
        <v>27</v>
      </c>
      <c r="BB94" s="145" t="n">
        <v>363</v>
      </c>
      <c r="BC94" s="145" t="n">
        <v>503</v>
      </c>
      <c r="BD94" s="145" t="n">
        <v>429</v>
      </c>
      <c r="BE94" s="145" t="n">
        <v>766</v>
      </c>
      <c r="BF94" s="145" t="n">
        <v>95</v>
      </c>
      <c r="BG94" s="145" t="n">
        <v>-28</v>
      </c>
      <c r="BH94" s="145" t="n">
        <v>-731</v>
      </c>
      <c r="BI94" s="145" t="n">
        <v>-550</v>
      </c>
      <c r="BJ94" s="145" t="n">
        <v>56</v>
      </c>
      <c r="BK94" s="145" t="n">
        <v>419</v>
      </c>
      <c r="BL94" s="145" t="n">
        <v>853</v>
      </c>
      <c r="BM94" s="145" t="n">
        <v>853</v>
      </c>
      <c r="BN94" s="145" t="n">
        <v>0</v>
      </c>
      <c r="BO94" s="145" t="n"/>
      <c r="BP94" s="145" t="n">
        <v>0</v>
      </c>
      <c r="BQ94" s="145" t="n"/>
      <c r="BR94" s="145" t="n"/>
    </row>
    <row r="95">
      <c r="A95" s="22" t="inlineStr">
        <is>
          <t>Net income attributable to IPG Photonics Corporation</t>
        </is>
      </c>
      <c r="B95" s="133" t="n"/>
      <c r="C95" s="133" t="n"/>
      <c r="D95" s="133" t="n"/>
      <c r="E95" s="133" t="n"/>
      <c r="F95" s="133" t="n"/>
      <c r="G95" s="133" t="n"/>
      <c r="H95" s="133" t="n"/>
      <c r="I95" s="133" t="n"/>
      <c r="J95" s="133" t="n"/>
      <c r="K95" s="133" t="n"/>
      <c r="L95" s="133" t="n"/>
      <c r="M95" s="133" t="n"/>
      <c r="N95" s="133" t="n">
        <v>3397</v>
      </c>
      <c r="O95" s="133" t="n">
        <v>13703</v>
      </c>
      <c r="P95" s="133" t="n">
        <v>26929</v>
      </c>
      <c r="Q95" s="133" t="n">
        <v>53991</v>
      </c>
      <c r="R95" s="133" t="n">
        <v>23068</v>
      </c>
      <c r="S95" s="133" t="n">
        <v>53804</v>
      </c>
      <c r="T95" s="133" t="n">
        <v>86673</v>
      </c>
      <c r="U95" s="133" t="n">
        <v>117759</v>
      </c>
      <c r="V95" s="133" t="n">
        <v>29915</v>
      </c>
      <c r="W95" s="133" t="n">
        <v>67657</v>
      </c>
      <c r="X95" s="133" t="n">
        <v>110092</v>
      </c>
      <c r="Y95" s="133" t="n">
        <v>145004</v>
      </c>
      <c r="Z95" s="147">
        <f>Z93-Z94</f>
        <v/>
      </c>
      <c r="AA95" s="147">
        <f>AA93-AA94</f>
        <v/>
      </c>
      <c r="AB95" s="147">
        <f>AB93-AB94</f>
        <v/>
      </c>
      <c r="AC95" s="133" t="n">
        <v>155780</v>
      </c>
      <c r="AD95" s="133" t="n">
        <v>40531</v>
      </c>
      <c r="AE95" s="133" t="n">
        <v>88814</v>
      </c>
      <c r="AF95" s="133" t="n">
        <v>144014</v>
      </c>
      <c r="AG95" s="133" t="n">
        <v>200445</v>
      </c>
      <c r="AH95" s="133" t="n">
        <v>57359</v>
      </c>
      <c r="AI95" s="133" t="n">
        <v>118658</v>
      </c>
      <c r="AJ95" s="133" t="n">
        <v>181450</v>
      </c>
      <c r="AK95" s="133" t="n">
        <v>242154</v>
      </c>
      <c r="AL95" s="133" t="n">
        <v>49326</v>
      </c>
      <c r="AM95" s="133" t="n">
        <v>116385</v>
      </c>
      <c r="AN95" s="133" t="n">
        <v>185620</v>
      </c>
      <c r="AO95" s="133" t="n">
        <v>260752</v>
      </c>
      <c r="AP95" s="133" t="n">
        <v>74945</v>
      </c>
      <c r="AQ95" s="133" t="n">
        <v>179061</v>
      </c>
      <c r="AR95" s="133" t="n">
        <v>294658</v>
      </c>
      <c r="AS95" s="133" t="n">
        <v>347614</v>
      </c>
      <c r="AT95" s="133" t="n">
        <v>106334</v>
      </c>
      <c r="AU95" s="133" t="n">
        <v>227951</v>
      </c>
      <c r="AV95" s="133" t="n">
        <v>328468</v>
      </c>
      <c r="AW95" s="133" t="n">
        <v>404027</v>
      </c>
      <c r="AX95" s="133" t="n">
        <v>55159</v>
      </c>
      <c r="AY95" s="133" t="n">
        <v>127431</v>
      </c>
      <c r="AZ95" s="133" t="n">
        <v>184684</v>
      </c>
      <c r="BA95" s="133" t="n">
        <v>180234</v>
      </c>
      <c r="BB95" s="133" t="n">
        <v>36403</v>
      </c>
      <c r="BC95" s="133" t="n">
        <v>74629</v>
      </c>
      <c r="BD95" s="133" t="n">
        <v>110233</v>
      </c>
      <c r="BE95" s="133" t="n">
        <v>159572</v>
      </c>
      <c r="BF95" s="133" t="n">
        <v>68127</v>
      </c>
      <c r="BG95" s="133" t="n">
        <v>137927</v>
      </c>
      <c r="BH95" s="133" t="n">
        <v>213329</v>
      </c>
      <c r="BI95" s="133" t="n">
        <v>278416</v>
      </c>
      <c r="BJ95" s="133" t="n">
        <v>69572</v>
      </c>
      <c r="BK95" s="133" t="n">
        <v>126540</v>
      </c>
      <c r="BL95" s="133" t="n">
        <v>202804</v>
      </c>
      <c r="BM95" s="133" t="n">
        <v>109909</v>
      </c>
      <c r="BN95" s="133" t="n">
        <v>60135</v>
      </c>
      <c r="BO95" s="133" t="n">
        <v>122456</v>
      </c>
      <c r="BP95" s="133" t="n">
        <v>177450</v>
      </c>
      <c r="BQ95" s="133" t="n">
        <v>218878</v>
      </c>
      <c r="BR95" s="133" t="n">
        <v>24099</v>
      </c>
      <c r="BS95" t="n">
        <v>20154</v>
      </c>
      <c r="BT95" t="inlineStr">
        <is>
          <t>IPGP-Financial-Data-Workbook-2024-Q2.xlsx|Income Statement|33|93</t>
        </is>
      </c>
    </row>
    <row r="96">
      <c r="A96" s="22" t="inlineStr">
        <is>
          <t>Net income attributable to IPG Photonics Corporation per share</t>
        </is>
      </c>
      <c r="B96" s="145" t="n"/>
      <c r="C96" s="145" t="n"/>
      <c r="D96" s="145" t="n"/>
      <c r="E96" s="145" t="n"/>
      <c r="F96" s="145" t="n"/>
      <c r="G96" s="145" t="n"/>
      <c r="H96" s="145" t="n"/>
      <c r="I96" s="145" t="n"/>
      <c r="J96" s="145" t="n"/>
      <c r="K96" s="145" t="n"/>
      <c r="L96" s="145" t="n"/>
      <c r="M96" s="145" t="n"/>
      <c r="N96" s="145" t="n"/>
      <c r="O96" s="145" t="n"/>
      <c r="P96" s="145" t="n"/>
      <c r="Q96" s="145" t="n"/>
      <c r="R96" s="145" t="n"/>
      <c r="S96" s="145" t="n"/>
      <c r="T96" s="145" t="n"/>
      <c r="U96" s="145" t="n"/>
      <c r="V96" s="145" t="n"/>
      <c r="W96" s="145" t="n"/>
      <c r="X96" s="145" t="n"/>
      <c r="Y96" s="145" t="n"/>
      <c r="Z96" s="145" t="n"/>
      <c r="AA96" s="145" t="n"/>
      <c r="AB96" s="145" t="n"/>
      <c r="AC96" s="145" t="n"/>
      <c r="AD96" s="145" t="n"/>
      <c r="AE96" s="145" t="n"/>
      <c r="AF96" s="145" t="n"/>
      <c r="AG96" s="145" t="n"/>
      <c r="AH96" s="145" t="n"/>
      <c r="AI96" s="145" t="n"/>
      <c r="AJ96" s="145" t="n"/>
      <c r="AK96" s="145" t="n"/>
      <c r="AL96" s="145" t="n"/>
      <c r="AM96" s="145" t="n"/>
      <c r="AN96" s="145" t="n"/>
      <c r="AO96" s="145" t="n"/>
      <c r="AP96" s="145" t="n"/>
      <c r="AQ96" s="145" t="n"/>
      <c r="AR96" s="145" t="n"/>
      <c r="AS96" s="145" t="n"/>
      <c r="AT96" s="145" t="n"/>
      <c r="AU96" s="145" t="n"/>
      <c r="AV96" s="145" t="n"/>
      <c r="AW96" s="145" t="n"/>
      <c r="AX96" s="145" t="n"/>
      <c r="AY96" s="145" t="n"/>
      <c r="AZ96" s="145" t="n"/>
      <c r="BA96" s="145" t="n"/>
      <c r="BB96" s="145" t="n"/>
      <c r="BC96" s="145" t="n"/>
      <c r="BD96" s="145" t="n"/>
      <c r="BE96" s="145" t="n"/>
      <c r="BF96" s="145" t="n"/>
      <c r="BG96" s="145" t="n"/>
      <c r="BH96" s="145" t="n"/>
      <c r="BJ96" s="145" t="n"/>
      <c r="BN96" s="145" t="n"/>
      <c r="BO96" s="145" t="n"/>
      <c r="BR96" s="145" t="n"/>
    </row>
    <row r="97">
      <c r="A97" s="74" t="inlineStr">
        <is>
          <t>Basic</t>
        </is>
      </c>
      <c r="B97" s="670" t="n"/>
      <c r="C97" s="670" t="n"/>
      <c r="D97" s="670" t="n"/>
      <c r="E97" s="670" t="n"/>
      <c r="F97" s="670" t="n"/>
      <c r="G97" s="670" t="n"/>
      <c r="H97" s="670" t="n"/>
      <c r="I97" s="670" t="n"/>
      <c r="J97" s="670" t="n"/>
      <c r="K97" s="670" t="n"/>
      <c r="L97" s="670" t="n"/>
      <c r="M97" s="670" t="n"/>
      <c r="N97" s="670" t="n">
        <v>0.07000000000000001</v>
      </c>
      <c r="O97" s="670" t="n">
        <v>0.3</v>
      </c>
      <c r="P97" s="670" t="n">
        <v>0.58</v>
      </c>
      <c r="Q97" s="670" t="n">
        <v>1.16</v>
      </c>
      <c r="R97" s="670" t="n">
        <v>0.49</v>
      </c>
      <c r="S97" s="670" t="n">
        <v>1.14</v>
      </c>
      <c r="T97" s="670" t="n">
        <v>1.82</v>
      </c>
      <c r="U97" s="670" t="n">
        <v>2.48</v>
      </c>
      <c r="V97" s="670" t="n">
        <v>0.63</v>
      </c>
      <c r="W97" s="670" t="n">
        <v>1.37</v>
      </c>
      <c r="X97" s="670" t="n">
        <v>2.2</v>
      </c>
      <c r="Y97" s="670" t="n">
        <v>2.87</v>
      </c>
      <c r="Z97" s="670" t="n">
        <v>0.68</v>
      </c>
      <c r="AA97" s="670" t="n">
        <v>1.49</v>
      </c>
      <c r="AB97" s="670" t="n">
        <v>2.32</v>
      </c>
      <c r="AC97" s="670" t="n">
        <v>3.02</v>
      </c>
      <c r="AD97" s="670" t="n">
        <v>0.78</v>
      </c>
      <c r="AE97" s="670" t="n">
        <v>1.71</v>
      </c>
      <c r="AF97" s="670" t="n">
        <v>2.77</v>
      </c>
      <c r="AG97" s="670" t="n">
        <v>3.85</v>
      </c>
      <c r="AH97" s="670" t="n">
        <v>1.09</v>
      </c>
      <c r="AI97" s="670" t="n">
        <v>2.26</v>
      </c>
      <c r="AJ97" s="670" t="n">
        <v>3.45</v>
      </c>
      <c r="AK97" s="670" t="n">
        <v>4.6</v>
      </c>
      <c r="AL97" s="670" t="n">
        <v>0.93</v>
      </c>
      <c r="AM97" s="670" t="n">
        <v>2.2</v>
      </c>
      <c r="AN97" s="670" t="n">
        <v>3.5</v>
      </c>
      <c r="AO97" s="670" t="n">
        <v>4.91</v>
      </c>
      <c r="AP97" s="670" t="n">
        <v>1.4</v>
      </c>
      <c r="AQ97" s="670" t="n">
        <v>3.35</v>
      </c>
      <c r="AR97" s="670" t="n">
        <v>5.51</v>
      </c>
      <c r="AS97" s="670" t="n">
        <v>6.5</v>
      </c>
      <c r="AT97" s="670" t="n">
        <v>1.98</v>
      </c>
      <c r="AU97" s="670" t="n">
        <v>4.24</v>
      </c>
      <c r="AV97" s="670" t="n">
        <v>6.12</v>
      </c>
      <c r="AW97" s="670" t="n">
        <v>7.55</v>
      </c>
      <c r="AX97" s="670" t="n">
        <v>1.04</v>
      </c>
      <c r="AY97" s="670" t="n">
        <v>2.4</v>
      </c>
      <c r="AZ97" s="670" t="n">
        <v>3.48</v>
      </c>
      <c r="BA97" s="670" t="n">
        <v>3.4</v>
      </c>
      <c r="BB97" s="670" t="n">
        <v>0.6899999999999999</v>
      </c>
      <c r="BC97" s="670" t="n">
        <v>1.41</v>
      </c>
      <c r="BD97" s="670" t="n">
        <v>2.07</v>
      </c>
      <c r="BE97" s="670" t="n">
        <v>3</v>
      </c>
      <c r="BF97" s="670" t="n">
        <v>1.27</v>
      </c>
      <c r="BG97" s="670" t="n">
        <v>2.58</v>
      </c>
      <c r="BH97" s="670" t="n">
        <v>3.99</v>
      </c>
      <c r="BI97" s="670" t="n">
        <v>5.21</v>
      </c>
      <c r="BJ97" s="670" t="n">
        <v>1.32</v>
      </c>
      <c r="BK97" s="670" t="n">
        <v>2.42</v>
      </c>
      <c r="BL97" s="670" t="n">
        <v>3.94</v>
      </c>
      <c r="BM97" s="670" t="n">
        <v>2.17</v>
      </c>
      <c r="BN97" s="670" t="n">
        <v>1.26</v>
      </c>
      <c r="BO97" s="670" t="n">
        <v>2.58</v>
      </c>
      <c r="BP97" s="670" t="n">
        <v>3.75</v>
      </c>
      <c r="BQ97" s="670" t="n">
        <v>4.64</v>
      </c>
      <c r="BR97" s="670" t="n">
        <v>0.52</v>
      </c>
      <c r="BS97" s="843" t="n">
        <v>0.45</v>
      </c>
      <c r="BT97" t="inlineStr">
        <is>
          <t>IPGP-Financial-Data-Workbook-2024-Q2.xlsx|Income Statement|36|93</t>
        </is>
      </c>
    </row>
    <row r="98">
      <c r="A98" s="74" t="inlineStr">
        <is>
          <t>Diluted</t>
        </is>
      </c>
      <c r="B98" s="670" t="n"/>
      <c r="C98" s="670" t="n"/>
      <c r="D98" s="670" t="n"/>
      <c r="E98" s="670" t="n"/>
      <c r="F98" s="670" t="n"/>
      <c r="G98" s="670" t="n"/>
      <c r="H98" s="670" t="n"/>
      <c r="I98" s="670" t="n"/>
      <c r="J98" s="670" t="n"/>
      <c r="K98" s="670" t="n"/>
      <c r="L98" s="670" t="n"/>
      <c r="M98" s="670" t="n"/>
      <c r="N98" s="670" t="n">
        <v>0.07000000000000001</v>
      </c>
      <c r="O98" s="670" t="n">
        <v>0.29</v>
      </c>
      <c r="P98" s="670" t="n">
        <v>0.57</v>
      </c>
      <c r="Q98" s="670" t="n">
        <v>1.13</v>
      </c>
      <c r="R98" s="670" t="n">
        <v>0.47</v>
      </c>
      <c r="S98" s="670" t="n">
        <v>1.11</v>
      </c>
      <c r="T98" s="670" t="n">
        <v>1.77</v>
      </c>
      <c r="U98" s="670" t="n">
        <v>2.41</v>
      </c>
      <c r="V98" s="670" t="n">
        <v>0.61</v>
      </c>
      <c r="W98" s="670" t="n">
        <v>1.34</v>
      </c>
      <c r="X98" s="670" t="n">
        <v>2.16</v>
      </c>
      <c r="Y98" s="670" t="n">
        <v>2.81</v>
      </c>
      <c r="Z98" s="670" t="n">
        <v>0.67</v>
      </c>
      <c r="AA98" s="670" t="n">
        <v>1.47</v>
      </c>
      <c r="AB98" s="670" t="n">
        <v>2.28</v>
      </c>
      <c r="AC98" s="670" t="n">
        <v>2.97</v>
      </c>
      <c r="AD98" s="670" t="n">
        <v>0.77</v>
      </c>
      <c r="AE98" s="670" t="n">
        <v>1.68</v>
      </c>
      <c r="AF98" s="670" t="n">
        <v>2.73</v>
      </c>
      <c r="AG98" s="670" t="n">
        <v>3.79</v>
      </c>
      <c r="AH98" s="670" t="n">
        <v>1.08</v>
      </c>
      <c r="AI98" s="670" t="n">
        <v>2.22</v>
      </c>
      <c r="AJ98" s="670" t="n">
        <v>3.4</v>
      </c>
      <c r="AK98" s="670" t="n">
        <v>4.53</v>
      </c>
      <c r="AL98" s="670" t="n">
        <v>0.92</v>
      </c>
      <c r="AM98" s="670" t="n">
        <v>2.17</v>
      </c>
      <c r="AN98" s="670" t="n">
        <v>3.45</v>
      </c>
      <c r="AO98" s="670" t="n">
        <v>4.85</v>
      </c>
      <c r="AP98" s="670" t="n">
        <v>1.38</v>
      </c>
      <c r="AQ98" s="670" t="n">
        <v>3.29</v>
      </c>
      <c r="AR98" s="670" t="n">
        <v>5.4</v>
      </c>
      <c r="AS98" s="670" t="n">
        <v>6.36</v>
      </c>
      <c r="AT98" s="670" t="n">
        <v>1.93</v>
      </c>
      <c r="AU98" s="670" t="n">
        <v>4.14</v>
      </c>
      <c r="AV98" s="670" t="n">
        <v>5.97</v>
      </c>
      <c r="AW98" s="670" t="n">
        <v>7.38</v>
      </c>
      <c r="AX98" s="670" t="n">
        <v>1.02</v>
      </c>
      <c r="AY98" s="670" t="n">
        <v>2.36</v>
      </c>
      <c r="AZ98" s="670" t="n">
        <v>3.43</v>
      </c>
      <c r="BA98" s="670" t="n">
        <v>3.35</v>
      </c>
      <c r="BB98" s="670" t="n">
        <v>0.68</v>
      </c>
      <c r="BC98" s="670" t="n">
        <v>1.39</v>
      </c>
      <c r="BD98" s="670" t="n">
        <v>2.0535</v>
      </c>
      <c r="BE98" s="670" t="n">
        <v>2.97</v>
      </c>
      <c r="BF98" s="670" t="n">
        <v>1.26</v>
      </c>
      <c r="BG98" s="670" t="n">
        <v>2.55</v>
      </c>
      <c r="BH98" s="670" t="n">
        <v>3.95</v>
      </c>
      <c r="BI98" s="670" t="n">
        <v>5.16</v>
      </c>
      <c r="BJ98" s="670" t="n">
        <v>1.31</v>
      </c>
      <c r="BK98" s="670" t="n">
        <v>2.41</v>
      </c>
      <c r="BL98" s="670" t="n">
        <v>3.93</v>
      </c>
      <c r="BM98" s="670" t="n">
        <v>2.16</v>
      </c>
      <c r="BN98" s="670" t="n">
        <v>1.26</v>
      </c>
      <c r="BO98" s="670" t="n">
        <v>2.57</v>
      </c>
      <c r="BP98" s="670" t="n">
        <v>3.73</v>
      </c>
      <c r="BQ98" s="670" t="n">
        <v>4.63</v>
      </c>
      <c r="BR98" s="670" t="n">
        <v>0.52</v>
      </c>
      <c r="BS98" s="843" t="n">
        <v>0.45</v>
      </c>
      <c r="BT98" t="inlineStr">
        <is>
          <t>IPGP-Financial-Data-Workbook-2024-Q2.xlsx|Income Statement|37|93</t>
        </is>
      </c>
    </row>
    <row r="99">
      <c r="A99" s="22" t="inlineStr">
        <is>
          <t>Weighted average share outstanding</t>
        </is>
      </c>
      <c r="B99" s="145" t="n"/>
      <c r="C99" s="145" t="n"/>
      <c r="D99" s="145" t="n"/>
      <c r="E99" s="145" t="n"/>
      <c r="F99" s="145" t="n"/>
      <c r="G99" s="145" t="n"/>
      <c r="H99" s="145" t="n"/>
      <c r="I99" s="145" t="n"/>
      <c r="J99" s="145" t="n"/>
      <c r="K99" s="145" t="n"/>
      <c r="L99" s="145" t="n"/>
      <c r="M99" s="145" t="n"/>
      <c r="N99" s="145" t="n"/>
      <c r="O99" s="145" t="n"/>
      <c r="P99" s="145" t="n"/>
      <c r="Q99" s="145" t="n"/>
      <c r="R99" s="145" t="n"/>
      <c r="S99" s="145" t="n"/>
      <c r="T99" s="145" t="n"/>
      <c r="U99" s="145" t="n"/>
      <c r="V99" s="145" t="n"/>
      <c r="W99" s="145" t="n"/>
      <c r="X99" s="145" t="n"/>
      <c r="Y99" s="145" t="n"/>
      <c r="Z99" s="145" t="n"/>
      <c r="AA99" s="145" t="n"/>
      <c r="AB99" s="145" t="n"/>
      <c r="AC99" s="145" t="n"/>
      <c r="AD99" s="145" t="n"/>
      <c r="AE99" s="145" t="n"/>
      <c r="AF99" s="145" t="n"/>
      <c r="AG99" s="145" t="n"/>
      <c r="AH99" s="145" t="n"/>
      <c r="AI99" s="145" t="n"/>
      <c r="AJ99" s="145" t="n"/>
      <c r="AK99" s="145" t="n"/>
      <c r="AL99" s="145" t="n"/>
      <c r="AM99" s="145" t="n"/>
      <c r="AN99" s="145" t="n"/>
      <c r="AO99" s="145" t="n"/>
      <c r="AP99" s="145" t="n"/>
      <c r="AQ99" s="145" t="n"/>
      <c r="AR99" s="145" t="n"/>
      <c r="AS99" s="145" t="n"/>
      <c r="AT99" s="145" t="n"/>
      <c r="AU99" s="145" t="n"/>
      <c r="AV99" s="145" t="n"/>
      <c r="AW99" s="145" t="n"/>
      <c r="AX99" s="145" t="n"/>
      <c r="AY99" s="145" t="n"/>
      <c r="AZ99" s="145" t="n"/>
      <c r="BA99" s="145" t="n"/>
      <c r="BB99" s="145" t="n"/>
      <c r="BC99" s="145" t="n"/>
      <c r="BD99" s="145" t="n"/>
      <c r="BE99" s="145" t="n"/>
      <c r="BF99" s="145" t="n"/>
      <c r="BG99" s="145" t="n"/>
      <c r="BH99" s="145" t="n"/>
      <c r="BI99" s="145" t="n"/>
      <c r="BJ99" s="145" t="n"/>
      <c r="BK99" s="145" t="n"/>
      <c r="BL99" s="145" t="n"/>
      <c r="BM99" s="145" t="n"/>
      <c r="BN99" s="145" t="n"/>
      <c r="BO99" s="145" t="n"/>
      <c r="BP99" s="145" t="n"/>
      <c r="BQ99" s="145" t="n"/>
    </row>
    <row r="100">
      <c r="A100" s="74" t="inlineStr">
        <is>
          <t>Basic</t>
        </is>
      </c>
      <c r="B100" s="145" t="n"/>
      <c r="C100" s="145" t="n"/>
      <c r="D100" s="145" t="n"/>
      <c r="E100" s="145" t="n"/>
      <c r="F100" s="145" t="n"/>
      <c r="G100" s="145" t="n"/>
      <c r="H100" s="145" t="n"/>
      <c r="I100" s="145" t="n"/>
      <c r="J100" s="145" t="n"/>
      <c r="K100" s="145" t="n"/>
      <c r="L100" s="145" t="n"/>
      <c r="M100" s="145" t="n"/>
      <c r="N100" s="145" t="n">
        <v>46098</v>
      </c>
      <c r="O100" s="145" t="n">
        <v>46159</v>
      </c>
      <c r="P100" s="145" t="n">
        <v>46285</v>
      </c>
      <c r="Q100" s="145" t="n">
        <v>46424</v>
      </c>
      <c r="R100" s="145" t="n">
        <v>47099</v>
      </c>
      <c r="S100" s="145" t="n">
        <v>47205</v>
      </c>
      <c r="T100" s="145" t="n">
        <v>47298</v>
      </c>
      <c r="U100" s="145" t="n">
        <v>47365</v>
      </c>
      <c r="V100" s="145" t="n">
        <v>48446</v>
      </c>
      <c r="W100" s="145" t="n">
        <v>49717</v>
      </c>
      <c r="X100" s="145" t="n">
        <v>50204</v>
      </c>
      <c r="Y100" s="145" t="n">
        <v>50477</v>
      </c>
      <c r="Z100" s="145" t="n">
        <v>51407</v>
      </c>
      <c r="AA100" s="145" t="n">
        <v>51435</v>
      </c>
      <c r="AB100" s="145" t="n">
        <v>51474</v>
      </c>
      <c r="AC100" s="145" t="n">
        <v>51548</v>
      </c>
      <c r="AD100" s="145" t="n">
        <v>51970</v>
      </c>
      <c r="AE100" s="145" t="n">
        <v>52019</v>
      </c>
      <c r="AF100" s="145" t="n">
        <v>52060</v>
      </c>
      <c r="AG100" s="145" t="n">
        <v>52104</v>
      </c>
      <c r="AH100" s="145" t="n">
        <v>52486</v>
      </c>
      <c r="AI100" s="145" t="n">
        <v>52572</v>
      </c>
      <c r="AJ100" s="145" t="n">
        <v>52628</v>
      </c>
      <c r="AK100" s="145" t="n">
        <v>52676</v>
      </c>
      <c r="AL100" s="145" t="n">
        <v>52898</v>
      </c>
      <c r="AM100" s="145" t="n">
        <v>52981</v>
      </c>
      <c r="AN100" s="145" t="n">
        <v>53039</v>
      </c>
      <c r="AO100" s="145" t="n">
        <v>53068</v>
      </c>
      <c r="AP100" s="145" t="n">
        <v>53368</v>
      </c>
      <c r="AQ100" s="145" t="n">
        <v>53403</v>
      </c>
      <c r="AR100" s="145" t="n">
        <v>53453</v>
      </c>
      <c r="AS100" s="145" t="n">
        <v>53495</v>
      </c>
      <c r="AT100" s="145" t="n">
        <v>53694</v>
      </c>
      <c r="AU100" s="145" t="n">
        <v>53703</v>
      </c>
      <c r="AV100" s="145" t="n">
        <v>53677</v>
      </c>
      <c r="AW100" s="145" t="n">
        <v>53522</v>
      </c>
      <c r="AX100" s="145" t="n">
        <v>53001</v>
      </c>
      <c r="AY100" s="145" t="n">
        <v>53076</v>
      </c>
      <c r="AZ100" s="145" t="n">
        <v>53073</v>
      </c>
      <c r="BA100" s="145" t="n">
        <v>53061</v>
      </c>
      <c r="BB100" s="145" t="n">
        <v>53075</v>
      </c>
      <c r="BC100" s="145" t="n">
        <v>53083</v>
      </c>
      <c r="BD100" s="145" t="n">
        <v>53136</v>
      </c>
      <c r="BE100" s="145" t="n">
        <v>53186</v>
      </c>
      <c r="BF100" s="145" t="n">
        <v>53541</v>
      </c>
      <c r="BG100" s="145" t="n">
        <v>53548</v>
      </c>
      <c r="BH100" s="145" t="n">
        <v>53501</v>
      </c>
      <c r="BI100" s="145" t="n">
        <v>53410</v>
      </c>
      <c r="BJ100" s="145" t="n">
        <v>52810</v>
      </c>
      <c r="BK100" s="145" t="n">
        <v>52111</v>
      </c>
      <c r="BL100" s="145" t="n">
        <v>51449</v>
      </c>
      <c r="BM100" s="145" t="n">
        <v>50761</v>
      </c>
      <c r="BN100" s="145" t="n">
        <v>47542</v>
      </c>
      <c r="BO100" s="145" t="n">
        <v>47429</v>
      </c>
      <c r="BP100" s="145" t="n">
        <v>47364</v>
      </c>
      <c r="BQ100" s="145" t="n">
        <v>47154</v>
      </c>
      <c r="BR100" s="145" t="n">
        <v>45960</v>
      </c>
      <c r="BS100" t="n">
        <v>44918</v>
      </c>
      <c r="BT100" t="inlineStr">
        <is>
          <t>IPGP-Financial-Data-Workbook-2024-Q2.xlsx|Income Statement|40|93</t>
        </is>
      </c>
    </row>
    <row r="101">
      <c r="A101" s="74" t="inlineStr">
        <is>
          <t>Diluted</t>
        </is>
      </c>
      <c r="B101" s="145" t="n"/>
      <c r="C101" s="145" t="n"/>
      <c r="D101" s="145" t="n"/>
      <c r="E101" s="145" t="n"/>
      <c r="F101" s="145" t="n"/>
      <c r="G101" s="145" t="n"/>
      <c r="H101" s="145" t="n"/>
      <c r="I101" s="145" t="n"/>
      <c r="J101" s="145" t="n"/>
      <c r="K101" s="145" t="n"/>
      <c r="L101" s="145" t="n"/>
      <c r="M101" s="145" t="n"/>
      <c r="N101" s="145" t="n">
        <v>47191</v>
      </c>
      <c r="O101" s="145" t="n">
        <v>47262</v>
      </c>
      <c r="P101" s="145" t="n">
        <v>47410</v>
      </c>
      <c r="Q101" s="145" t="n">
        <v>47594</v>
      </c>
      <c r="R101" s="145" t="n">
        <v>48690</v>
      </c>
      <c r="S101" s="145" t="n">
        <v>48650</v>
      </c>
      <c r="T101" s="145" t="n">
        <v>48684</v>
      </c>
      <c r="U101" s="145" t="n">
        <v>48685</v>
      </c>
      <c r="V101" s="145" t="n">
        <v>49582</v>
      </c>
      <c r="W101" s="145" t="n">
        <v>50826</v>
      </c>
      <c r="X101" s="145" t="n">
        <v>51281</v>
      </c>
      <c r="Y101" s="145" t="n">
        <v>51536</v>
      </c>
      <c r="Z101" s="145" t="n">
        <v>52350</v>
      </c>
      <c r="AA101" s="145" t="n">
        <v>52357</v>
      </c>
      <c r="AB101" s="145" t="n">
        <v>52346</v>
      </c>
      <c r="AC101" s="145" t="n">
        <v>52375</v>
      </c>
      <c r="AD101" s="145" t="n">
        <v>52724</v>
      </c>
      <c r="AE101" s="145" t="n">
        <v>52747</v>
      </c>
      <c r="AF101" s="145" t="n">
        <v>52780</v>
      </c>
      <c r="AG101" s="145" t="n">
        <v>52824</v>
      </c>
      <c r="AH101" s="145" t="n">
        <v>53267</v>
      </c>
      <c r="AI101" s="145" t="n">
        <v>53355</v>
      </c>
      <c r="AJ101" s="145" t="n">
        <v>53390</v>
      </c>
      <c r="AK101" s="145" t="n">
        <v>53427</v>
      </c>
      <c r="AL101" s="145" t="n">
        <v>53621</v>
      </c>
      <c r="AM101" s="145" t="n">
        <v>53705</v>
      </c>
      <c r="AN101" s="145" t="n">
        <v>53752</v>
      </c>
      <c r="AO101" s="145" t="n">
        <v>53797</v>
      </c>
      <c r="AP101" s="145" t="n">
        <v>54370</v>
      </c>
      <c r="AQ101" s="145" t="n">
        <v>54450</v>
      </c>
      <c r="AR101" s="145" t="n">
        <v>54570</v>
      </c>
      <c r="AS101" s="145" t="n">
        <v>54699</v>
      </c>
      <c r="AT101" s="145" t="n">
        <v>55182</v>
      </c>
      <c r="AU101" s="145" t="n">
        <v>55111</v>
      </c>
      <c r="AV101" s="145" t="n">
        <v>54995</v>
      </c>
      <c r="AW101" s="145" t="n">
        <v>54726</v>
      </c>
      <c r="AX101" s="145" t="n">
        <v>53874</v>
      </c>
      <c r="AY101" s="145" t="n">
        <v>53915</v>
      </c>
      <c r="AZ101" s="145" t="n">
        <v>53864</v>
      </c>
      <c r="BA101" s="145" t="n">
        <v>53839</v>
      </c>
      <c r="BB101" s="145" t="n">
        <v>53676</v>
      </c>
      <c r="BC101" s="145" t="n">
        <v>53628</v>
      </c>
      <c r="BD101" s="145" t="n">
        <v>53691</v>
      </c>
      <c r="BE101" s="145" t="n">
        <v>53785</v>
      </c>
      <c r="BF101" s="145" t="n">
        <v>54201</v>
      </c>
      <c r="BG101" s="145" t="n">
        <v>54145</v>
      </c>
      <c r="BH101" s="145" t="n">
        <v>54053</v>
      </c>
      <c r="BI101" s="145" t="n">
        <v>53930</v>
      </c>
      <c r="BJ101" s="145" t="n">
        <v>53100</v>
      </c>
      <c r="BK101" s="145" t="n">
        <v>52311</v>
      </c>
      <c r="BL101" s="145" t="n">
        <v>51626</v>
      </c>
      <c r="BM101" s="145" t="n">
        <v>50925</v>
      </c>
      <c r="BN101" s="145" t="n">
        <v>47776</v>
      </c>
      <c r="BO101" s="145" t="n">
        <v>47618</v>
      </c>
      <c r="BP101" s="145" t="n">
        <v>47536</v>
      </c>
      <c r="BQ101" s="145" t="n">
        <v>47320</v>
      </c>
      <c r="BR101" s="145" t="n">
        <v>46175</v>
      </c>
      <c r="BS101" t="n">
        <v>45012</v>
      </c>
      <c r="BT101" t="inlineStr">
        <is>
          <t>IPGP-Financial-Data-Workbook-2024-Q2.xlsx|Income Statement|41|93</t>
        </is>
      </c>
    </row>
    <row r="102">
      <c r="A102" s="74" t="n"/>
      <c r="B102" s="145" t="n"/>
      <c r="C102" s="145" t="n"/>
      <c r="D102" s="145" t="n"/>
      <c r="E102" s="145" t="n"/>
      <c r="F102" s="145" t="n"/>
      <c r="G102" s="145" t="n"/>
      <c r="H102" s="145" t="n"/>
      <c r="I102" s="145" t="n"/>
      <c r="J102" s="145" t="n"/>
      <c r="K102" s="145" t="n"/>
      <c r="L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c r="AG102" s="145" t="n"/>
      <c r="AH102" s="145" t="n"/>
      <c r="AI102" s="145" t="n"/>
      <c r="AJ102" s="145" t="n"/>
      <c r="AK102" s="145" t="n"/>
      <c r="AL102" s="145" t="n"/>
      <c r="AM102" s="145" t="n"/>
      <c r="AN102" s="145" t="n"/>
      <c r="AO102" s="145" t="n"/>
      <c r="AP102" s="145" t="n"/>
      <c r="AQ102" s="145" t="n"/>
      <c r="AR102" s="145" t="n"/>
      <c r="AS102" s="145" t="n"/>
      <c r="AT102" s="145" t="n"/>
      <c r="AU102" s="145" t="n"/>
      <c r="AV102" s="145" t="n"/>
      <c r="AW102" s="145" t="n"/>
      <c r="AX102" s="145" t="n"/>
      <c r="AY102" s="145" t="n"/>
      <c r="AZ102" s="145" t="n"/>
      <c r="BA102" s="145" t="n"/>
      <c r="BB102" s="145" t="n"/>
      <c r="BC102" s="145" t="n"/>
      <c r="BD102" s="145" t="n"/>
      <c r="BE102" s="145" t="n"/>
      <c r="BF102" s="145" t="n"/>
      <c r="BG102" s="145" t="n"/>
      <c r="BH102" s="145" t="n"/>
      <c r="BJ102" s="145" t="n"/>
      <c r="BN102" s="145" t="n"/>
      <c r="BO102" s="145" t="n"/>
    </row>
    <row r="103">
      <c r="A103" s="22" t="inlineStr">
        <is>
          <t>Net income</t>
        </is>
      </c>
      <c r="B103" s="133" t="n"/>
      <c r="C103" s="133" t="n"/>
      <c r="D103" s="133" t="n"/>
      <c r="E103" s="133" t="n"/>
      <c r="F103" s="133" t="n"/>
      <c r="G103" s="133" t="n"/>
      <c r="H103" s="133" t="n"/>
      <c r="I103" s="133" t="n"/>
      <c r="J103" s="133" t="n"/>
      <c r="K103" s="133" t="n"/>
      <c r="L103" s="133" t="n"/>
      <c r="M103" s="133" t="n"/>
      <c r="N103" s="133" t="n">
        <v>3424</v>
      </c>
      <c r="O103" s="133" t="n">
        <v>13769</v>
      </c>
      <c r="P103" s="133" t="n">
        <v>27084</v>
      </c>
      <c r="Q103" s="133" t="n">
        <v>54352</v>
      </c>
      <c r="R103" s="133" t="n">
        <v>23378</v>
      </c>
      <c r="S103" s="133" t="n">
        <v>54885</v>
      </c>
      <c r="T103" s="133" t="n">
        <v>89154</v>
      </c>
      <c r="U103" s="133" t="n">
        <v>121009</v>
      </c>
      <c r="V103" s="133" t="n">
        <v>30548</v>
      </c>
      <c r="W103" s="133" t="n">
        <v>70397</v>
      </c>
      <c r="X103" s="133" t="n">
        <v>112832</v>
      </c>
      <c r="Y103" s="133" t="n">
        <v>147744</v>
      </c>
      <c r="Z103" s="133" t="n">
        <v>35127</v>
      </c>
      <c r="AA103" s="133" t="n">
        <v>76847</v>
      </c>
      <c r="AB103" s="133" t="n">
        <v>119185</v>
      </c>
      <c r="AC103" s="133" t="n">
        <v>155780</v>
      </c>
      <c r="AD103" s="133" t="n">
        <v>40531</v>
      </c>
      <c r="AE103" s="133" t="n">
        <v>88814</v>
      </c>
      <c r="AF103" s="133" t="n">
        <v>144014</v>
      </c>
      <c r="AG103" s="133" t="n">
        <v>200445</v>
      </c>
      <c r="AH103" s="133" t="n">
        <v>57346</v>
      </c>
      <c r="AI103" s="133" t="n">
        <v>118590</v>
      </c>
      <c r="AJ103" s="133" t="n">
        <v>181349</v>
      </c>
      <c r="AK103" s="133" t="n">
        <v>242027</v>
      </c>
      <c r="AL103" s="133" t="n">
        <v>49328</v>
      </c>
      <c r="AM103" s="133" t="n">
        <v>116360</v>
      </c>
      <c r="AN103" s="133" t="n">
        <v>185587</v>
      </c>
      <c r="AO103" s="133" t="n">
        <v>260716</v>
      </c>
      <c r="AP103" s="133" t="n">
        <v>74932</v>
      </c>
      <c r="AQ103" s="133" t="n">
        <v>179035</v>
      </c>
      <c r="AR103" s="133" t="n">
        <v>294632</v>
      </c>
      <c r="AS103" s="133" t="n">
        <v>347588</v>
      </c>
      <c r="AT103" s="133" t="n">
        <v>106334</v>
      </c>
      <c r="AU103" s="659" t="n"/>
      <c r="AV103" s="659" t="n"/>
      <c r="AW103" s="659" t="n"/>
      <c r="AX103" s="659" t="n"/>
      <c r="AY103" s="659" t="n"/>
      <c r="AZ103" s="659" t="n"/>
      <c r="BA103" s="659" t="n"/>
      <c r="BB103" s="659" t="n"/>
      <c r="BC103" s="659" t="n"/>
      <c r="BD103" s="659" t="n"/>
      <c r="BE103" s="659" t="n"/>
      <c r="BF103" s="659" t="n"/>
      <c r="BG103" s="659" t="n"/>
      <c r="BH103" s="659" t="n"/>
      <c r="BI103" s="659" t="n"/>
      <c r="BJ103" s="659" t="n"/>
      <c r="BK103" s="659" t="n"/>
      <c r="BL103" s="659" t="n"/>
      <c r="BM103" s="659" t="n"/>
      <c r="BN103" s="659" t="n"/>
      <c r="BO103" s="659" t="n"/>
      <c r="BP103" s="659" t="n"/>
      <c r="BQ103" s="659" t="n"/>
    </row>
    <row r="104">
      <c r="A104" s="33" t="inlineStr">
        <is>
          <t>Translation adjustments</t>
        </is>
      </c>
      <c r="B104" s="145" t="n"/>
      <c r="C104" s="145" t="n"/>
      <c r="D104" s="145" t="n"/>
      <c r="E104" s="145" t="n"/>
      <c r="F104" s="145" t="n"/>
      <c r="G104" s="145" t="n"/>
      <c r="H104" s="145" t="n"/>
      <c r="I104" s="145" t="n"/>
      <c r="J104" s="145" t="n"/>
      <c r="K104" s="145" t="n"/>
      <c r="L104" s="145" t="n"/>
      <c r="M104" s="145" t="n"/>
      <c r="N104" s="145" t="n">
        <v>-8452</v>
      </c>
      <c r="O104" s="145" t="n">
        <v>-20664</v>
      </c>
      <c r="P104" s="145" t="n">
        <v>-7162</v>
      </c>
      <c r="Q104" s="145" t="n">
        <v>-10662</v>
      </c>
      <c r="R104" s="145">
        <f>13599-634</f>
        <v/>
      </c>
      <c r="S104" s="145" t="n">
        <v>17335</v>
      </c>
      <c r="T104" s="145" t="n">
        <v>-5324</v>
      </c>
      <c r="U104" s="145" t="n">
        <v>-15167</v>
      </c>
      <c r="V104" s="145" t="n">
        <v>15043</v>
      </c>
      <c r="W104" s="145" t="n">
        <v>-6803</v>
      </c>
      <c r="X104" s="145" t="n">
        <v>3676</v>
      </c>
      <c r="Y104" s="145" t="n">
        <v>11225</v>
      </c>
      <c r="Z104" s="145" t="n">
        <v>-9628</v>
      </c>
      <c r="AA104" s="145" t="n">
        <v>-13986</v>
      </c>
      <c r="AB104" s="145" t="n">
        <v>-2094</v>
      </c>
      <c r="AC104" s="145" t="n">
        <v>1125</v>
      </c>
      <c r="AD104" s="145" t="n">
        <v>-12666</v>
      </c>
      <c r="AE104" s="145" t="n">
        <v>-5983</v>
      </c>
      <c r="AF104" s="145" t="n">
        <v>-52901</v>
      </c>
      <c r="AG104" s="145" t="n">
        <v>-110734</v>
      </c>
      <c r="AH104" s="145" t="n">
        <v>-38319</v>
      </c>
      <c r="AI104" s="145" t="n">
        <v>-27094</v>
      </c>
      <c r="AJ104" s="145" t="n">
        <v>-43634</v>
      </c>
      <c r="AK104" s="145" t="n">
        <v>-69314</v>
      </c>
      <c r="AL104" s="145" t="n">
        <v>28495</v>
      </c>
      <c r="AM104" s="145" t="n">
        <v>24880</v>
      </c>
      <c r="AN104" s="145" t="n">
        <v>32948</v>
      </c>
      <c r="AO104" s="145" t="n">
        <v>3163</v>
      </c>
      <c r="AP104" s="145" t="n">
        <v>26699</v>
      </c>
      <c r="AQ104" s="145" t="n">
        <v>59221</v>
      </c>
      <c r="AR104" s="145" t="n">
        <v>89076</v>
      </c>
      <c r="AS104" s="145" t="n">
        <v>100999</v>
      </c>
      <c r="AT104" s="145" t="n">
        <v>26638</v>
      </c>
      <c r="AU104" s="346" t="n"/>
      <c r="AV104" s="346" t="n"/>
      <c r="AW104" s="346" t="n"/>
      <c r="AX104" s="346" t="n"/>
      <c r="AY104" s="346" t="n"/>
      <c r="AZ104" s="346" t="n"/>
      <c r="BA104" s="346" t="n"/>
      <c r="BB104" s="346" t="n"/>
      <c r="BC104" s="346" t="n"/>
      <c r="BD104" s="346" t="n"/>
      <c r="BE104" s="346" t="n"/>
      <c r="BF104" s="346" t="n"/>
      <c r="BG104" s="346" t="n"/>
      <c r="BH104" s="346" t="n"/>
      <c r="BI104" s="346" t="n"/>
      <c r="BJ104" s="346" t="n"/>
      <c r="BK104" s="346" t="n"/>
      <c r="BL104" s="346" t="n"/>
      <c r="BM104" s="346" t="n"/>
      <c r="BN104" s="346" t="n"/>
      <c r="BO104" s="346" t="n"/>
      <c r="BP104" s="346" t="n"/>
      <c r="BQ104" s="346" t="n"/>
    </row>
    <row r="105">
      <c r="A105" s="33" t="inlineStr">
        <is>
          <t>Change in carrying value of auction rate securities</t>
        </is>
      </c>
      <c r="B105" s="145" t="n"/>
      <c r="C105" s="145" t="n"/>
      <c r="D105" s="145" t="n"/>
      <c r="E105" s="145" t="n"/>
      <c r="F105" s="145" t="n"/>
      <c r="G105" s="145" t="n"/>
      <c r="H105" s="145" t="n"/>
      <c r="I105" s="145" t="n"/>
      <c r="J105" s="145" t="n"/>
      <c r="K105" s="145" t="n"/>
      <c r="L105" s="145" t="n"/>
      <c r="M105" s="145" t="n"/>
      <c r="N105" s="145" t="n">
        <v>0</v>
      </c>
      <c r="O105" s="145" t="n">
        <v>0</v>
      </c>
      <c r="P105" s="145" t="n">
        <v>0</v>
      </c>
      <c r="Q105" s="145" t="n">
        <v>-27</v>
      </c>
      <c r="R105" s="145" t="n">
        <v>0</v>
      </c>
      <c r="S105" s="145" t="n">
        <v>0</v>
      </c>
      <c r="T105" s="145" t="n">
        <v>363</v>
      </c>
      <c r="U105" s="145" t="n">
        <v>232</v>
      </c>
      <c r="V105" s="145" t="n">
        <v>0</v>
      </c>
      <c r="W105" s="145" t="n">
        <v>0</v>
      </c>
      <c r="X105" s="145" t="n">
        <v>0</v>
      </c>
      <c r="Y105" s="145" t="n">
        <v>0</v>
      </c>
      <c r="Z105" s="145" t="n">
        <v>0</v>
      </c>
      <c r="AA105" s="145" t="n">
        <v>0</v>
      </c>
      <c r="AB105" s="145" t="n">
        <v>0</v>
      </c>
      <c r="AC105" s="145" t="n">
        <v>0</v>
      </c>
      <c r="AD105" s="145" t="n">
        <v>0</v>
      </c>
      <c r="AE105" s="145" t="n">
        <v>0</v>
      </c>
      <c r="AF105" s="145" t="n">
        <v>0</v>
      </c>
      <c r="AG105" s="145" t="n">
        <v>0</v>
      </c>
      <c r="AH105" s="145" t="n">
        <v>0</v>
      </c>
      <c r="AI105" s="145" t="n">
        <v>0</v>
      </c>
      <c r="AJ105" s="145" t="n">
        <v>0</v>
      </c>
      <c r="AK105" s="145" t="n">
        <v>0</v>
      </c>
      <c r="AL105" s="145" t="n">
        <v>0</v>
      </c>
      <c r="AM105" s="145" t="n">
        <v>0</v>
      </c>
      <c r="AN105" s="145" t="n">
        <v>0</v>
      </c>
      <c r="AO105" s="145" t="n">
        <v>0</v>
      </c>
      <c r="AP105" s="145" t="n">
        <v>0</v>
      </c>
      <c r="AQ105" s="145" t="n">
        <v>0</v>
      </c>
      <c r="AR105" s="145" t="n">
        <v>0</v>
      </c>
      <c r="AS105" s="145" t="n">
        <v>-58</v>
      </c>
      <c r="AT105" s="145" t="n"/>
      <c r="AU105" s="346" t="n"/>
      <c r="AV105" s="346" t="n"/>
      <c r="AW105" s="346" t="n"/>
      <c r="AX105" s="346" t="n"/>
      <c r="AY105" s="346" t="n"/>
      <c r="AZ105" s="346" t="n"/>
      <c r="BA105" s="346" t="n"/>
      <c r="BB105" s="346" t="n"/>
      <c r="BC105" s="346" t="n"/>
      <c r="BD105" s="346" t="n"/>
      <c r="BE105" s="346" t="n"/>
      <c r="BF105" s="346" t="n"/>
      <c r="BG105" s="346" t="n"/>
      <c r="BH105" s="346" t="n"/>
      <c r="BI105" s="346" t="n"/>
      <c r="BJ105" s="346" t="n"/>
      <c r="BK105" s="346" t="n"/>
      <c r="BL105" s="346" t="n"/>
      <c r="BM105" s="346" t="n"/>
      <c r="BN105" s="346" t="n"/>
      <c r="BO105" s="346" t="n"/>
      <c r="BP105" s="346" t="n"/>
      <c r="BQ105" s="346" t="n"/>
    </row>
    <row r="106">
      <c r="A106" s="33" t="inlineStr">
        <is>
          <t>Unrealized gain on derivatives</t>
        </is>
      </c>
      <c r="B106" s="145" t="n"/>
      <c r="C106" s="145" t="n"/>
      <c r="D106" s="145" t="n"/>
      <c r="E106" s="145" t="n"/>
      <c r="F106" s="145" t="n"/>
      <c r="G106" s="145" t="n"/>
      <c r="H106" s="145" t="n"/>
      <c r="I106" s="145" t="n"/>
      <c r="J106" s="145" t="n"/>
      <c r="K106" s="145" t="n"/>
      <c r="L106" s="145" t="n"/>
      <c r="M106" s="145" t="n"/>
      <c r="N106" s="145" t="n">
        <v>-72</v>
      </c>
      <c r="O106" s="145" t="n">
        <v>-182</v>
      </c>
      <c r="P106" s="145" t="n">
        <v>-232</v>
      </c>
      <c r="Q106" s="145" t="n">
        <v>0</v>
      </c>
      <c r="R106" s="145" t="n">
        <v>115</v>
      </c>
      <c r="S106" s="145" t="n">
        <v>13</v>
      </c>
      <c r="T106" s="145" t="n">
        <v>-111</v>
      </c>
      <c r="U106" s="145" t="n">
        <v>-42</v>
      </c>
      <c r="V106" s="145" t="n">
        <v>57</v>
      </c>
      <c r="W106" s="145" t="n">
        <v>106</v>
      </c>
      <c r="X106" s="145" t="n">
        <v>130</v>
      </c>
      <c r="Y106" s="145" t="n">
        <v>241</v>
      </c>
      <c r="Z106" s="145" t="n">
        <v>83</v>
      </c>
      <c r="AA106" s="145" t="n">
        <v>174</v>
      </c>
      <c r="AB106" s="145" t="n">
        <v>227</v>
      </c>
      <c r="AC106" s="145" t="n">
        <v>268</v>
      </c>
      <c r="AD106" s="145" t="n">
        <v>39</v>
      </c>
      <c r="AE106" s="145" t="n">
        <v>83</v>
      </c>
      <c r="AF106" s="145" t="n">
        <v>128</v>
      </c>
      <c r="AG106" s="145" t="n">
        <v>172</v>
      </c>
      <c r="AH106" s="145" t="n">
        <v>43</v>
      </c>
      <c r="AI106" s="145" t="n">
        <v>95</v>
      </c>
      <c r="AJ106" s="145" t="n">
        <v>95</v>
      </c>
      <c r="AK106" s="145" t="n">
        <v>95</v>
      </c>
      <c r="AL106" s="145" t="n">
        <v>0</v>
      </c>
      <c r="AM106" s="145" t="n">
        <v>151</v>
      </c>
      <c r="AN106" s="145" t="n">
        <v>104</v>
      </c>
      <c r="AO106" s="145" t="n">
        <v>49</v>
      </c>
      <c r="AP106" s="145" t="n">
        <v>-16</v>
      </c>
      <c r="AQ106" s="145" t="n">
        <v>-46</v>
      </c>
      <c r="AR106" s="145" t="n">
        <v>-35</v>
      </c>
      <c r="AS106" s="145" t="n">
        <v>-240</v>
      </c>
      <c r="AT106" s="145" t="n">
        <v>2</v>
      </c>
      <c r="AU106" s="346" t="n"/>
      <c r="AV106" s="346" t="n"/>
      <c r="AW106" s="346" t="n"/>
      <c r="AX106" s="346" t="n"/>
      <c r="AY106" s="346" t="n"/>
      <c r="AZ106" s="346" t="n"/>
      <c r="BA106" s="346" t="n"/>
      <c r="BB106" s="346" t="n"/>
      <c r="BC106" s="346" t="n"/>
      <c r="BD106" s="346" t="n"/>
      <c r="BE106" s="346" t="n"/>
      <c r="BF106" s="346" t="n"/>
      <c r="BG106" s="346" t="n"/>
      <c r="BH106" s="346" t="n"/>
      <c r="BI106" s="346" t="n"/>
      <c r="BJ106" s="346" t="n"/>
      <c r="BK106" s="346" t="n"/>
      <c r="BL106" s="346" t="n"/>
      <c r="BM106" s="346" t="n"/>
      <c r="BN106" s="346" t="n"/>
      <c r="BO106" s="346" t="n"/>
      <c r="BP106" s="346" t="n"/>
      <c r="BQ106" s="346" t="n"/>
    </row>
    <row r="107">
      <c r="A107" s="33" t="inlineStr">
        <is>
          <t>Unrealized loss on available-for-sale investments</t>
        </is>
      </c>
      <c r="B107" s="145" t="n"/>
      <c r="C107" s="145" t="n"/>
      <c r="D107" s="145" t="n"/>
      <c r="E107" s="145" t="n"/>
      <c r="F107" s="145" t="n"/>
      <c r="G107" s="145" t="n"/>
      <c r="H107" s="145" t="n"/>
      <c r="I107" s="145" t="n"/>
      <c r="J107" s="145" t="n"/>
      <c r="K107" s="145" t="n"/>
      <c r="L107" s="145" t="n"/>
      <c r="M107" s="145" t="n"/>
      <c r="N107" s="145" t="n">
        <v>0</v>
      </c>
      <c r="O107" s="145" t="n">
        <v>0</v>
      </c>
      <c r="P107" s="145" t="n">
        <v>0</v>
      </c>
      <c r="Q107" s="145" t="n">
        <v>0</v>
      </c>
      <c r="R107" s="145" t="n">
        <v>0</v>
      </c>
      <c r="S107" s="145" t="n">
        <v>0</v>
      </c>
      <c r="T107" s="145" t="n">
        <v>0</v>
      </c>
      <c r="U107" s="145" t="n">
        <v>0</v>
      </c>
      <c r="V107" s="145" t="n">
        <v>0</v>
      </c>
      <c r="W107" s="145" t="n">
        <v>0</v>
      </c>
      <c r="X107" s="145" t="n">
        <v>0</v>
      </c>
      <c r="Y107" s="145" t="n">
        <v>0</v>
      </c>
      <c r="Z107" s="145" t="n">
        <v>0</v>
      </c>
      <c r="AA107" s="145" t="n">
        <v>0</v>
      </c>
      <c r="AB107" s="145" t="n">
        <v>0</v>
      </c>
      <c r="AC107" s="145" t="n">
        <v>0</v>
      </c>
      <c r="AD107" s="145" t="n">
        <v>0</v>
      </c>
      <c r="AE107" s="145" t="n">
        <v>0</v>
      </c>
      <c r="AF107" s="145" t="n">
        <v>0</v>
      </c>
      <c r="AG107" s="145" t="n">
        <v>0</v>
      </c>
      <c r="AH107" s="145" t="n">
        <v>0</v>
      </c>
      <c r="AI107" s="145" t="n">
        <v>0</v>
      </c>
      <c r="AJ107" s="145" t="n">
        <v>0</v>
      </c>
      <c r="AK107" s="145" t="n">
        <v>0</v>
      </c>
      <c r="AL107" s="145" t="n">
        <v>0</v>
      </c>
      <c r="AM107" s="145" t="n">
        <v>0</v>
      </c>
      <c r="AN107" s="145" t="n">
        <v>0</v>
      </c>
      <c r="AO107" s="145" t="n">
        <v>-298</v>
      </c>
      <c r="AP107" s="145" t="n">
        <v>298</v>
      </c>
      <c r="AQ107" s="145" t="n">
        <v>298</v>
      </c>
      <c r="AR107" s="145" t="n">
        <v>298</v>
      </c>
      <c r="AS107" s="145" t="n">
        <v>538</v>
      </c>
      <c r="AT107" s="145" t="n">
        <v>10</v>
      </c>
      <c r="AU107" s="346" t="n"/>
      <c r="AV107" s="346" t="n"/>
      <c r="AW107" s="346" t="n"/>
      <c r="AX107" s="346" t="n"/>
      <c r="AY107" s="346" t="n"/>
      <c r="AZ107" s="346" t="n"/>
      <c r="BA107" s="346" t="n"/>
      <c r="BB107" s="346" t="n"/>
      <c r="BC107" s="346" t="n"/>
      <c r="BD107" s="346" t="n"/>
      <c r="BE107" s="346" t="n"/>
      <c r="BF107" s="346" t="n"/>
      <c r="BG107" s="346" t="n"/>
      <c r="BH107" s="346" t="n"/>
      <c r="BI107" s="346" t="n"/>
      <c r="BJ107" s="346" t="n"/>
      <c r="BK107" s="346" t="n"/>
      <c r="BL107" s="346" t="n"/>
      <c r="BM107" s="346" t="n"/>
      <c r="BN107" s="346" t="n"/>
      <c r="BO107" s="346" t="n"/>
      <c r="BP107" s="346" t="n"/>
      <c r="BQ107" s="346" t="n"/>
    </row>
    <row r="108">
      <c r="A108" s="74" t="inlineStr">
        <is>
          <t>Total other comprehensive income (loss), net of tax</t>
        </is>
      </c>
      <c r="B108" s="145" t="n"/>
      <c r="C108" s="145" t="n"/>
      <c r="D108" s="145" t="n"/>
      <c r="E108" s="145" t="n"/>
      <c r="F108" s="145" t="n"/>
      <c r="G108" s="145" t="n"/>
      <c r="H108" s="145" t="n"/>
      <c r="I108" s="145" t="n"/>
      <c r="J108" s="145" t="n"/>
      <c r="K108" s="145" t="n"/>
      <c r="L108" s="145" t="n"/>
      <c r="M108" s="145" t="n"/>
      <c r="N108" s="143">
        <f>SUM(N104:N107)</f>
        <v/>
      </c>
      <c r="O108" s="143">
        <f>SUM(O104:O107)</f>
        <v/>
      </c>
      <c r="P108" s="143">
        <f>SUM(P104:P107)</f>
        <v/>
      </c>
      <c r="Q108" s="145" t="n">
        <v>-10689</v>
      </c>
      <c r="R108" s="143">
        <f>SUM(R104:R107)</f>
        <v/>
      </c>
      <c r="S108" s="145" t="n">
        <v>17348</v>
      </c>
      <c r="T108" s="145" t="n">
        <v>-5072</v>
      </c>
      <c r="U108" s="145" t="n">
        <v>-14977</v>
      </c>
      <c r="V108" s="145" t="n">
        <v>15100</v>
      </c>
      <c r="W108" s="145" t="n">
        <v>-6697</v>
      </c>
      <c r="X108" s="145" t="n">
        <v>3806</v>
      </c>
      <c r="Y108" s="145" t="n">
        <v>11466</v>
      </c>
      <c r="Z108" s="145" t="n">
        <v>-9545</v>
      </c>
      <c r="AA108" s="145" t="n">
        <v>-13812</v>
      </c>
      <c r="AB108" s="145" t="n">
        <v>-1867</v>
      </c>
      <c r="AC108" s="145" t="n">
        <v>1393</v>
      </c>
      <c r="AD108" s="145" t="n">
        <v>-12627</v>
      </c>
      <c r="AE108" s="145" t="n">
        <v>-5900</v>
      </c>
      <c r="AF108" s="145" t="n">
        <v>-52773</v>
      </c>
      <c r="AG108" s="145" t="n">
        <v>-110562</v>
      </c>
      <c r="AH108" s="145" t="n">
        <v>-38276</v>
      </c>
      <c r="AI108" s="145" t="n">
        <v>-26999</v>
      </c>
      <c r="AJ108" s="145" t="n">
        <v>-43539</v>
      </c>
      <c r="AK108" s="145" t="n">
        <v>-69219</v>
      </c>
      <c r="AL108" s="145" t="n">
        <v>28495</v>
      </c>
      <c r="AM108" s="145" t="n">
        <v>25031</v>
      </c>
      <c r="AN108" s="145" t="n">
        <v>33052</v>
      </c>
      <c r="AO108" s="145" t="n">
        <v>2914</v>
      </c>
      <c r="AP108" s="145" t="n">
        <v>26981</v>
      </c>
      <c r="AQ108" s="145" t="n">
        <v>59473</v>
      </c>
      <c r="AR108" s="145" t="n">
        <v>89339</v>
      </c>
      <c r="AS108" s="145" t="n">
        <v>101239</v>
      </c>
      <c r="AT108" s="145" t="n">
        <v>26650</v>
      </c>
      <c r="AU108" s="346" t="n"/>
      <c r="AV108" s="346" t="n"/>
      <c r="AW108" s="346" t="n"/>
      <c r="AX108" s="346" t="n"/>
      <c r="AY108" s="346" t="n"/>
      <c r="AZ108" s="346" t="n"/>
      <c r="BA108" s="346" t="n"/>
      <c r="BB108" s="346" t="n"/>
      <c r="BC108" s="346" t="n"/>
      <c r="BD108" s="346" t="n"/>
      <c r="BE108" s="346" t="n"/>
      <c r="BF108" s="346" t="n"/>
      <c r="BG108" s="346" t="n"/>
      <c r="BH108" s="346" t="n"/>
      <c r="BI108" s="346" t="n"/>
      <c r="BJ108" s="346" t="n"/>
      <c r="BK108" s="346" t="n"/>
      <c r="BL108" s="346" t="n"/>
      <c r="BM108" s="346" t="n"/>
      <c r="BN108" s="346" t="n"/>
      <c r="BO108" s="346" t="n"/>
      <c r="BP108" s="346" t="n"/>
      <c r="BQ108" s="346" t="n"/>
    </row>
    <row r="109">
      <c r="A109" s="40" t="inlineStr">
        <is>
          <t>Comprehensive income</t>
        </is>
      </c>
      <c r="B109" s="133" t="n"/>
      <c r="C109" s="133" t="n"/>
      <c r="D109" s="133" t="n"/>
      <c r="E109" s="133" t="n"/>
      <c r="F109" s="133" t="n"/>
      <c r="G109" s="133" t="n"/>
      <c r="H109" s="133" t="n"/>
      <c r="I109" s="133" t="n"/>
      <c r="J109" s="133" t="n"/>
      <c r="K109" s="133" t="n"/>
      <c r="L109" s="133" t="n"/>
      <c r="M109" s="133" t="n"/>
      <c r="N109" s="133" t="n">
        <v>-5100</v>
      </c>
      <c r="O109" s="133" t="n">
        <v>-7077</v>
      </c>
      <c r="P109" s="133" t="n">
        <v>19690</v>
      </c>
      <c r="Q109" s="133" t="n">
        <v>43663</v>
      </c>
      <c r="R109" s="133" t="n">
        <v>36458</v>
      </c>
      <c r="S109" s="133" t="n">
        <v>72233</v>
      </c>
      <c r="T109" s="133" t="n">
        <v>84082</v>
      </c>
      <c r="U109" s="133" t="n">
        <v>106032</v>
      </c>
      <c r="V109" s="133" t="n">
        <v>45648</v>
      </c>
      <c r="W109" s="133" t="n">
        <v>63700</v>
      </c>
      <c r="X109" s="133" t="n">
        <v>116638</v>
      </c>
      <c r="Y109" s="133" t="n">
        <v>159210</v>
      </c>
      <c r="Z109" s="133" t="n">
        <v>25582</v>
      </c>
      <c r="AA109" s="133" t="n">
        <v>63035</v>
      </c>
      <c r="AB109" s="133" t="n">
        <v>117318</v>
      </c>
      <c r="AC109" s="133" t="n">
        <v>157173</v>
      </c>
      <c r="AD109" s="133" t="n">
        <v>27904</v>
      </c>
      <c r="AE109" s="133" t="n">
        <v>82914</v>
      </c>
      <c r="AF109" s="133" t="n">
        <v>91241</v>
      </c>
      <c r="AG109" s="133" t="n">
        <v>89883</v>
      </c>
      <c r="AH109" s="133" t="n">
        <v>19070</v>
      </c>
      <c r="AI109" s="133" t="n">
        <v>91591</v>
      </c>
      <c r="AJ109" s="133" t="n">
        <v>137810</v>
      </c>
      <c r="AK109" s="133" t="n">
        <v>172808</v>
      </c>
      <c r="AL109" s="133" t="n">
        <v>77823</v>
      </c>
      <c r="AM109" s="133" t="n">
        <v>141391</v>
      </c>
      <c r="AN109" s="133" t="n">
        <v>218639</v>
      </c>
      <c r="AO109" s="133" t="n">
        <v>263630</v>
      </c>
      <c r="AP109" s="133" t="n">
        <v>101913</v>
      </c>
      <c r="AQ109" s="133" t="n">
        <v>238508</v>
      </c>
      <c r="AR109" s="133" t="n">
        <v>383971</v>
      </c>
      <c r="AS109" s="133" t="n">
        <v>448827</v>
      </c>
      <c r="AT109" s="133" t="n">
        <v>132984</v>
      </c>
      <c r="AU109" s="659" t="n"/>
      <c r="AV109" s="659" t="n"/>
      <c r="AW109" s="659" t="n"/>
      <c r="AX109" s="659" t="n"/>
      <c r="AY109" s="659" t="n"/>
      <c r="AZ109" s="659" t="n"/>
      <c r="BA109" s="659" t="n"/>
      <c r="BB109" s="659" t="n"/>
      <c r="BC109" s="659" t="n"/>
      <c r="BD109" s="659" t="n"/>
      <c r="BE109" s="659" t="n"/>
      <c r="BF109" s="659" t="n"/>
      <c r="BG109" s="659" t="n"/>
      <c r="BH109" s="659" t="n"/>
      <c r="BI109" s="659" t="n"/>
      <c r="BJ109" s="659" t="n"/>
      <c r="BK109" s="659" t="n"/>
      <c r="BL109" s="659" t="n"/>
      <c r="BM109" s="659" t="n"/>
      <c r="BN109" s="659" t="n"/>
      <c r="BO109" s="659" t="n"/>
      <c r="BP109" s="659" t="n"/>
      <c r="BQ109" s="659" t="n"/>
    </row>
    <row r="110">
      <c r="A110" s="74" t="inlineStr">
        <is>
          <t>Comprehensive (loss) income attributable to noncontrolling interest</t>
        </is>
      </c>
      <c r="B110" s="145" t="n"/>
      <c r="C110" s="145" t="n"/>
      <c r="D110" s="145" t="n"/>
      <c r="E110" s="145" t="n"/>
      <c r="F110" s="145" t="n"/>
      <c r="G110" s="145" t="n"/>
      <c r="H110" s="145" t="n"/>
      <c r="I110" s="145" t="n"/>
      <c r="J110" s="145" t="n"/>
      <c r="K110" s="145" t="n"/>
      <c r="L110" s="145" t="n"/>
      <c r="M110" s="145" t="n"/>
      <c r="N110" s="145" t="n">
        <v>0</v>
      </c>
      <c r="O110" s="145" t="n">
        <v>0</v>
      </c>
      <c r="P110" s="145" t="n">
        <v>0</v>
      </c>
      <c r="Q110" s="145" t="n">
        <v>-32</v>
      </c>
      <c r="R110" s="145" t="n">
        <v>0</v>
      </c>
      <c r="S110" s="145" t="n">
        <v>2239</v>
      </c>
      <c r="T110" s="145" t="n">
        <v>666</v>
      </c>
      <c r="U110" s="145" t="n">
        <v>1183</v>
      </c>
      <c r="V110" s="145" t="n">
        <v>2765</v>
      </c>
      <c r="W110" s="145" t="n">
        <v>1908</v>
      </c>
      <c r="X110" s="145" t="n">
        <v>1908</v>
      </c>
      <c r="Y110" s="145" t="n">
        <v>1908</v>
      </c>
      <c r="Z110" s="145" t="n">
        <v>0</v>
      </c>
      <c r="AA110" s="145" t="n">
        <v>0</v>
      </c>
      <c r="AB110" s="145" t="n">
        <v>0</v>
      </c>
      <c r="AC110" s="145" t="n">
        <v>0</v>
      </c>
      <c r="AD110" s="145" t="n">
        <v>0</v>
      </c>
      <c r="AE110" s="145" t="n">
        <v>0</v>
      </c>
      <c r="AF110" s="145" t="n">
        <v>0</v>
      </c>
      <c r="AG110" s="145" t="n">
        <v>0</v>
      </c>
      <c r="AH110" s="145" t="n">
        <v>-13</v>
      </c>
      <c r="AI110" s="145" t="n">
        <v>-68</v>
      </c>
      <c r="AJ110" s="145" t="n">
        <v>-351</v>
      </c>
      <c r="AK110" s="145" t="n">
        <v>-442</v>
      </c>
      <c r="AL110" s="145" t="n">
        <v>5</v>
      </c>
      <c r="AM110" s="145" t="n">
        <v>-13</v>
      </c>
      <c r="AN110" s="145" t="n">
        <v>-17</v>
      </c>
      <c r="AO110" s="145" t="n">
        <v>-21</v>
      </c>
      <c r="AP110" s="145" t="n">
        <v>11</v>
      </c>
      <c r="AQ110" s="145" t="n">
        <v>-26</v>
      </c>
      <c r="AR110" s="145" t="n">
        <v>-26</v>
      </c>
      <c r="AS110" s="145" t="n">
        <v>31</v>
      </c>
      <c r="AT110" s="145" t="n">
        <v>0</v>
      </c>
      <c r="AU110" s="346" t="n"/>
      <c r="AV110" s="346" t="n"/>
      <c r="AW110" s="346" t="n"/>
      <c r="AX110" s="346" t="n"/>
      <c r="AY110" s="346" t="n"/>
      <c r="AZ110" s="346" t="n"/>
      <c r="BA110" s="346" t="n"/>
      <c r="BB110" s="346" t="n"/>
      <c r="BC110" s="346" t="n"/>
      <c r="BD110" s="346" t="n"/>
      <c r="BE110" s="346" t="n"/>
      <c r="BF110" s="346" t="n"/>
      <c r="BG110" s="346" t="n"/>
      <c r="BH110" s="346" t="n"/>
      <c r="BI110" s="346" t="n"/>
      <c r="BJ110" s="346" t="n"/>
      <c r="BK110" s="346" t="n"/>
      <c r="BL110" s="346" t="n"/>
      <c r="BM110" s="346" t="n"/>
      <c r="BN110" s="346" t="n"/>
      <c r="BO110" s="346" t="n"/>
      <c r="BP110" s="346" t="n"/>
      <c r="BQ110" s="346" t="n"/>
    </row>
    <row r="111">
      <c r="A111" s="40" t="inlineStr">
        <is>
          <t>Comprehensive income attributable to IPG Photonics Corporation</t>
        </is>
      </c>
      <c r="B111" s="133" t="n"/>
      <c r="C111" s="133" t="n"/>
      <c r="D111" s="133" t="n"/>
      <c r="E111" s="133" t="n"/>
      <c r="F111" s="133" t="n"/>
      <c r="G111" s="133" t="n"/>
      <c r="H111" s="133" t="n"/>
      <c r="I111" s="133" t="n"/>
      <c r="J111" s="133" t="n"/>
      <c r="K111" s="133" t="n"/>
      <c r="L111" s="133" t="n"/>
      <c r="M111" s="133" t="n"/>
      <c r="N111" s="147">
        <f>N109+N110</f>
        <v/>
      </c>
      <c r="O111" s="147">
        <f>O109+O110</f>
        <v/>
      </c>
      <c r="P111" s="147">
        <f>P109+P110</f>
        <v/>
      </c>
      <c r="Q111" s="133" t="n">
        <v>43695</v>
      </c>
      <c r="R111" s="147">
        <f>R109+R110</f>
        <v/>
      </c>
      <c r="S111" s="133" t="n">
        <v>69994</v>
      </c>
      <c r="T111" s="133" t="n">
        <v>83416</v>
      </c>
      <c r="U111" s="133" t="n">
        <v>104849</v>
      </c>
      <c r="V111" s="133" t="n">
        <v>42883</v>
      </c>
      <c r="W111" s="133" t="n">
        <v>61792</v>
      </c>
      <c r="X111" s="133" t="n">
        <v>114730</v>
      </c>
      <c r="Y111" s="133" t="n">
        <v>157302</v>
      </c>
      <c r="Z111" s="147">
        <f>Z109-Z110</f>
        <v/>
      </c>
      <c r="AA111" s="147">
        <f>AA109-AA110</f>
        <v/>
      </c>
      <c r="AB111" s="147">
        <f>AB109-AB110</f>
        <v/>
      </c>
      <c r="AC111" s="133" t="n">
        <v>157173</v>
      </c>
      <c r="AD111" s="133" t="n">
        <v>27904</v>
      </c>
      <c r="AE111" s="133" t="n">
        <v>82914</v>
      </c>
      <c r="AF111" s="133" t="n">
        <v>91241</v>
      </c>
      <c r="AG111" s="133" t="n">
        <v>89883</v>
      </c>
      <c r="AH111" s="133" t="n">
        <v>19083</v>
      </c>
      <c r="AI111" s="133" t="n">
        <v>91659</v>
      </c>
      <c r="AJ111" s="133" t="n">
        <v>138161</v>
      </c>
      <c r="AK111" s="133" t="n">
        <v>173250</v>
      </c>
      <c r="AL111" s="133" t="n">
        <v>77818</v>
      </c>
      <c r="AM111" s="133" t="n">
        <v>141404</v>
      </c>
      <c r="AN111" s="133" t="n">
        <v>218656</v>
      </c>
      <c r="AO111" s="133" t="n">
        <v>263651</v>
      </c>
      <c r="AP111" s="133" t="n">
        <v>101902</v>
      </c>
      <c r="AQ111" s="133" t="n">
        <v>238534</v>
      </c>
      <c r="AR111" s="133" t="n">
        <v>383997</v>
      </c>
      <c r="AS111" s="133" t="n">
        <v>448796</v>
      </c>
      <c r="AT111" s="133" t="n">
        <v>132984</v>
      </c>
      <c r="AU111" s="659" t="n"/>
      <c r="AV111" s="659" t="n"/>
      <c r="AW111" s="659" t="n"/>
      <c r="AX111" s="659" t="n"/>
      <c r="AY111" s="659" t="n"/>
      <c r="AZ111" s="659" t="n"/>
      <c r="BA111" s="659" t="n"/>
      <c r="BB111" s="659" t="n"/>
      <c r="BC111" s="659" t="n"/>
      <c r="BD111" s="659" t="n"/>
      <c r="BE111" s="659" t="n"/>
      <c r="BF111" s="659" t="n"/>
      <c r="BG111" s="659" t="n"/>
      <c r="BH111" s="659" t="n"/>
      <c r="BI111" s="659" t="n"/>
      <c r="BJ111" s="659" t="n"/>
      <c r="BK111" s="659" t="n"/>
      <c r="BL111" s="659" t="n"/>
      <c r="BM111" s="659" t="n"/>
      <c r="BN111" s="659" t="n"/>
      <c r="BO111" s="659" t="n"/>
      <c r="BP111" s="659" t="n"/>
      <c r="BQ111" s="659" t="n"/>
    </row>
    <row r="112">
      <c r="A112" s="40" t="n"/>
      <c r="B112" s="145" t="n"/>
      <c r="C112" s="145" t="n"/>
      <c r="D112" s="145" t="n"/>
      <c r="E112" s="145" t="n"/>
      <c r="F112" s="145" t="n"/>
      <c r="G112" s="145" t="n"/>
      <c r="H112" s="145" t="n"/>
      <c r="I112" s="145" t="n"/>
      <c r="J112" s="145" t="n"/>
      <c r="K112" s="145" t="n"/>
      <c r="L112" s="145" t="n"/>
      <c r="M112" s="145" t="n"/>
      <c r="N112" s="145" t="n"/>
      <c r="O112" s="145" t="n"/>
      <c r="P112" s="145" t="n"/>
      <c r="Q112" s="145" t="n"/>
      <c r="R112" s="145" t="n"/>
      <c r="S112" s="145" t="n"/>
      <c r="T112" s="145" t="n"/>
      <c r="U112" s="145" t="n"/>
      <c r="V112" s="145" t="n"/>
      <c r="W112" s="145" t="n"/>
      <c r="X112" s="145" t="n"/>
      <c r="Y112" s="145" t="n"/>
      <c r="Z112" s="145" t="n"/>
      <c r="AA112" s="145" t="n"/>
      <c r="AB112" s="145" t="n"/>
      <c r="AC112" s="145" t="n"/>
      <c r="AD112" s="145" t="n"/>
      <c r="AE112" s="145" t="n"/>
      <c r="AF112" s="145" t="n"/>
      <c r="AG112" s="145" t="n"/>
      <c r="AH112" s="145" t="n"/>
      <c r="AI112" s="145" t="n"/>
      <c r="AJ112" s="145" t="n"/>
      <c r="AK112" s="145" t="n"/>
      <c r="AL112" s="145" t="n"/>
      <c r="AM112" s="145" t="n"/>
      <c r="AN112" s="145" t="n"/>
      <c r="AO112" s="145" t="n"/>
      <c r="AP112" s="145" t="n"/>
      <c r="AQ112" s="145" t="n"/>
      <c r="AR112" s="145" t="n"/>
      <c r="AS112" s="145" t="n"/>
      <c r="AT112" s="145" t="n"/>
      <c r="AU112" s="145" t="n"/>
      <c r="AV112" s="145" t="n"/>
      <c r="AW112" s="145" t="n"/>
      <c r="AX112" s="145" t="n"/>
      <c r="AY112" s="145" t="n"/>
      <c r="AZ112" s="145" t="n"/>
      <c r="BA112" s="145" t="n"/>
      <c r="BB112" s="145" t="n"/>
      <c r="BC112" s="145" t="n"/>
      <c r="BD112" s="145" t="n"/>
      <c r="BE112" s="145" t="n"/>
      <c r="BF112" s="145" t="n"/>
      <c r="BG112" s="145" t="n"/>
      <c r="BH112" s="145" t="n"/>
      <c r="BJ112" s="145" t="n"/>
    </row>
    <row r="113">
      <c r="A113" s="455" t="inlineStr">
        <is>
          <t>Check</t>
        </is>
      </c>
      <c r="B113" s="400" t="n"/>
      <c r="C113" s="400" t="n"/>
      <c r="D113" s="400" t="n"/>
      <c r="E113" s="400" t="n"/>
      <c r="F113" s="400" t="n"/>
      <c r="G113" s="400" t="n"/>
      <c r="H113" s="400" t="n"/>
      <c r="I113" s="400" t="n"/>
      <c r="J113" s="400" t="n"/>
      <c r="K113" s="400" t="n"/>
      <c r="L113" s="400" t="n"/>
      <c r="M113" s="400" t="n"/>
      <c r="N113" s="400">
        <f>N79-N80-SUM(N82:N85)-N87</f>
        <v/>
      </c>
      <c r="O113" s="400">
        <f>O79-O80-SUM(O82:O85)-O87</f>
        <v/>
      </c>
      <c r="P113" s="400">
        <f>P79-P80-SUM(P82:P85)-P87</f>
        <v/>
      </c>
      <c r="Q113" s="400">
        <f>Q79-Q80-SUM(Q82:Q85)-Q87</f>
        <v/>
      </c>
      <c r="R113" s="400">
        <f>R79-R80-SUM(R82:R85)-R87</f>
        <v/>
      </c>
      <c r="S113" s="400">
        <f>S79-S80-SUM(S82:S85)-S87</f>
        <v/>
      </c>
      <c r="T113" s="400">
        <f>T79-T80-SUM(T82:T85)-T87</f>
        <v/>
      </c>
      <c r="U113" s="400">
        <f>U79-U80-SUM(U82:U85)-U87</f>
        <v/>
      </c>
      <c r="V113" s="400">
        <f>V79-V80-SUM(V82:V85)-V87</f>
        <v/>
      </c>
      <c r="W113" s="400">
        <f>W79-W80-SUM(W82:W85)-W87</f>
        <v/>
      </c>
      <c r="X113" s="400">
        <f>X79-X80-SUM(X82:X85)-X87</f>
        <v/>
      </c>
      <c r="Y113" s="400">
        <f>Y79-Y80-SUM(Y82:Y85)-Y87</f>
        <v/>
      </c>
      <c r="Z113" s="400">
        <f>Z79-Z80-SUM(Z82:Z85)-Z87</f>
        <v/>
      </c>
      <c r="AA113" s="400">
        <f>AA79-AA80-SUM(AA82:AA85)-AA87</f>
        <v/>
      </c>
      <c r="AB113" s="400">
        <f>AB79-AB80-SUM(AB82:AB85)-AB87</f>
        <v/>
      </c>
      <c r="AC113" s="400">
        <f>AC79-AC80-SUM(AC82:AC85)-AC87</f>
        <v/>
      </c>
      <c r="AD113" s="400">
        <f>AD79-AD80-SUM(AD82:AD85)-AD87</f>
        <v/>
      </c>
      <c r="AE113" s="400">
        <f>AE79-AE80-SUM(AE82:AE85)-AE87</f>
        <v/>
      </c>
      <c r="AF113" s="400">
        <f>AF79-AF80-SUM(AF82:AF85)-AF87</f>
        <v/>
      </c>
      <c r="AG113" s="400">
        <f>AG79-AG80-SUM(AG82:AG85)-AG87</f>
        <v/>
      </c>
      <c r="AH113" s="400">
        <f>AH79-AH80-SUM(AH82:AH85)-AH87</f>
        <v/>
      </c>
      <c r="AI113" s="400">
        <f>AI79-AI80-SUM(AI82:AI85)-AI87</f>
        <v/>
      </c>
      <c r="AJ113" s="400">
        <f>AJ79-AJ80-SUM(AJ82:AJ85)-AJ87</f>
        <v/>
      </c>
      <c r="AK113" s="400">
        <f>AK79-AK80-SUM(AK82:AK85)-AK87</f>
        <v/>
      </c>
      <c r="AL113" s="400">
        <f>AL79-AL80-SUM(AL82:AL85)-AL87</f>
        <v/>
      </c>
      <c r="AM113" s="400">
        <f>AM79-AM80-SUM(AM82:AM85)-AM87</f>
        <v/>
      </c>
      <c r="AN113" s="400">
        <f>AN79-AN80-SUM(AN82:AN85)-AN87</f>
        <v/>
      </c>
      <c r="AO113" s="400">
        <f>AO79-AO80-SUM(AO82:AO85)-AO87</f>
        <v/>
      </c>
      <c r="AP113" s="400">
        <f>AP79-AP80-SUM(AP82:AP85)-AP87</f>
        <v/>
      </c>
      <c r="AQ113" s="400">
        <f>AQ79-AQ80-SUM(AQ82:AQ85)-AQ87</f>
        <v/>
      </c>
      <c r="AR113" s="400">
        <f>AR79-AR80-SUM(AR82:AR85)-AR87</f>
        <v/>
      </c>
      <c r="AS113" s="400">
        <f>AS79-AS80-SUM(AS82:AS85)-AS87</f>
        <v/>
      </c>
      <c r="AT113" s="400">
        <f>AT79-AT80-SUM(AT82:AT85)-AT87</f>
        <v/>
      </c>
      <c r="AU113" s="400">
        <f>AU79-AU80-SUM(AU82:AU85)-AU87</f>
        <v/>
      </c>
      <c r="AV113" s="400">
        <f>AV79-AV80-SUM(AV82:AV85)-AV87</f>
        <v/>
      </c>
      <c r="AW113" s="400">
        <f>AW79-AW80-SUM(AW82:AW85)-AW87</f>
        <v/>
      </c>
      <c r="AX113" s="400">
        <f>AX79-AX80-SUM(AX82:AX85)-AX87</f>
        <v/>
      </c>
      <c r="AY113" s="400">
        <f>AY79-AY80-SUM(AY82:AY85)-AY87</f>
        <v/>
      </c>
      <c r="AZ113" s="400">
        <f>AZ79-AZ80-SUM(AZ82:AZ85)-AZ87</f>
        <v/>
      </c>
      <c r="BA113" s="400">
        <f>BA79-BA80-SUM(BA82:BA85)-BA87</f>
        <v/>
      </c>
      <c r="BB113" s="400">
        <f>BB79-BB80-SUM(BB82:BB85)-BB87</f>
        <v/>
      </c>
      <c r="BC113" s="400">
        <f>BC79-BC80-SUM(BC82:BC85)-BC87</f>
        <v/>
      </c>
      <c r="BD113" s="400">
        <f>BD79-BD80-SUM(BD82:BD85)-BD87</f>
        <v/>
      </c>
      <c r="BE113" s="400">
        <f>BE79-BE80-SUM(BE82:BE85)-BE87</f>
        <v/>
      </c>
      <c r="BF113" s="400">
        <f>BF79-BF80-SUM(BF82:BF85)-BF87</f>
        <v/>
      </c>
      <c r="BG113" s="400">
        <f>BG79-BG80-SUM(BG82:BG85)-BG87</f>
        <v/>
      </c>
      <c r="BH113" s="400">
        <f>BH79-BH80-SUM(BH82:BH85)-BH87</f>
        <v/>
      </c>
      <c r="BI113" s="400">
        <f>BI79-BI80-SUM(BI82:BI85)-BI87</f>
        <v/>
      </c>
      <c r="BJ113" s="400">
        <f>BJ79-BJ80-SUM(BJ82:BJ85)-BJ87</f>
        <v/>
      </c>
      <c r="BK113" s="400">
        <f>BK79-BK80-SUM(BK82:BK85)-BK87</f>
        <v/>
      </c>
      <c r="BL113" s="400">
        <f>BL79-BL80-SUM(BL82:BL85)-BL87</f>
        <v/>
      </c>
      <c r="BM113" s="400">
        <f>BM79-BM80-SUM(BM82:BM85)-BM87</f>
        <v/>
      </c>
      <c r="BN113" s="400">
        <f>BN79-BN80-SUM(BN82:BN85)-BN87</f>
        <v/>
      </c>
      <c r="BO113" s="400">
        <f>BO79-BO80-SUM(BO82:BO85)-BO87</f>
        <v/>
      </c>
      <c r="BP113" s="400">
        <f>BP79-BP80-SUM(BP82:BP85)-BP87</f>
        <v/>
      </c>
      <c r="BQ113" s="400">
        <f>BQ79-BQ80-SUM(BQ82:BQ85)-BQ87</f>
        <v/>
      </c>
      <c r="BR113" s="400">
        <f>BR79-BR80-SUM(BR82:BR85)-BR87</f>
        <v/>
      </c>
      <c r="BS113" t="n">
        <v>0</v>
      </c>
      <c r="BT113" t="inlineStr">
        <is>
          <t>IPGP-Financial-Data-Workbook-2024-Q2.xlsx|Income Statement|32|93</t>
        </is>
      </c>
    </row>
    <row r="114">
      <c r="A114" s="455">
        <f>A113</f>
        <v/>
      </c>
      <c r="B114" s="400" t="n"/>
      <c r="C114" s="400" t="n"/>
      <c r="D114" s="400" t="n"/>
      <c r="E114" s="400" t="n"/>
      <c r="F114" s="400" t="n"/>
      <c r="G114" s="400" t="n"/>
      <c r="H114" s="400" t="n"/>
      <c r="I114" s="400" t="n"/>
      <c r="J114" s="400" t="n"/>
      <c r="K114" s="400" t="n"/>
      <c r="L114" s="400" t="n"/>
      <c r="M114" s="400" t="n"/>
      <c r="N114" s="400">
        <f>N87+SUM(N88:N89)+N92-N94-N95</f>
        <v/>
      </c>
      <c r="O114" s="400">
        <f>O87+SUM(O88:O89)+O92-O94-O95</f>
        <v/>
      </c>
      <c r="P114" s="400">
        <f>P87+SUM(P88:P89)+P92-P94-P95</f>
        <v/>
      </c>
      <c r="Q114" s="400">
        <f>Q87+SUM(Q88:Q89)+Q92-Q94-Q95</f>
        <v/>
      </c>
      <c r="R114" s="400">
        <f>R87+SUM(R88:R89)+R92-R94-R95</f>
        <v/>
      </c>
      <c r="S114" s="400">
        <f>S87+SUM(S88:S89)+S92-S94-S95</f>
        <v/>
      </c>
      <c r="T114" s="400">
        <f>T87+SUM(T88:T89)+T92-T94-T95</f>
        <v/>
      </c>
      <c r="U114" s="400">
        <f>U87+SUM(U88:U89)+U92-U94-U95</f>
        <v/>
      </c>
      <c r="V114" s="400">
        <f>V87+SUM(V88:V89)+V92-V94-V95</f>
        <v/>
      </c>
      <c r="W114" s="400">
        <f>W87+SUM(W88:W89)+W92-W94-W95</f>
        <v/>
      </c>
      <c r="X114" s="400">
        <f>X87+SUM(X88:X89)+X92-X94-X95</f>
        <v/>
      </c>
      <c r="Y114" s="400">
        <f>Y87+SUM(Y88:Y89)+Y92-Y94-Y95</f>
        <v/>
      </c>
      <c r="Z114" s="400">
        <f>Z87+SUM(Z88:Z89)+Z92-Z94-Z95</f>
        <v/>
      </c>
      <c r="AA114" s="400">
        <f>AA87+SUM(AA88:AA89)+AA92-AA94-AA95</f>
        <v/>
      </c>
      <c r="AB114" s="400">
        <f>AB87+SUM(AB88:AB89)+AB92-AB94-AB95</f>
        <v/>
      </c>
      <c r="AC114" s="400">
        <f>AC87+SUM(AC88:AC89)+AC92-AC94-AC95</f>
        <v/>
      </c>
      <c r="AD114" s="400">
        <f>AD87+SUM(AD88:AD89)+AD92-AD94-AD95</f>
        <v/>
      </c>
      <c r="AE114" s="400">
        <f>AE87+SUM(AE88:AE89)+AE92-AE94-AE95</f>
        <v/>
      </c>
      <c r="AF114" s="400">
        <f>AF87+SUM(AF88:AF89)+AF92-AF94-AF95</f>
        <v/>
      </c>
      <c r="AG114" s="400">
        <f>AG87+SUM(AG88:AG89)+AG92-AG94-AG95</f>
        <v/>
      </c>
      <c r="AH114" s="400">
        <f>AH87+SUM(AH88:AH89)+AH92-AH94-AH95</f>
        <v/>
      </c>
      <c r="AI114" s="400">
        <f>AI87+SUM(AI88:AI89)+AI92-AI94-AI95</f>
        <v/>
      </c>
      <c r="AJ114" s="400">
        <f>AJ87+SUM(AJ88:AJ89)+AJ92-AJ94-AJ95</f>
        <v/>
      </c>
      <c r="AK114" s="400">
        <f>AK87+SUM(AK88:AK89)+AK92-AK94-AK95</f>
        <v/>
      </c>
      <c r="AL114" s="400">
        <f>AL87+SUM(AL88:AL89)+AL92-AL94-AL95</f>
        <v/>
      </c>
      <c r="AM114" s="400">
        <f>AM87+SUM(AM88:AM89)+AM92-AM94-AM95</f>
        <v/>
      </c>
      <c r="AN114" s="400">
        <f>AN87+SUM(AN88:AN89)+AN92-AN94-AN95</f>
        <v/>
      </c>
      <c r="AO114" s="400">
        <f>AO87+SUM(AO88:AO89)+AO92-AO94-AO95</f>
        <v/>
      </c>
      <c r="AP114" s="400">
        <f>AP87+SUM(AP88:AP89)+AP92-AP94-AP95</f>
        <v/>
      </c>
      <c r="AQ114" s="400">
        <f>AQ87+SUM(AQ88:AQ89)+AQ92-AQ94-AQ95</f>
        <v/>
      </c>
      <c r="AR114" s="400">
        <f>AR87+SUM(AR88:AR89)+AR92-AR94-AR95</f>
        <v/>
      </c>
      <c r="AS114" s="400">
        <f>AS87+SUM(AS88:AS89)+AS92-AS94-AS95</f>
        <v/>
      </c>
      <c r="AT114" s="400">
        <f>AT87+SUM(AT88:AT89)+AT92-AT94-AT95</f>
        <v/>
      </c>
      <c r="AU114" s="400">
        <f>AU87+SUM(AU88:AU89)+AU92-AU94-AU95</f>
        <v/>
      </c>
      <c r="AV114" s="400">
        <f>AV87+SUM(AV88:AV89)+AV92-AV94-AV95</f>
        <v/>
      </c>
      <c r="AW114" s="400">
        <f>AW87+SUM(AW88:AW89)+AW92-AW94-AW95</f>
        <v/>
      </c>
      <c r="AX114" s="400">
        <f>AX87+SUM(AX88:AX89)+AX92-AX94-AX95</f>
        <v/>
      </c>
      <c r="AY114" s="400">
        <f>AY87+SUM(AY88:AY89)+AY92-AY94-AY95</f>
        <v/>
      </c>
      <c r="AZ114" s="400">
        <f>AZ87+SUM(AZ88:AZ89)+AZ92-AZ94-AZ95</f>
        <v/>
      </c>
      <c r="BA114" s="400">
        <f>BA87+SUM(BA88:BA89)+BA92-BA94-BA95</f>
        <v/>
      </c>
      <c r="BB114" s="400">
        <f>BB87+SUM(BB88:BB89)+BB92-BB94-BB95</f>
        <v/>
      </c>
      <c r="BC114" s="400">
        <f>BC87+SUM(BC88:BC89)+BC92-BC94-BC95</f>
        <v/>
      </c>
      <c r="BD114" s="400">
        <f>BD87+SUM(BD88:BD89)+BD92-BD94-BD95</f>
        <v/>
      </c>
      <c r="BE114" s="400">
        <f>BE87+SUM(BE88:BE89)+BE92-BE94-BE95</f>
        <v/>
      </c>
      <c r="BF114" s="400">
        <f>BF87+SUM(BF88:BF89)+BF92-BF94-BF95</f>
        <v/>
      </c>
      <c r="BG114" s="400">
        <f>BG87+SUM(BG88:BG89)+BG92-BG94-BG95</f>
        <v/>
      </c>
      <c r="BH114" s="400">
        <f>BH87+SUM(BH88:BH89)+BH92-BH94-BH95</f>
        <v/>
      </c>
      <c r="BI114" s="400">
        <f>BI87+SUM(BI88:BI89)+BI92-BI94-BI95</f>
        <v/>
      </c>
      <c r="BJ114" s="400">
        <f>BJ87+SUM(BJ88:BJ89)+BJ92-BJ94-BJ95</f>
        <v/>
      </c>
      <c r="BK114" s="400">
        <f>BK87+SUM(BK88:BK89)+BK92-BK94-BK95</f>
        <v/>
      </c>
      <c r="BL114" s="400">
        <f>BL87+SUM(BL88:BL89)+BL92-BL94-BL95</f>
        <v/>
      </c>
      <c r="BM114" s="400">
        <f>BM87+SUM(BM88:BM89)+BM92-BM94-BM95</f>
        <v/>
      </c>
      <c r="BN114" s="400">
        <f>BN87+SUM(BN88:BN89)+BN92-BN94-BN95</f>
        <v/>
      </c>
      <c r="BO114" s="400">
        <f>BO87+SUM(BO88:BO89)+BO92-BO94-BO95</f>
        <v/>
      </c>
      <c r="BP114" s="400">
        <f>BP87+SUM(BP88:BP89)+BP92-BP94-BP95</f>
        <v/>
      </c>
      <c r="BQ114" s="400">
        <f>BQ87+SUM(BQ88:BQ89)+BQ92-BQ94-BQ95</f>
        <v/>
      </c>
      <c r="BR114" s="400">
        <f>BR87+SUM(BR88:BR89)+BR92-BR94-BR95</f>
        <v/>
      </c>
      <c r="BS114" t="n">
        <v>0</v>
      </c>
      <c r="BT114" t="inlineStr">
        <is>
          <t>IPGP-Financial-Data-Workbook-2024-Q2.xlsx|Balance Sheet|27|93</t>
        </is>
      </c>
    </row>
    <row r="115">
      <c r="A115" s="455">
        <f>A114</f>
        <v/>
      </c>
      <c r="B115" s="400" t="n"/>
      <c r="C115" s="400" t="n"/>
      <c r="D115" s="400" t="n"/>
      <c r="E115" s="400" t="n"/>
      <c r="F115" s="400" t="n"/>
      <c r="G115" s="400" t="n"/>
      <c r="H115" s="400" t="n"/>
      <c r="I115" s="400" t="n"/>
      <c r="J115" s="400" t="n"/>
      <c r="K115" s="400" t="n"/>
      <c r="L115" s="400" t="n"/>
      <c r="M115" s="400" t="n"/>
      <c r="N115" s="400">
        <f>ROUND(N95/N100-N97,2)</f>
        <v/>
      </c>
      <c r="O115" s="400">
        <f>ROUND(O95/O100-O97,2)</f>
        <v/>
      </c>
      <c r="P115" s="400">
        <f>ROUND(P95/P100-P97,2)</f>
        <v/>
      </c>
      <c r="Q115" s="400">
        <f>ROUND(Q95/Q100-Q97,2)</f>
        <v/>
      </c>
      <c r="R115" s="400">
        <f>ROUND(R95/R100-R97,2)</f>
        <v/>
      </c>
      <c r="S115" s="400">
        <f>ROUND(S95/S100-S97,2)</f>
        <v/>
      </c>
      <c r="T115" s="400">
        <f>ROUND(T95/T100-T97,2)</f>
        <v/>
      </c>
      <c r="U115" s="400">
        <f>ROUND(U95/U100-U97,2)</f>
        <v/>
      </c>
      <c r="V115" s="400">
        <f>ROUND(V95/V100-V97,2)</f>
        <v/>
      </c>
      <c r="W115" s="400">
        <f>ROUND(W95/W100-W97,2)</f>
        <v/>
      </c>
      <c r="X115" s="400">
        <f>ROUND(X95/X100-X97,2)</f>
        <v/>
      </c>
      <c r="Y115" s="400">
        <f>ROUND(Y95/Y100-Y97,2)</f>
        <v/>
      </c>
      <c r="Z115" s="400">
        <f>ROUND(Z95/Z100-Z97,2)</f>
        <v/>
      </c>
      <c r="AA115" s="400">
        <f>ROUND(AA95/AA100-AA97,2)</f>
        <v/>
      </c>
      <c r="AB115" s="400">
        <f>ROUND(AB95/AB100-AB97,2)</f>
        <v/>
      </c>
      <c r="AC115" s="400">
        <f>ROUND(AC95/AC100-AC97,2)</f>
        <v/>
      </c>
      <c r="AD115" s="400">
        <f>ROUND(AD95/AD100-AD97,2)</f>
        <v/>
      </c>
      <c r="AE115" s="400">
        <f>ROUND(AE95/AE100-AE97,2)</f>
        <v/>
      </c>
      <c r="AF115" s="400">
        <f>ROUND(AF95/AF100-AF97,2)</f>
        <v/>
      </c>
      <c r="AG115" s="400">
        <f>ROUND(AG95/AG100-AG97,2)</f>
        <v/>
      </c>
      <c r="AH115" s="400">
        <f>ROUND(AH95/AH100-AH97,2)</f>
        <v/>
      </c>
      <c r="AI115" s="400">
        <f>ROUND(AI95/AI100-AI97,2)</f>
        <v/>
      </c>
      <c r="AJ115" s="400">
        <f>ROUND(AJ95/AJ100-AJ97,2)</f>
        <v/>
      </c>
      <c r="AK115" s="400">
        <f>ROUND(AK95/AK100-AK97,2)</f>
        <v/>
      </c>
      <c r="AL115" s="400">
        <f>ROUND(AL95/AL100-AL97,2)</f>
        <v/>
      </c>
      <c r="AM115" s="400">
        <f>ROUND(AM95/AM100-AM97,2)</f>
        <v/>
      </c>
      <c r="AN115" s="400">
        <f>ROUND(AN95/AN100-AN97,2)</f>
        <v/>
      </c>
      <c r="AO115" s="400">
        <f>ROUND(AO95/AO100-AO97,2)</f>
        <v/>
      </c>
      <c r="AP115" s="400">
        <f>ROUND(AP95/AP100-AP97,2)</f>
        <v/>
      </c>
      <c r="AQ115" s="400">
        <f>ROUND(AQ95/AQ100-AQ97,2)</f>
        <v/>
      </c>
      <c r="AR115" s="400">
        <f>ROUND(AR95/AR100-AR97,2)</f>
        <v/>
      </c>
      <c r="AS115" s="400">
        <f>ROUND(AS95/AS100-AS97,2)</f>
        <v/>
      </c>
      <c r="AT115" s="400">
        <f>ROUND(AT95/AT100-AT97,2)</f>
        <v/>
      </c>
      <c r="AU115" s="400">
        <f>ROUND(AU95/AU100-AU97,2)</f>
        <v/>
      </c>
      <c r="AV115" s="400">
        <f>ROUND(AV95/AV100-AV97,2)</f>
        <v/>
      </c>
      <c r="AW115" s="400">
        <f>ROUND(AW95/AW100-AW97,2)</f>
        <v/>
      </c>
      <c r="AX115" s="400">
        <f>ROUND(AX95/AX100-AX97,2)</f>
        <v/>
      </c>
      <c r="AY115" s="400">
        <f>ROUND(AY95/AY100-AY97,2)</f>
        <v/>
      </c>
      <c r="AZ115" s="400">
        <f>ROUND(AZ95/AZ100-AZ97,2)</f>
        <v/>
      </c>
      <c r="BA115" s="400">
        <f>ROUND(BA95/BA100-BA97,2)</f>
        <v/>
      </c>
      <c r="BB115" s="400">
        <f>ROUND(BB95/BB100-BB97,2)</f>
        <v/>
      </c>
      <c r="BC115" s="400">
        <f>ROUND(BC95/BC100-BC97,2)</f>
        <v/>
      </c>
      <c r="BD115" s="400">
        <f>ROUND(BD95/BD100-BD97,2)</f>
        <v/>
      </c>
      <c r="BE115" s="400">
        <f>ROUND(BE95/BE100-BE97,2)</f>
        <v/>
      </c>
      <c r="BF115" s="400">
        <f>ROUND(BF95/BF100-BF97,2)</f>
        <v/>
      </c>
      <c r="BG115" s="400">
        <f>ROUND(BG95/BG100-BG97,2)</f>
        <v/>
      </c>
      <c r="BH115" s="400">
        <f>ROUND(BH95/BH100-BH97,2)</f>
        <v/>
      </c>
      <c r="BI115" s="400">
        <f>ROUND(BI95/BI100-BI97,2)</f>
        <v/>
      </c>
      <c r="BJ115" s="400">
        <f>ROUND(BJ95/BJ100-BJ97,2)</f>
        <v/>
      </c>
      <c r="BK115" s="400">
        <f>ROUND(BK95/BK100-BK97,2)</f>
        <v/>
      </c>
      <c r="BL115" s="400">
        <f>ROUND(BL95/BL100-BL97,2)</f>
        <v/>
      </c>
      <c r="BM115" s="400">
        <f>ROUND(BM95/BM100-BM97,2)</f>
        <v/>
      </c>
      <c r="BN115" s="400">
        <f>ROUND(BN95/BN100-BN97,2)</f>
        <v/>
      </c>
      <c r="BO115" s="400">
        <f>ROUND(BO95/BO100-BO97,2)</f>
        <v/>
      </c>
      <c r="BP115" s="400">
        <f>ROUND(BP95/BP100-BP97,2)</f>
        <v/>
      </c>
      <c r="BQ115" s="400">
        <f>ROUND(BQ95/BQ100-BQ97,2)</f>
        <v/>
      </c>
      <c r="BR115" s="400">
        <f>ROUND(BR95/BR100-BR97,2)</f>
        <v/>
      </c>
      <c r="BS115" t="n">
        <v>0</v>
      </c>
      <c r="BT115" t="inlineStr">
        <is>
          <t>IPGP-Financial-Data-Workbook-2024-Q2.xlsx|Balance Sheet|28|93</t>
        </is>
      </c>
    </row>
    <row r="116">
      <c r="A116" s="455">
        <f>A115</f>
        <v/>
      </c>
      <c r="B116" s="400" t="n"/>
      <c r="C116" s="400" t="n"/>
      <c r="D116" s="400" t="n"/>
      <c r="E116" s="400" t="n"/>
      <c r="F116" s="400" t="n"/>
      <c r="G116" s="400" t="n"/>
      <c r="H116" s="400" t="n"/>
      <c r="I116" s="400" t="n"/>
      <c r="J116" s="400" t="n"/>
      <c r="K116" s="400" t="n"/>
      <c r="L116" s="400" t="n"/>
      <c r="M116" s="400" t="n"/>
      <c r="N116" s="400">
        <f>N103+SUM(N104:N107)-N110-N111</f>
        <v/>
      </c>
      <c r="O116" s="400">
        <f>O103+SUM(O104:O107)-O110-O111</f>
        <v/>
      </c>
      <c r="P116" s="400">
        <f>P103+SUM(P104:P107)-P110-P111</f>
        <v/>
      </c>
      <c r="Q116" s="400">
        <f>Q103+SUM(Q104:Q107)-Q110-Q111</f>
        <v/>
      </c>
      <c r="R116" s="400">
        <f>R103+SUM(R104:R107)-R110-R111</f>
        <v/>
      </c>
      <c r="S116" s="400">
        <f>S103+SUM(S104:S107)-S110-S111</f>
        <v/>
      </c>
      <c r="T116" s="400">
        <f>T103+SUM(T104:T107)-T110-T111</f>
        <v/>
      </c>
      <c r="U116" s="400">
        <f>U103+SUM(U104:U107)-U110-U111</f>
        <v/>
      </c>
      <c r="V116" s="400">
        <f>V103+SUM(V104:V107)-V110-V111</f>
        <v/>
      </c>
      <c r="W116" s="400">
        <f>W103+SUM(W104:W107)-W110-W111</f>
        <v/>
      </c>
      <c r="X116" s="400">
        <f>X103+SUM(X104:X107)-X110-X111</f>
        <v/>
      </c>
      <c r="Y116" s="400">
        <f>Y103+SUM(Y104:Y107)-Y110-Y111</f>
        <v/>
      </c>
      <c r="Z116" s="400">
        <f>Z103+SUM(Z104:Z107)-Z110-Z111</f>
        <v/>
      </c>
      <c r="AA116" s="400">
        <f>AA103+SUM(AA104:AA107)-AA110-AA111</f>
        <v/>
      </c>
      <c r="AB116" s="400">
        <f>AB103+SUM(AB104:AB107)-AB110-AB111</f>
        <v/>
      </c>
      <c r="AC116" s="400">
        <f>AC103+SUM(AC104:AC107)-AC110-AC111</f>
        <v/>
      </c>
      <c r="AD116" s="400">
        <f>AD103+SUM(AD104:AD107)-AD110-AD111</f>
        <v/>
      </c>
      <c r="AE116" s="400">
        <f>AE103+SUM(AE104:AE107)-AE110-AE111</f>
        <v/>
      </c>
      <c r="AF116" s="400">
        <f>AF103+SUM(AF104:AF107)-AF110-AF111</f>
        <v/>
      </c>
      <c r="AG116" s="400">
        <f>AG103+SUM(AG104:AG107)-AG110-AG111</f>
        <v/>
      </c>
      <c r="AH116" s="400">
        <f>AH103+SUM(AH104:AH107)-AH110-AH111</f>
        <v/>
      </c>
      <c r="AI116" s="400">
        <f>AI103+SUM(AI104:AI107)-AI110-AI111</f>
        <v/>
      </c>
      <c r="AJ116" s="400">
        <f>AJ103+SUM(AJ104:AJ107)-AJ110-AJ111</f>
        <v/>
      </c>
      <c r="AK116" s="400">
        <f>AK103+SUM(AK104:AK107)-AK110-AK111</f>
        <v/>
      </c>
      <c r="AL116" s="400">
        <f>AL103+SUM(AL104:AL107)-AL110-AL111</f>
        <v/>
      </c>
      <c r="AM116" s="400">
        <f>AM103+SUM(AM104:AM107)-AM110-AM111</f>
        <v/>
      </c>
      <c r="AN116" s="400">
        <f>AN103+SUM(AN104:AN107)-AN110-AN111</f>
        <v/>
      </c>
      <c r="AO116" s="400">
        <f>AO103+SUM(AO104:AO107)-AO110-AO111</f>
        <v/>
      </c>
      <c r="AP116" s="400">
        <f>AP103+SUM(AP104:AP107)-AP110-AP111</f>
        <v/>
      </c>
      <c r="AQ116" s="400">
        <f>AQ103+SUM(AQ104:AQ107)-AQ110-AQ111</f>
        <v/>
      </c>
      <c r="AR116" s="400">
        <f>AR103+SUM(AR104:AR107)-AR110-AR111</f>
        <v/>
      </c>
      <c r="AS116" s="400">
        <f>AS103+SUM(AS104:AS107)-AS110-AS111</f>
        <v/>
      </c>
      <c r="AT116" s="400">
        <f>AT103+SUM(AT104:AT107)-AT110-AT111</f>
        <v/>
      </c>
      <c r="AU116" s="400">
        <f>AU103+SUM(AU104:AU107)-AU110-AU111</f>
        <v/>
      </c>
      <c r="AV116" s="400">
        <f>AV103+SUM(AV104:AV107)-AV110-AV111</f>
        <v/>
      </c>
      <c r="AW116" s="400">
        <f>AW103+SUM(AW104:AW107)-AW110-AW111</f>
        <v/>
      </c>
      <c r="AX116" s="400">
        <f>AX103+SUM(AX104:AX107)-AX110-AX111</f>
        <v/>
      </c>
      <c r="AY116" s="400">
        <f>AY103+SUM(AY104:AY107)-AY110-AY111</f>
        <v/>
      </c>
      <c r="AZ116" s="400">
        <f>AZ103+SUM(AZ104:AZ107)-AZ110-AZ111</f>
        <v/>
      </c>
      <c r="BA116" s="400">
        <f>BA103+SUM(BA104:BA107)-BA110-BA111</f>
        <v/>
      </c>
      <c r="BB116" s="400">
        <f>BB103+SUM(BB104:BB107)-BB110-BB111</f>
        <v/>
      </c>
      <c r="BC116" s="400">
        <f>BC103+SUM(BC104:BC107)-BC110-BC111</f>
        <v/>
      </c>
      <c r="BD116" s="400">
        <f>BD103+SUM(BD104:BD107)-BD110-BD111</f>
        <v/>
      </c>
      <c r="BE116" s="400">
        <f>BE103+SUM(BE104:BE107)-BE110-BE111</f>
        <v/>
      </c>
      <c r="BF116" s="400">
        <f>BF103+SUM(BF104:BF107)-BF110-BF111</f>
        <v/>
      </c>
      <c r="BG116" s="400">
        <f>BG103+SUM(BG104:BG107)-BG110-BG111</f>
        <v/>
      </c>
      <c r="BH116" s="400">
        <f>BH103+SUM(BH104:BH107)-BH110-BH111</f>
        <v/>
      </c>
      <c r="BI116" s="400">
        <f>BI103+SUM(BI104:BI107)-BI110-BI111</f>
        <v/>
      </c>
      <c r="BJ116" s="400">
        <f>BJ103+SUM(BJ104:BJ107)-BJ110-BJ111</f>
        <v/>
      </c>
      <c r="BK116" s="400">
        <f>BK103+SUM(BK104:BK107)-BK110-BK111</f>
        <v/>
      </c>
      <c r="BL116" s="400">
        <f>BL103+SUM(BL104:BL107)-BL110-BL111</f>
        <v/>
      </c>
      <c r="BM116" s="400">
        <f>BM103+SUM(BM104:BM107)-BM110-BM111</f>
        <v/>
      </c>
      <c r="BN116" s="400">
        <f>BN103+SUM(BN104:BN107)-BN110-BN111</f>
        <v/>
      </c>
      <c r="BO116" s="400">
        <f>BO103+SUM(BO104:BO107)-BO110-BO111</f>
        <v/>
      </c>
      <c r="BP116" s="400">
        <f>BP103+SUM(BP104:BP107)-BP110-BP111</f>
        <v/>
      </c>
      <c r="BQ116" s="400">
        <f>BQ103+SUM(BQ104:BQ107)-BQ110-BQ111</f>
        <v/>
      </c>
      <c r="BR116" s="400">
        <f>BR103+SUM(BR104:BR107)-BR110-BR111</f>
        <v/>
      </c>
      <c r="BS116" t="n">
        <v>0</v>
      </c>
      <c r="BT116" t="inlineStr">
        <is>
          <t>IPGP-Financial-Data-Workbook-2024-Q2.xlsx|Balance Sheet|38|93</t>
        </is>
      </c>
    </row>
    <row r="117">
      <c r="A117" s="455" t="n"/>
      <c r="B117" s="400" t="n"/>
      <c r="C117" s="400" t="n"/>
      <c r="D117" s="400" t="n"/>
      <c r="E117" s="400" t="n"/>
      <c r="F117" s="400" t="n"/>
      <c r="G117" s="400" t="n"/>
      <c r="H117" s="400" t="n"/>
      <c r="I117" s="400" t="n"/>
      <c r="J117" s="400" t="n"/>
      <c r="K117" s="400" t="n"/>
      <c r="L117" s="400" t="n"/>
      <c r="M117" s="400" t="n"/>
      <c r="N117" s="400" t="n"/>
      <c r="O117" s="400" t="n"/>
      <c r="P117" s="400" t="n"/>
      <c r="Q117" s="400" t="n"/>
      <c r="R117" s="400" t="n"/>
      <c r="S117" s="400" t="n"/>
      <c r="T117" s="400" t="n"/>
      <c r="U117" s="400" t="n"/>
      <c r="V117" s="400" t="n"/>
      <c r="W117" s="400" t="n"/>
      <c r="X117" s="400" t="n"/>
      <c r="Y117" s="400" t="n"/>
      <c r="Z117" s="400" t="n"/>
      <c r="AA117" s="400" t="n"/>
      <c r="AB117" s="400" t="n"/>
      <c r="AC117" s="400" t="n"/>
      <c r="AD117" s="400" t="n"/>
      <c r="AE117" s="400" t="n"/>
      <c r="AF117" s="400" t="n"/>
      <c r="AG117" s="400" t="n"/>
      <c r="AH117" s="400" t="n"/>
      <c r="AI117" s="400" t="n"/>
      <c r="AJ117" s="400" t="n"/>
      <c r="AK117" s="400" t="n"/>
      <c r="AL117" s="400" t="n"/>
      <c r="AM117" s="400" t="n"/>
      <c r="AN117" s="400" t="n"/>
      <c r="AO117" s="400" t="n"/>
      <c r="AP117" s="400" t="n"/>
      <c r="AQ117" s="400" t="n"/>
      <c r="AR117" s="400" t="n"/>
      <c r="AS117" s="400" t="n"/>
    </row>
    <row r="118">
      <c r="A118" s="455" t="n"/>
      <c r="B118" s="400" t="n"/>
      <c r="C118" s="400" t="n"/>
      <c r="D118" s="400" t="n"/>
      <c r="E118" s="400" t="n"/>
      <c r="F118" s="400" t="n"/>
      <c r="G118" s="400" t="n"/>
      <c r="H118" s="400" t="n"/>
      <c r="I118" s="400" t="n"/>
      <c r="J118" s="400" t="n"/>
      <c r="K118" s="400" t="n"/>
      <c r="L118" s="400" t="n"/>
      <c r="M118" s="400" t="n"/>
      <c r="N118" s="400" t="n"/>
      <c r="O118" s="400" t="n"/>
      <c r="P118" s="400" t="n"/>
      <c r="Q118" s="400" t="n"/>
      <c r="R118" s="400" t="n"/>
      <c r="S118" s="400" t="n"/>
      <c r="T118" s="400" t="n"/>
      <c r="U118" s="400" t="n"/>
      <c r="V118" s="400" t="n"/>
      <c r="W118" s="400" t="n"/>
      <c r="X118" s="400" t="n"/>
      <c r="Y118" s="400" t="n"/>
      <c r="Z118" s="400" t="n"/>
      <c r="AA118" s="400" t="n"/>
      <c r="AB118" s="400" t="n"/>
      <c r="AC118" s="400" t="n"/>
      <c r="AD118" s="400" t="n"/>
      <c r="AE118" s="400" t="n"/>
      <c r="AF118" s="400" t="n"/>
      <c r="AG118" s="400" t="n"/>
      <c r="AH118" s="400" t="n"/>
      <c r="AI118" s="400" t="n"/>
      <c r="AJ118" s="400" t="n"/>
      <c r="AK118" s="400" t="n"/>
      <c r="AL118" s="400" t="n"/>
      <c r="AM118" s="400" t="n"/>
      <c r="AN118" s="400" t="n"/>
      <c r="AO118" s="400" t="n"/>
      <c r="AP118" s="400" t="n"/>
      <c r="AQ118" s="400" t="n"/>
      <c r="AR118" s="400" t="n"/>
      <c r="AS118" s="400" t="n"/>
    </row>
    <row r="119">
      <c r="A119" s="455" t="n"/>
      <c r="B119" s="400" t="n"/>
      <c r="C119" s="400" t="n"/>
      <c r="D119" s="400" t="n"/>
      <c r="E119" s="400" t="n"/>
      <c r="F119" s="400" t="n"/>
      <c r="G119" s="400" t="n"/>
      <c r="H119" s="400" t="n"/>
      <c r="I119" s="400" t="n"/>
      <c r="J119" s="400" t="n"/>
      <c r="K119" s="400" t="n"/>
      <c r="L119" s="400" t="n"/>
      <c r="M119" s="400" t="n"/>
      <c r="N119" s="400" t="n"/>
      <c r="O119" s="400" t="n"/>
      <c r="P119" s="400" t="n"/>
      <c r="Q119" s="400" t="n"/>
      <c r="R119" s="400" t="n"/>
      <c r="S119" s="400" t="n"/>
      <c r="T119" s="400" t="n"/>
      <c r="U119" s="400" t="n"/>
      <c r="V119" s="400" t="n"/>
      <c r="W119" s="400" t="n"/>
      <c r="X119" s="400" t="n"/>
      <c r="Y119" s="400" t="n"/>
      <c r="Z119" s="400" t="n"/>
      <c r="AA119" s="400" t="n"/>
      <c r="AB119" s="400" t="n"/>
      <c r="AC119" s="400" t="n"/>
      <c r="AD119" s="400" t="n"/>
      <c r="AE119" s="400" t="n"/>
      <c r="AF119" s="400" t="n"/>
      <c r="AG119" s="400" t="n"/>
      <c r="AH119" s="400" t="n"/>
      <c r="AI119" s="400" t="n"/>
      <c r="AJ119" s="400" t="n"/>
      <c r="AK119" s="400" t="n"/>
      <c r="AL119" s="400" t="n"/>
      <c r="AM119" s="400" t="n"/>
      <c r="AN119" s="400" t="n"/>
      <c r="AO119" s="400" t="n"/>
      <c r="AP119" s="400" t="n"/>
      <c r="AQ119" s="400" t="n"/>
      <c r="AR119" s="400" t="n"/>
      <c r="AS119" s="400" t="n"/>
    </row>
    <row r="120">
      <c r="B120" s="145" t="n"/>
      <c r="C120" s="145" t="n"/>
      <c r="D120" s="145" t="n"/>
      <c r="E120" s="145" t="n"/>
      <c r="F120" s="145" t="n"/>
      <c r="G120" s="145" t="n"/>
      <c r="H120" s="145" t="n"/>
      <c r="I120" s="145" t="n"/>
      <c r="J120" s="145" t="n"/>
      <c r="K120" s="145" t="n"/>
      <c r="L120" s="145" t="n"/>
      <c r="M120" s="145" t="n"/>
      <c r="N120" s="145" t="n"/>
      <c r="O120" s="145" t="n"/>
      <c r="P120" s="145" t="n"/>
      <c r="Q120" s="145" t="n"/>
      <c r="R120" s="145" t="n"/>
      <c r="S120" s="145" t="n"/>
      <c r="T120" s="145" t="n"/>
      <c r="U120" s="145" t="n"/>
      <c r="V120" s="145" t="n"/>
      <c r="W120" s="145" t="n"/>
      <c r="X120" s="145" t="n"/>
      <c r="Y120" s="145" t="n"/>
      <c r="Z120" s="145" t="n"/>
      <c r="AA120" s="145" t="n"/>
      <c r="AB120" s="145" t="n"/>
      <c r="AC120" s="145" t="n"/>
      <c r="AD120" s="145" t="n"/>
      <c r="AE120" s="145" t="n"/>
      <c r="AF120" s="145" t="n"/>
    </row>
    <row r="121">
      <c r="A121" s="81" t="inlineStr">
        <is>
          <t>CONSOLIDATED BALANCE SHEET (in '000 USD)</t>
        </is>
      </c>
      <c r="B121" s="145" t="n"/>
      <c r="C121" s="145" t="n"/>
      <c r="D121" s="145" t="n"/>
      <c r="E121" s="145" t="n"/>
      <c r="F121" s="145" t="n"/>
      <c r="G121" s="145" t="n"/>
      <c r="H121" s="145" t="n"/>
      <c r="I121" s="145" t="n"/>
      <c r="J121" s="145" t="n"/>
      <c r="K121" s="145" t="n"/>
      <c r="L121" s="145" t="n"/>
      <c r="M121" s="145" t="n"/>
      <c r="N121" s="145" t="n"/>
      <c r="O121" s="145" t="n"/>
      <c r="P121" s="145" t="n"/>
      <c r="Q121" s="145" t="n"/>
      <c r="R121" s="145" t="n"/>
      <c r="S121" s="145" t="n"/>
      <c r="T121" s="145" t="n"/>
      <c r="U121" s="145" t="n"/>
      <c r="V121" s="145" t="n"/>
      <c r="W121" s="145" t="n"/>
      <c r="X121" s="145" t="n"/>
      <c r="Y121" s="145" t="n"/>
      <c r="Z121" s="145" t="n"/>
      <c r="AA121" s="145" t="n"/>
      <c r="AB121" s="145" t="n"/>
      <c r="AC121" s="145" t="n"/>
      <c r="AD121" s="145" t="n"/>
      <c r="AE121" s="145" t="n"/>
    </row>
    <row r="122">
      <c r="B122" s="145" t="n"/>
      <c r="C122" s="145" t="n"/>
      <c r="D122" s="145" t="n"/>
      <c r="E122" s="145" t="n"/>
      <c r="F122" s="145" t="n"/>
      <c r="G122" s="145" t="n"/>
      <c r="H122" s="145" t="n"/>
      <c r="I122" s="145" t="n"/>
      <c r="J122" s="145" t="n"/>
      <c r="K122" s="145" t="n"/>
      <c r="L122" s="145" t="n"/>
      <c r="M122" s="145" t="n"/>
      <c r="N122" s="145" t="n"/>
      <c r="O122" s="145" t="n"/>
      <c r="P122" s="145" t="n"/>
      <c r="Q122" s="145" t="n"/>
      <c r="R122" s="145" t="n"/>
      <c r="S122" s="145" t="n"/>
      <c r="T122" s="145" t="n"/>
      <c r="U122" s="145" t="n"/>
      <c r="V122" s="145" t="n"/>
      <c r="W122" s="145" t="n"/>
      <c r="X122" s="145" t="n"/>
      <c r="Y122" s="145" t="n"/>
      <c r="Z122" s="145" t="n"/>
      <c r="AA122" s="145" t="n"/>
      <c r="AB122" s="145" t="n"/>
      <c r="AC122" s="145" t="n"/>
      <c r="AD122" s="145" t="n"/>
      <c r="AE122" s="145" t="n"/>
    </row>
    <row r="123">
      <c r="A123" s="74" t="inlineStr">
        <is>
          <t>Cash and cash equivalents</t>
        </is>
      </c>
      <c r="B123" s="145" t="n"/>
      <c r="C123" s="145" t="n"/>
      <c r="D123" s="145" t="n"/>
      <c r="E123" s="145" t="n"/>
      <c r="F123" s="145" t="n"/>
      <c r="G123" s="145" t="n"/>
      <c r="H123" s="145" t="n"/>
      <c r="I123" s="145" t="n"/>
      <c r="J123" s="145" t="n"/>
      <c r="K123" s="145" t="n"/>
      <c r="L123" s="145" t="n"/>
      <c r="M123" s="145" t="n"/>
      <c r="N123" s="145" t="n">
        <v>84407</v>
      </c>
      <c r="O123" s="145" t="n">
        <v>90655</v>
      </c>
      <c r="P123" s="145" t="n">
        <v>96630</v>
      </c>
      <c r="Q123" s="145" t="n">
        <v>147860</v>
      </c>
      <c r="R123" s="145" t="n">
        <v>160618</v>
      </c>
      <c r="S123" s="145" t="n">
        <v>188196</v>
      </c>
      <c r="T123" s="145" t="n">
        <v>196586</v>
      </c>
      <c r="U123" s="145" t="n">
        <v>180234</v>
      </c>
      <c r="V123" s="145" t="n">
        <v>377071</v>
      </c>
      <c r="W123" s="145" t="n">
        <v>345578</v>
      </c>
      <c r="X123" s="145" t="n">
        <v>372569</v>
      </c>
      <c r="Y123" s="145" t="n">
        <v>384053</v>
      </c>
      <c r="Z123" s="145" t="n">
        <v>355715</v>
      </c>
      <c r="AA123" s="145" t="n">
        <v>369484</v>
      </c>
      <c r="AB123" s="145" t="n">
        <v>398355</v>
      </c>
      <c r="AC123" s="145" t="n">
        <v>448776</v>
      </c>
      <c r="AD123" s="145" t="n">
        <v>480609</v>
      </c>
      <c r="AE123" s="145" t="n">
        <v>483432</v>
      </c>
      <c r="AF123" s="145" t="n">
        <v>487518</v>
      </c>
      <c r="AG123" s="145" t="n">
        <v>522150</v>
      </c>
      <c r="AH123" s="145" t="n">
        <v>541474</v>
      </c>
      <c r="AI123" s="145" t="n">
        <v>571508</v>
      </c>
      <c r="AJ123" s="145" t="n">
        <v>651220</v>
      </c>
      <c r="AK123" s="145" t="n">
        <v>582532</v>
      </c>
      <c r="AL123" s="145" t="n">
        <v>613692</v>
      </c>
      <c r="AM123" s="145" t="n">
        <v>587286</v>
      </c>
      <c r="AN123" s="145" t="n">
        <v>645558</v>
      </c>
      <c r="AO123" s="145" t="n">
        <v>623855</v>
      </c>
      <c r="AP123" s="145" t="n">
        <v>697778</v>
      </c>
      <c r="AQ123" s="145" t="n">
        <v>808111</v>
      </c>
      <c r="AR123" s="145" t="n">
        <v>880267</v>
      </c>
      <c r="AS123" s="145" t="n">
        <v>909900</v>
      </c>
      <c r="AT123" s="145" t="n">
        <v>969123</v>
      </c>
      <c r="AU123" s="145" t="n">
        <v>816792</v>
      </c>
      <c r="AV123" s="145" t="n">
        <v>647606</v>
      </c>
      <c r="AW123" s="145" t="n">
        <v>544358</v>
      </c>
      <c r="AX123" s="145" t="n">
        <v>548938</v>
      </c>
      <c r="AY123" s="145" t="n">
        <v>530013</v>
      </c>
      <c r="AZ123" s="145" t="n">
        <v>580329</v>
      </c>
      <c r="BA123" s="145" t="n">
        <v>680070</v>
      </c>
      <c r="BB123" s="145" t="n">
        <v>570058</v>
      </c>
      <c r="BC123" s="145" t="n">
        <v>747859</v>
      </c>
      <c r="BD123" s="145" t="n">
        <v>763920</v>
      </c>
      <c r="BE123" s="145" t="n">
        <v>876231</v>
      </c>
      <c r="BF123" s="145" t="n">
        <v>896741</v>
      </c>
      <c r="BG123" s="145" t="n">
        <v>754199</v>
      </c>
      <c r="BH123" s="145" t="n">
        <v>794904</v>
      </c>
      <c r="BI123" s="145" t="n">
        <v>709105</v>
      </c>
      <c r="BJ123" s="145" t="n">
        <v>642517</v>
      </c>
      <c r="BK123" s="145" t="n">
        <v>771788</v>
      </c>
      <c r="BL123" s="145" t="n">
        <v>869274</v>
      </c>
      <c r="BM123" s="145" t="n">
        <v>698209</v>
      </c>
      <c r="BN123" s="145" t="n">
        <v>521137</v>
      </c>
      <c r="BO123" s="145" t="n">
        <v>573071</v>
      </c>
      <c r="BP123" s="145" t="n">
        <v>528284</v>
      </c>
      <c r="BQ123" s="145" t="n">
        <v>514674</v>
      </c>
      <c r="BR123" s="145" t="n">
        <v>496452</v>
      </c>
      <c r="BS123" t="n">
        <v>720540</v>
      </c>
      <c r="BT123" t="inlineStr">
        <is>
          <t>IPGP-Financial-Data-Workbook-2024-Q2.xlsx|Balance Sheet|7|93</t>
        </is>
      </c>
    </row>
    <row r="124">
      <c r="A124" s="74" t="inlineStr">
        <is>
          <t>Short-term investments</t>
        </is>
      </c>
      <c r="B124" s="145" t="n"/>
      <c r="C124" s="145" t="n"/>
      <c r="D124" s="145" t="n"/>
      <c r="E124" s="145" t="n"/>
      <c r="F124" s="145" t="n"/>
      <c r="G124" s="145" t="n"/>
      <c r="H124" s="145" t="n"/>
      <c r="I124" s="145" t="n"/>
      <c r="J124" s="145" t="n"/>
      <c r="K124" s="145" t="n"/>
      <c r="L124" s="145" t="n"/>
      <c r="M124" s="145" t="n"/>
      <c r="N124" s="145" t="n">
        <v>0</v>
      </c>
      <c r="O124" s="145" t="n">
        <v>0</v>
      </c>
      <c r="P124" s="145" t="n">
        <v>0</v>
      </c>
      <c r="Q124" s="145" t="n">
        <v>0</v>
      </c>
      <c r="R124" s="145" t="n">
        <v>0</v>
      </c>
      <c r="S124" s="145" t="n">
        <v>0</v>
      </c>
      <c r="T124" s="145" t="n">
        <v>0</v>
      </c>
      <c r="U124" s="145" t="n">
        <v>25451</v>
      </c>
      <c r="V124" s="145" t="n">
        <v>18451</v>
      </c>
      <c r="W124" s="145" t="n">
        <v>9765</v>
      </c>
      <c r="X124" s="145" t="n">
        <v>0</v>
      </c>
      <c r="Y124" s="145" t="n">
        <v>0</v>
      </c>
      <c r="Z124" s="145" t="n">
        <v>0</v>
      </c>
      <c r="AA124" s="145" t="n">
        <v>0</v>
      </c>
      <c r="AB124" s="145" t="n">
        <v>0</v>
      </c>
      <c r="AC124" s="145" t="n">
        <v>0</v>
      </c>
      <c r="AD124" s="145" t="n">
        <v>0</v>
      </c>
      <c r="AE124" s="145" t="n">
        <v>0</v>
      </c>
      <c r="AF124" s="145" t="n">
        <v>0</v>
      </c>
      <c r="AG124" s="145" t="n">
        <v>0</v>
      </c>
      <c r="AH124" s="145" t="n">
        <v>0</v>
      </c>
      <c r="AI124" s="145" t="n">
        <v>0</v>
      </c>
      <c r="AJ124" s="145" t="n">
        <v>0</v>
      </c>
      <c r="AK124" s="145" t="n">
        <v>106584</v>
      </c>
      <c r="AL124" s="145" t="n">
        <v>126273</v>
      </c>
      <c r="AM124" s="145" t="n">
        <v>126794</v>
      </c>
      <c r="AN124" s="145" t="n">
        <v>126970</v>
      </c>
      <c r="AO124" s="145" t="n">
        <v>206779</v>
      </c>
      <c r="AP124" s="145" t="n">
        <v>165025</v>
      </c>
      <c r="AQ124" s="145" t="n">
        <v>122304</v>
      </c>
      <c r="AR124" s="145" t="n">
        <v>165655</v>
      </c>
      <c r="AS124" s="145" t="n">
        <v>206257</v>
      </c>
      <c r="AT124" s="145" t="n">
        <v>206786</v>
      </c>
      <c r="AU124" s="145" t="n">
        <v>308970</v>
      </c>
      <c r="AV124" s="145" t="n">
        <v>474422</v>
      </c>
      <c r="AW124" s="145" t="n">
        <v>500432</v>
      </c>
      <c r="AX124" s="145" t="n">
        <v>481139</v>
      </c>
      <c r="AY124" s="145" t="n">
        <v>512816</v>
      </c>
      <c r="AZ124" s="145" t="n">
        <v>498508</v>
      </c>
      <c r="BA124" s="145" t="n">
        <v>502546</v>
      </c>
      <c r="BB124" s="145" t="n">
        <v>625085</v>
      </c>
      <c r="BC124" s="145" t="n">
        <v>501040</v>
      </c>
      <c r="BD124" s="145" t="n">
        <v>537696</v>
      </c>
      <c r="BE124" s="145" t="n">
        <v>514835</v>
      </c>
      <c r="BF124" s="145" t="n">
        <v>548196</v>
      </c>
      <c r="BG124" s="145" t="n">
        <v>743210</v>
      </c>
      <c r="BH124" s="145" t="n">
        <v>724103</v>
      </c>
      <c r="BI124" s="145" t="n">
        <v>805400</v>
      </c>
      <c r="BJ124" s="145" t="n">
        <v>774161</v>
      </c>
      <c r="BK124" s="145" t="n">
        <v>462865</v>
      </c>
      <c r="BL124" s="145" t="n">
        <v>365409</v>
      </c>
      <c r="BM124" s="145" t="n">
        <v>479374</v>
      </c>
      <c r="BN124" s="145" t="n">
        <v>548473</v>
      </c>
      <c r="BO124" s="145" t="n">
        <v>523341</v>
      </c>
      <c r="BP124" s="145" t="n">
        <v>605207</v>
      </c>
      <c r="BQ124" s="145" t="n">
        <v>662807</v>
      </c>
      <c r="BR124" s="145" t="n">
        <v>643655</v>
      </c>
      <c r="BS124" t="n">
        <v>343363</v>
      </c>
      <c r="BT124" t="inlineStr">
        <is>
          <t>IPGP-Financial-Data-Workbook-2024-Q2.xlsx|Balance Sheet|8|93</t>
        </is>
      </c>
    </row>
    <row r="125">
      <c r="A125" s="74" t="inlineStr">
        <is>
          <t>Accounts receivable, net</t>
        </is>
      </c>
      <c r="B125" s="145" t="n"/>
      <c r="C125" s="145" t="n"/>
      <c r="D125" s="145" t="n"/>
      <c r="E125" s="145" t="n"/>
      <c r="F125" s="145" t="n"/>
      <c r="G125" s="145" t="n"/>
      <c r="H125" s="145" t="n"/>
      <c r="I125" s="145" t="n"/>
      <c r="J125" s="145" t="n"/>
      <c r="K125" s="145" t="n"/>
      <c r="L125" s="145" t="n"/>
      <c r="M125" s="145" t="n"/>
      <c r="N125" s="145" t="n">
        <v>30078</v>
      </c>
      <c r="O125" s="145" t="n">
        <v>39907</v>
      </c>
      <c r="P125" s="145" t="n">
        <v>53720</v>
      </c>
      <c r="Q125" s="145" t="n">
        <v>55399</v>
      </c>
      <c r="R125" s="145" t="n">
        <v>57970</v>
      </c>
      <c r="S125" s="145" t="n">
        <v>73284</v>
      </c>
      <c r="T125" s="145" t="n">
        <v>80361</v>
      </c>
      <c r="U125" s="145" t="n">
        <v>75755</v>
      </c>
      <c r="V125" s="145" t="n">
        <v>88426</v>
      </c>
      <c r="W125" s="145" t="n">
        <v>86132</v>
      </c>
      <c r="X125" s="145" t="n">
        <v>110649</v>
      </c>
      <c r="Y125" s="145" t="n">
        <v>96630</v>
      </c>
      <c r="Z125" s="145" t="n">
        <v>102793</v>
      </c>
      <c r="AA125" s="145" t="n">
        <v>114498</v>
      </c>
      <c r="AB125" s="145" t="n">
        <v>120640</v>
      </c>
      <c r="AC125" s="145" t="n">
        <v>103803</v>
      </c>
      <c r="AD125" s="145" t="n">
        <v>107598</v>
      </c>
      <c r="AE125" s="145" t="n">
        <v>124144</v>
      </c>
      <c r="AF125" s="145" t="n">
        <v>136629</v>
      </c>
      <c r="AG125" s="145" t="n">
        <v>143109</v>
      </c>
      <c r="AH125" s="145" t="n">
        <v>149781</v>
      </c>
      <c r="AI125" s="145" t="n">
        <v>169828</v>
      </c>
      <c r="AJ125" s="145" t="n">
        <v>154814</v>
      </c>
      <c r="AK125" s="145" t="n">
        <v>150479</v>
      </c>
      <c r="AL125" s="145" t="n">
        <v>146505</v>
      </c>
      <c r="AM125" s="145" t="n">
        <v>151476</v>
      </c>
      <c r="AN125" s="145" t="n">
        <v>162725</v>
      </c>
      <c r="AO125" s="145" t="n">
        <v>155901</v>
      </c>
      <c r="AP125" s="145" t="n">
        <v>180226</v>
      </c>
      <c r="AQ125" s="145" t="n">
        <v>237332</v>
      </c>
      <c r="AR125" s="145" t="n">
        <v>226756</v>
      </c>
      <c r="AS125" s="145" t="n">
        <v>237278</v>
      </c>
      <c r="AT125" s="145" t="n">
        <v>235477</v>
      </c>
      <c r="AU125" s="145" t="n">
        <v>242128</v>
      </c>
      <c r="AV125" s="145" t="n">
        <v>251613</v>
      </c>
      <c r="AW125" s="145" t="n">
        <v>255509</v>
      </c>
      <c r="AX125" s="145" t="n">
        <v>231850</v>
      </c>
      <c r="AY125" s="145" t="n">
        <v>273697</v>
      </c>
      <c r="AZ125" s="145" t="n">
        <v>252926</v>
      </c>
      <c r="BA125" s="145" t="n">
        <v>238479</v>
      </c>
      <c r="BB125" s="145" t="n">
        <v>200646</v>
      </c>
      <c r="BC125" s="145" t="n">
        <v>203568</v>
      </c>
      <c r="BD125" s="145" t="n">
        <v>240352</v>
      </c>
      <c r="BE125" s="145" t="n">
        <v>264321</v>
      </c>
      <c r="BF125" s="145" t="n">
        <v>252877</v>
      </c>
      <c r="BG125" s="145" t="n">
        <v>250669</v>
      </c>
      <c r="BH125" s="145" t="n">
        <v>272699</v>
      </c>
      <c r="BI125" s="145" t="n">
        <v>262121</v>
      </c>
      <c r="BJ125" s="145" t="n">
        <v>257464</v>
      </c>
      <c r="BK125" s="145" t="n">
        <v>246877</v>
      </c>
      <c r="BL125" s="145" t="n">
        <v>195194</v>
      </c>
      <c r="BM125" s="145" t="n">
        <v>211347</v>
      </c>
      <c r="BN125" s="145" t="n">
        <v>236575</v>
      </c>
      <c r="BO125" s="145" t="n">
        <v>231125</v>
      </c>
      <c r="BP125" s="145" t="n">
        <v>229597</v>
      </c>
      <c r="BQ125" s="145" t="n">
        <v>219053</v>
      </c>
      <c r="BR125" s="145" t="n">
        <v>184012</v>
      </c>
      <c r="BS125" t="n">
        <v>176153</v>
      </c>
      <c r="BT125" t="inlineStr">
        <is>
          <t>IPGP-Financial-Data-Workbook-2024-Q2.xlsx|Balance Sheet|9|93</t>
        </is>
      </c>
    </row>
    <row r="126">
      <c r="A126" s="74" t="inlineStr">
        <is>
          <t>Inventories</t>
        </is>
      </c>
      <c r="B126" s="145" t="n"/>
      <c r="C126" s="145" t="n"/>
      <c r="D126" s="145" t="n"/>
      <c r="E126" s="145" t="n"/>
      <c r="F126" s="145" t="n"/>
      <c r="G126" s="145" t="n"/>
      <c r="H126" s="145" t="n"/>
      <c r="I126" s="145" t="n"/>
      <c r="J126" s="145" t="n"/>
      <c r="K126" s="145" t="n"/>
      <c r="L126" s="145" t="n"/>
      <c r="M126" s="145" t="n"/>
      <c r="N126" s="145" t="n">
        <v>52135</v>
      </c>
      <c r="O126" s="145" t="n">
        <v>54029</v>
      </c>
      <c r="P126" s="145" t="n">
        <v>64898</v>
      </c>
      <c r="Q126" s="145" t="n">
        <v>72470</v>
      </c>
      <c r="R126" s="145" t="n">
        <v>88698</v>
      </c>
      <c r="S126" s="145" t="n">
        <v>109273</v>
      </c>
      <c r="T126" s="145" t="n">
        <v>117276</v>
      </c>
      <c r="U126" s="145" t="n">
        <v>116978</v>
      </c>
      <c r="V126" s="145" t="n">
        <v>123430</v>
      </c>
      <c r="W126" s="145" t="n">
        <v>121979</v>
      </c>
      <c r="X126" s="145" t="n">
        <v>135121</v>
      </c>
      <c r="Y126" s="145" t="n">
        <v>139618</v>
      </c>
      <c r="Z126" s="145" t="n">
        <v>142096</v>
      </c>
      <c r="AA126" s="145" t="n">
        <v>154093</v>
      </c>
      <c r="AB126" s="145" t="n">
        <v>171268</v>
      </c>
      <c r="AC126" s="145" t="n">
        <v>172700</v>
      </c>
      <c r="AD126" s="145" t="n">
        <v>170556</v>
      </c>
      <c r="AE126" s="145" t="n">
        <v>178925</v>
      </c>
      <c r="AF126" s="145" t="n">
        <v>179476</v>
      </c>
      <c r="AG126" s="145" t="n">
        <v>171009</v>
      </c>
      <c r="AH126" s="145" t="n">
        <v>174140</v>
      </c>
      <c r="AI126" s="145" t="n">
        <v>190848</v>
      </c>
      <c r="AJ126" s="145" t="n">
        <v>197635</v>
      </c>
      <c r="AK126" s="145" t="n">
        <v>203738</v>
      </c>
      <c r="AL126" s="145" t="n">
        <v>226907</v>
      </c>
      <c r="AM126" s="145" t="n">
        <v>241282</v>
      </c>
      <c r="AN126" s="145" t="n">
        <v>242370</v>
      </c>
      <c r="AO126" s="145" t="n">
        <v>239010</v>
      </c>
      <c r="AP126" s="145" t="n">
        <v>261893</v>
      </c>
      <c r="AQ126" s="145" t="n">
        <v>260661</v>
      </c>
      <c r="AR126" s="145" t="n">
        <v>282495</v>
      </c>
      <c r="AS126" s="145" t="n">
        <v>307712</v>
      </c>
      <c r="AT126" s="145" t="n">
        <v>356375</v>
      </c>
      <c r="AU126" s="145" t="n">
        <v>376019</v>
      </c>
      <c r="AV126" s="145" t="n">
        <v>397409</v>
      </c>
      <c r="AW126" s="145" t="n">
        <v>403579</v>
      </c>
      <c r="AX126" s="145" t="n">
        <v>417817</v>
      </c>
      <c r="AY126" s="145" t="n">
        <v>425996</v>
      </c>
      <c r="AZ126" s="145" t="n">
        <v>417163</v>
      </c>
      <c r="BA126" s="145" t="n">
        <v>380790</v>
      </c>
      <c r="BB126" s="145" t="n">
        <v>363383</v>
      </c>
      <c r="BC126" s="145" t="n">
        <v>367166</v>
      </c>
      <c r="BD126" s="145" t="n">
        <v>370344</v>
      </c>
      <c r="BE126" s="145" t="n">
        <v>364993</v>
      </c>
      <c r="BF126" s="145" t="n">
        <v>368149</v>
      </c>
      <c r="BG126" s="145" t="n">
        <v>404547</v>
      </c>
      <c r="BH126" s="145" t="n">
        <v>435070</v>
      </c>
      <c r="BI126" s="145" t="n">
        <v>460747</v>
      </c>
      <c r="BJ126" s="145" t="n">
        <v>484971</v>
      </c>
      <c r="BK126" s="145" t="n">
        <v>556747</v>
      </c>
      <c r="BL126" s="145" t="n">
        <v>555537</v>
      </c>
      <c r="BM126" s="145" t="n">
        <v>509363</v>
      </c>
      <c r="BN126" s="145" t="n">
        <v>506149</v>
      </c>
      <c r="BO126" s="145" t="n">
        <v>491301</v>
      </c>
      <c r="BP126" s="145" t="n">
        <v>479829</v>
      </c>
      <c r="BQ126" s="145" t="n">
        <v>453874</v>
      </c>
      <c r="BR126" s="145" t="n">
        <v>431899</v>
      </c>
      <c r="BS126" t="n">
        <v>400839</v>
      </c>
      <c r="BT126" t="inlineStr">
        <is>
          <t>IPGP-Financial-Data-Workbook-2024-Q2.xlsx|Balance Sheet|10|93</t>
        </is>
      </c>
    </row>
    <row r="127">
      <c r="A127" s="74" t="inlineStr">
        <is>
          <t>Prepaid income taxes</t>
        </is>
      </c>
      <c r="B127" s="145" t="n"/>
      <c r="C127" s="145" t="n"/>
      <c r="D127" s="145" t="n"/>
      <c r="E127" s="145" t="n"/>
      <c r="F127" s="145" t="n"/>
      <c r="G127" s="145" t="n"/>
      <c r="H127" s="145" t="n"/>
      <c r="I127" s="145" t="n"/>
      <c r="J127" s="145" t="n"/>
      <c r="K127" s="145" t="n"/>
      <c r="L127" s="145" t="n"/>
      <c r="M127" s="145" t="n"/>
      <c r="N127" s="145" t="n">
        <v>3193</v>
      </c>
      <c r="O127" s="145" t="n">
        <v>2960</v>
      </c>
      <c r="P127" s="145" t="n">
        <v>5199</v>
      </c>
      <c r="Q127" s="145" t="n">
        <v>2663</v>
      </c>
      <c r="R127" s="145" t="n">
        <v>2376</v>
      </c>
      <c r="S127" s="145" t="n">
        <v>4419</v>
      </c>
      <c r="T127" s="145" t="n">
        <v>14494</v>
      </c>
      <c r="U127" s="145" t="n">
        <v>13285</v>
      </c>
      <c r="V127" s="145" t="n">
        <v>14434</v>
      </c>
      <c r="W127" s="145" t="n">
        <v>13946</v>
      </c>
      <c r="X127" s="145" t="n">
        <v>13968</v>
      </c>
      <c r="Y127" s="145" t="n">
        <v>13071</v>
      </c>
      <c r="Z127" s="145" t="n">
        <v>14397</v>
      </c>
      <c r="AA127" s="145" t="n">
        <v>16146</v>
      </c>
      <c r="AB127" s="145" t="n">
        <v>17326</v>
      </c>
      <c r="AC127" s="145" t="n">
        <v>15996</v>
      </c>
      <c r="AD127" s="145" t="n">
        <v>17977</v>
      </c>
      <c r="AE127" s="145" t="n">
        <v>19706</v>
      </c>
      <c r="AF127" s="145" t="n">
        <v>20940</v>
      </c>
      <c r="AG127" s="145" t="n">
        <v>20967</v>
      </c>
      <c r="AH127" s="145" t="n">
        <v>25712</v>
      </c>
      <c r="AI127" s="145" t="n">
        <v>27822</v>
      </c>
      <c r="AJ127" s="145" t="n">
        <v>32571</v>
      </c>
      <c r="AK127" s="145" t="n">
        <v>33692</v>
      </c>
      <c r="AL127" s="145" t="n">
        <v>37159</v>
      </c>
      <c r="AM127" s="145" t="n">
        <v>32890</v>
      </c>
      <c r="AN127" s="145" t="n">
        <v>35342</v>
      </c>
      <c r="AO127" s="145" t="n">
        <v>34128</v>
      </c>
      <c r="AP127" s="145" t="n">
        <v>41959</v>
      </c>
      <c r="AQ127" s="145" t="n">
        <v>37912</v>
      </c>
      <c r="AR127" s="145" t="n">
        <v>40639</v>
      </c>
      <c r="AS127" s="145" t="n">
        <v>44944</v>
      </c>
      <c r="AT127" s="145" t="n">
        <v>42430</v>
      </c>
      <c r="AU127" s="145" t="n">
        <v>40215</v>
      </c>
      <c r="AV127" s="145" t="n">
        <v>61222</v>
      </c>
      <c r="AW127" s="145" t="n">
        <v>43782</v>
      </c>
      <c r="AX127" s="145" t="n">
        <v>50961</v>
      </c>
      <c r="AY127" s="145" t="n">
        <v>49885</v>
      </c>
      <c r="AZ127" s="145" t="n">
        <v>50693</v>
      </c>
      <c r="BA127" s="145" t="n">
        <v>38873</v>
      </c>
      <c r="BB127" s="145" t="n">
        <v>50840</v>
      </c>
      <c r="BC127" s="145" t="n">
        <v>62778</v>
      </c>
      <c r="BD127" s="145" t="n">
        <v>60436</v>
      </c>
      <c r="BE127" s="145" t="n">
        <v>69893</v>
      </c>
      <c r="BF127" s="145" t="n">
        <v>70421</v>
      </c>
      <c r="BG127" s="145" t="n">
        <v>64810</v>
      </c>
      <c r="BH127" s="145" t="n">
        <v>34482</v>
      </c>
      <c r="BI127" s="145" t="n">
        <v>36990</v>
      </c>
      <c r="BJ127" s="145" t="n">
        <v>40888</v>
      </c>
      <c r="BK127" s="145" t="n">
        <v>52912</v>
      </c>
      <c r="BL127" s="145" t="n">
        <v>49496</v>
      </c>
      <c r="BM127" s="145" t="n">
        <v>40934</v>
      </c>
      <c r="BN127" s="145" t="n">
        <v>47054</v>
      </c>
      <c r="BO127" s="145" t="n">
        <v>50748</v>
      </c>
      <c r="BP127" s="145" t="n">
        <v>32538</v>
      </c>
      <c r="BQ127" s="145" t="n">
        <v>26038</v>
      </c>
      <c r="BR127" s="145" t="n">
        <v>24530</v>
      </c>
      <c r="BS127" t="n">
        <v>30208</v>
      </c>
      <c r="BT127" t="inlineStr">
        <is>
          <t>IPGP-Financial-Data-Workbook-2024-Q2.xlsx|Balance Sheet|14|93</t>
        </is>
      </c>
    </row>
    <row r="128">
      <c r="A128" s="74" t="inlineStr">
        <is>
          <t>Prepaid expenses and others</t>
        </is>
      </c>
      <c r="B128" s="145" t="n"/>
      <c r="C128" s="145" t="n"/>
      <c r="D128" s="145" t="n"/>
      <c r="E128" s="145" t="n"/>
      <c r="F128" s="145" t="n"/>
      <c r="G128" s="145" t="n"/>
      <c r="H128" s="145" t="n"/>
      <c r="I128" s="145" t="n"/>
      <c r="J128" s="145" t="n"/>
      <c r="K128" s="145" t="n"/>
      <c r="L128" s="145" t="n"/>
      <c r="M128" s="145" t="n"/>
      <c r="N128" s="145" t="n">
        <v>6095</v>
      </c>
      <c r="O128" s="145" t="n">
        <v>7191</v>
      </c>
      <c r="P128" s="145" t="n">
        <v>10792</v>
      </c>
      <c r="Q128" s="145" t="n">
        <v>13816</v>
      </c>
      <c r="R128" s="145" t="n">
        <v>17834</v>
      </c>
      <c r="S128" s="145" t="n">
        <v>17179</v>
      </c>
      <c r="T128" s="145" t="n">
        <v>13532</v>
      </c>
      <c r="U128" s="145" t="n">
        <v>11855</v>
      </c>
      <c r="V128" s="145" t="n">
        <v>14251</v>
      </c>
      <c r="W128" s="145" t="n">
        <v>14516</v>
      </c>
      <c r="X128" s="145" t="n">
        <v>18296</v>
      </c>
      <c r="Y128" s="145" t="n">
        <v>18639</v>
      </c>
      <c r="Z128" s="145" t="n">
        <v>23265</v>
      </c>
      <c r="AA128" s="145" t="n">
        <v>25942</v>
      </c>
      <c r="AB128" s="145" t="n">
        <v>30072</v>
      </c>
      <c r="AC128" s="145" t="n">
        <v>30836</v>
      </c>
      <c r="AD128" s="145" t="n">
        <v>33118</v>
      </c>
      <c r="AE128" s="145" t="n">
        <v>32634</v>
      </c>
      <c r="AF128" s="145" t="n">
        <v>23464</v>
      </c>
      <c r="AG128" s="145" t="n">
        <v>21295</v>
      </c>
      <c r="AH128" s="145" t="n">
        <v>23785</v>
      </c>
      <c r="AI128" s="145" t="n">
        <v>24241</v>
      </c>
      <c r="AJ128" s="145" t="n">
        <v>23221</v>
      </c>
      <c r="AK128" s="145" t="n">
        <v>25564</v>
      </c>
      <c r="AL128" s="145" t="n">
        <v>24577</v>
      </c>
      <c r="AM128" s="145" t="n">
        <v>33042</v>
      </c>
      <c r="AN128" s="145" t="n">
        <v>38913</v>
      </c>
      <c r="AO128" s="145" t="n">
        <v>41289</v>
      </c>
      <c r="AP128" s="145" t="n">
        <v>44133</v>
      </c>
      <c r="AQ128" s="145" t="n">
        <v>44454</v>
      </c>
      <c r="AR128" s="145" t="n">
        <v>46727</v>
      </c>
      <c r="AS128" s="145" t="n">
        <v>47919</v>
      </c>
      <c r="AT128" s="145" t="n">
        <v>54695</v>
      </c>
      <c r="AU128" s="145" t="n">
        <v>51911</v>
      </c>
      <c r="AV128" s="145" t="n">
        <v>50013</v>
      </c>
      <c r="AW128" s="145" t="n">
        <v>57764</v>
      </c>
      <c r="AX128" s="145" t="n">
        <v>61389</v>
      </c>
      <c r="AY128" s="145" t="n">
        <v>70675</v>
      </c>
      <c r="AZ128" s="145" t="n">
        <v>65896</v>
      </c>
      <c r="BA128" s="145" t="n">
        <v>55876</v>
      </c>
      <c r="BB128" s="145" t="n">
        <v>64514</v>
      </c>
      <c r="BC128" s="145" t="n">
        <v>68115</v>
      </c>
      <c r="BD128" s="145" t="n">
        <v>58905</v>
      </c>
      <c r="BE128" s="145" t="n">
        <v>57804</v>
      </c>
      <c r="BF128" s="145" t="n">
        <v>65877</v>
      </c>
      <c r="BG128" s="145" t="n">
        <v>73157</v>
      </c>
      <c r="BH128" s="145" t="n">
        <v>63917</v>
      </c>
      <c r="BI128" s="145" t="n">
        <v>73320</v>
      </c>
      <c r="BJ128" s="145" t="n">
        <v>82833</v>
      </c>
      <c r="BK128" s="145" t="n">
        <v>79662</v>
      </c>
      <c r="BL128" s="145" t="n">
        <v>84177</v>
      </c>
      <c r="BM128" s="145" t="n">
        <v>47047</v>
      </c>
      <c r="BN128" s="145" t="n">
        <v>56199</v>
      </c>
      <c r="BO128" s="145" t="n">
        <v>54482</v>
      </c>
      <c r="BP128" s="145" t="n">
        <v>45005</v>
      </c>
      <c r="BQ128" s="145" t="n">
        <v>38208</v>
      </c>
      <c r="BR128" s="145" t="n">
        <v>49071</v>
      </c>
      <c r="BS128" t="n">
        <v>46849</v>
      </c>
      <c r="BT128" t="inlineStr">
        <is>
          <t>IPGP-Financial-Data-Workbook-2024-Q2.xlsx|Balance Sheet|15|93</t>
        </is>
      </c>
    </row>
    <row r="129">
      <c r="A129" s="74" t="inlineStr">
        <is>
          <t>Other current assets</t>
        </is>
      </c>
      <c r="B129" s="145" t="n"/>
      <c r="C129" s="145" t="n"/>
      <c r="D129" s="145" t="n"/>
      <c r="E129" s="145" t="n"/>
      <c r="F129" s="145" t="n"/>
      <c r="G129" s="145" t="n"/>
      <c r="H129" s="145" t="n"/>
      <c r="I129" s="145" t="n"/>
      <c r="J129" s="145" t="n"/>
      <c r="K129" s="145" t="n"/>
      <c r="L129" s="145" t="n"/>
      <c r="M129" s="145" t="n"/>
      <c r="N129" s="145" t="n">
        <v>9253</v>
      </c>
      <c r="O129" s="145" t="n">
        <v>10137</v>
      </c>
      <c r="P129" s="145" t="n">
        <v>8374</v>
      </c>
      <c r="Q129" s="145" t="n">
        <v>8593</v>
      </c>
      <c r="R129" s="145" t="n">
        <v>9314</v>
      </c>
      <c r="S129" s="145" t="n">
        <v>7449</v>
      </c>
      <c r="T129" s="145" t="n">
        <v>9363</v>
      </c>
      <c r="U129" s="145" t="n">
        <v>10899</v>
      </c>
      <c r="V129" s="145" t="n">
        <v>11615</v>
      </c>
      <c r="W129" s="145" t="n">
        <v>11041</v>
      </c>
      <c r="X129" s="145" t="n">
        <v>10503</v>
      </c>
      <c r="Y129" s="145" t="n">
        <v>12948</v>
      </c>
      <c r="Z129" s="145" t="n">
        <v>11105</v>
      </c>
      <c r="AA129" s="145" t="n">
        <v>11422</v>
      </c>
      <c r="AB129" s="145" t="n">
        <v>11547</v>
      </c>
      <c r="AC129" s="145" t="n">
        <v>14232</v>
      </c>
      <c r="AD129" s="145" t="n">
        <v>15275</v>
      </c>
      <c r="AE129" s="145" t="n">
        <v>15251</v>
      </c>
      <c r="AF129" s="145" t="n">
        <v>15227</v>
      </c>
      <c r="AG129" s="145" t="n">
        <v>15308</v>
      </c>
      <c r="AH129" s="145" t="n">
        <v>16136</v>
      </c>
      <c r="AI129" s="145" t="n">
        <v>18123</v>
      </c>
      <c r="AJ129" s="145" t="n">
        <v>18611</v>
      </c>
      <c r="AK129" s="145" t="n">
        <v>0</v>
      </c>
      <c r="AL129" s="145" t="n">
        <v>22526</v>
      </c>
      <c r="AM129" s="145" t="n">
        <v>24477</v>
      </c>
      <c r="AN129" s="145" t="n">
        <v>24620</v>
      </c>
      <c r="AO129" s="145" t="n">
        <v>0</v>
      </c>
      <c r="AP129" s="145" t="n">
        <v>0</v>
      </c>
      <c r="AQ129" s="145" t="n">
        <v>0</v>
      </c>
      <c r="AR129" s="145" t="n">
        <v>0</v>
      </c>
      <c r="AS129" s="145" t="n">
        <v>0</v>
      </c>
      <c r="AT129" s="145" t="n">
        <v>0</v>
      </c>
      <c r="AU129" s="145" t="n">
        <v>0</v>
      </c>
      <c r="AV129" s="145" t="n">
        <v>0</v>
      </c>
      <c r="AW129" s="145" t="n">
        <v>0</v>
      </c>
      <c r="AX129" s="145" t="n">
        <v>0</v>
      </c>
      <c r="AY129" s="145" t="n">
        <v>0</v>
      </c>
      <c r="AZ129" s="145" t="n">
        <v>0</v>
      </c>
      <c r="BA129" s="145" t="n">
        <v>0</v>
      </c>
      <c r="BB129" s="145" t="n"/>
      <c r="BC129" s="145" t="n">
        <v>0</v>
      </c>
      <c r="BD129" s="145" t="n">
        <v>0</v>
      </c>
      <c r="BE129" s="145" t="n">
        <v>0</v>
      </c>
      <c r="BF129" s="145" t="n">
        <v>0</v>
      </c>
      <c r="BG129" s="145" t="n">
        <v>0</v>
      </c>
      <c r="BH129" s="145" t="n">
        <v>0</v>
      </c>
      <c r="BI129" s="145" t="n">
        <v>0</v>
      </c>
      <c r="BJ129" s="145" t="n">
        <v>0</v>
      </c>
      <c r="BK129" s="145" t="n">
        <v>0</v>
      </c>
      <c r="BL129" s="145" t="n">
        <v>0</v>
      </c>
      <c r="BM129" s="145" t="n">
        <v>0</v>
      </c>
      <c r="BN129" s="145" t="n">
        <v>0</v>
      </c>
      <c r="BO129" s="145" t="n">
        <v>0</v>
      </c>
      <c r="BP129" s="145" t="n"/>
      <c r="BQ129" s="145" t="n">
        <v>0</v>
      </c>
      <c r="BR129" s="145" t="n"/>
    </row>
    <row r="130">
      <c r="A130" s="40" t="inlineStr">
        <is>
          <t>Total current assets</t>
        </is>
      </c>
      <c r="B130" s="133" t="n"/>
      <c r="C130" s="133" t="n"/>
      <c r="D130" s="133" t="n"/>
      <c r="E130" s="133" t="n"/>
      <c r="F130" s="133" t="n"/>
      <c r="G130" s="133" t="n"/>
      <c r="H130" s="133" t="n"/>
      <c r="I130" s="133" t="n"/>
      <c r="J130" s="133" t="n"/>
      <c r="K130" s="133" t="n"/>
      <c r="L130" s="133" t="n"/>
      <c r="M130" s="133" t="n"/>
      <c r="N130" s="133" t="n">
        <v>185161</v>
      </c>
      <c r="O130" s="133" t="n">
        <v>204879</v>
      </c>
      <c r="P130" s="133" t="n">
        <v>239613</v>
      </c>
      <c r="Q130" s="133" t="n">
        <v>300801</v>
      </c>
      <c r="R130" s="133" t="n">
        <v>336810</v>
      </c>
      <c r="S130" s="133" t="n">
        <v>399800</v>
      </c>
      <c r="T130" s="133" t="n">
        <v>431612</v>
      </c>
      <c r="U130" s="133" t="n">
        <v>434457</v>
      </c>
      <c r="V130" s="133" t="n">
        <v>647678</v>
      </c>
      <c r="W130" s="133" t="n">
        <v>602957</v>
      </c>
      <c r="X130" s="133" t="n">
        <v>661106</v>
      </c>
      <c r="Y130" s="133" t="n">
        <v>664959</v>
      </c>
      <c r="Z130" s="133" t="n">
        <v>649371</v>
      </c>
      <c r="AA130" s="133" t="n">
        <v>691585</v>
      </c>
      <c r="AB130" s="133" t="n">
        <v>749208</v>
      </c>
      <c r="AC130" s="133" t="n">
        <v>786343</v>
      </c>
      <c r="AD130" s="133" t="n">
        <v>825133</v>
      </c>
      <c r="AE130" s="133" t="n">
        <v>854092</v>
      </c>
      <c r="AF130" s="133" t="n">
        <v>863254</v>
      </c>
      <c r="AG130" s="133" t="n">
        <v>893838</v>
      </c>
      <c r="AH130" s="133" t="n">
        <v>931028</v>
      </c>
      <c r="AI130" s="133" t="n">
        <v>1002370</v>
      </c>
      <c r="AJ130" s="133" t="n">
        <v>1078072</v>
      </c>
      <c r="AK130" s="133" t="n">
        <v>1102589</v>
      </c>
      <c r="AL130" s="133" t="n">
        <v>1197639</v>
      </c>
      <c r="AM130" s="133" t="n">
        <v>1197247</v>
      </c>
      <c r="AN130" s="133" t="n">
        <v>1276498</v>
      </c>
      <c r="AO130" s="133" t="n">
        <v>1300962</v>
      </c>
      <c r="AP130" s="133" t="n">
        <v>1391014</v>
      </c>
      <c r="AQ130" s="133" t="n">
        <v>1510774</v>
      </c>
      <c r="AR130" s="133" t="n">
        <v>1642539</v>
      </c>
      <c r="AS130" s="133" t="n">
        <v>1754010</v>
      </c>
      <c r="AT130" s="133" t="n">
        <v>1864886</v>
      </c>
      <c r="AU130" s="133" t="n">
        <v>1836035</v>
      </c>
      <c r="AV130" s="133" t="n">
        <v>1882285</v>
      </c>
      <c r="AW130" s="133" t="n">
        <v>1805424</v>
      </c>
      <c r="AX130" s="133" t="n">
        <v>1792094</v>
      </c>
      <c r="AY130" s="133" t="n">
        <v>1863082</v>
      </c>
      <c r="AZ130" s="133" t="n">
        <v>1865515</v>
      </c>
      <c r="BA130" s="133" t="n">
        <v>1896634</v>
      </c>
      <c r="BB130" s="133" t="n">
        <v>1874526</v>
      </c>
      <c r="BC130" s="133" t="n">
        <v>1950526</v>
      </c>
      <c r="BD130" s="133" t="n">
        <v>2031653</v>
      </c>
      <c r="BE130" s="133" t="n">
        <v>2148077</v>
      </c>
      <c r="BF130" s="133" t="n">
        <v>2202261</v>
      </c>
      <c r="BG130" s="133" t="n">
        <v>2290592</v>
      </c>
      <c r="BH130" s="133" t="n">
        <v>2325175</v>
      </c>
      <c r="BI130" s="133" t="n">
        <v>2347683</v>
      </c>
      <c r="BJ130" s="133" t="n">
        <v>2282834</v>
      </c>
      <c r="BK130" s="133" t="n">
        <v>2170851</v>
      </c>
      <c r="BL130" s="133" t="n">
        <v>2119087</v>
      </c>
      <c r="BM130" s="133" t="n">
        <v>1986274</v>
      </c>
      <c r="BN130" s="133" t="n">
        <v>1915587</v>
      </c>
      <c r="BO130" s="133" t="n">
        <v>1924068</v>
      </c>
      <c r="BP130" s="133" t="n">
        <v>1920460</v>
      </c>
      <c r="BQ130" s="133" t="n">
        <v>1914654</v>
      </c>
      <c r="BR130" s="133" t="n">
        <v>1829619</v>
      </c>
      <c r="BS130" t="n">
        <v>1717952</v>
      </c>
      <c r="BT130" t="inlineStr">
        <is>
          <t>IPGP-Financial-Data-Workbook-2024-Q2.xlsx|Balance Sheet|16|93</t>
        </is>
      </c>
    </row>
    <row r="131">
      <c r="A131" s="74" t="inlineStr">
        <is>
          <t>Deferred income taxes, net</t>
        </is>
      </c>
      <c r="B131" s="145" t="n"/>
      <c r="C131" s="145" t="n"/>
      <c r="D131" s="145" t="n"/>
      <c r="E131" s="145" t="n"/>
      <c r="F131" s="145" t="n"/>
      <c r="G131" s="145" t="n"/>
      <c r="H131" s="145" t="n"/>
      <c r="I131" s="145" t="n"/>
      <c r="J131" s="145" t="n"/>
      <c r="K131" s="145" t="n"/>
      <c r="L131" s="145" t="n"/>
      <c r="M131" s="145" t="n"/>
      <c r="N131" s="145" t="n">
        <v>4548</v>
      </c>
      <c r="O131" s="145" t="n">
        <v>5326</v>
      </c>
      <c r="P131" s="145" t="n">
        <v>6017</v>
      </c>
      <c r="Q131" s="145" t="n">
        <v>4489</v>
      </c>
      <c r="R131" s="145" t="n">
        <v>4485</v>
      </c>
      <c r="S131" s="145" t="n">
        <v>4267</v>
      </c>
      <c r="T131" s="145" t="n">
        <v>4763</v>
      </c>
      <c r="U131" s="145" t="n">
        <v>4830</v>
      </c>
      <c r="V131" s="145" t="n">
        <v>5321</v>
      </c>
      <c r="W131" s="145" t="n">
        <v>6660</v>
      </c>
      <c r="X131" s="145" t="n">
        <v>4419</v>
      </c>
      <c r="Y131" s="145" t="n">
        <v>2107</v>
      </c>
      <c r="Z131" s="145" t="n">
        <v>2344</v>
      </c>
      <c r="AA131" s="145" t="n">
        <v>3402</v>
      </c>
      <c r="AB131" s="145" t="n">
        <v>6100</v>
      </c>
      <c r="AC131" s="145" t="n">
        <v>455</v>
      </c>
      <c r="AD131" s="145" t="n">
        <v>6014</v>
      </c>
      <c r="AE131" s="145" t="n">
        <v>8139</v>
      </c>
      <c r="AF131" s="145" t="n">
        <v>455</v>
      </c>
      <c r="AG131" s="145" t="n">
        <v>5438</v>
      </c>
      <c r="AH131" s="145" t="n">
        <v>5868</v>
      </c>
      <c r="AI131" s="145" t="n">
        <v>7495</v>
      </c>
      <c r="AJ131" s="145" t="n">
        <v>9237</v>
      </c>
      <c r="AK131" s="145" t="n">
        <v>29732</v>
      </c>
      <c r="AL131" s="145" t="n">
        <v>11889</v>
      </c>
      <c r="AM131" s="145">
        <f>13438</f>
        <v/>
      </c>
      <c r="AN131" s="145">
        <f>15371</f>
        <v/>
      </c>
      <c r="AO131" s="145" t="n">
        <v>42442</v>
      </c>
      <c r="AP131" s="145" t="n">
        <v>47048</v>
      </c>
      <c r="AQ131" s="145" t="n">
        <v>47843</v>
      </c>
      <c r="AR131" s="145" t="n">
        <v>40547</v>
      </c>
      <c r="AS131" s="145" t="n">
        <v>26976</v>
      </c>
      <c r="AT131" s="145" t="n">
        <v>24940</v>
      </c>
      <c r="AU131" s="145" t="n">
        <v>27818</v>
      </c>
      <c r="AV131" s="145" t="n">
        <v>19995</v>
      </c>
      <c r="AW131" s="145" t="n">
        <v>19165</v>
      </c>
      <c r="AX131" s="145" t="n">
        <v>17438</v>
      </c>
      <c r="AY131" s="145" t="n">
        <v>20833</v>
      </c>
      <c r="AZ131" s="145" t="n">
        <v>23415</v>
      </c>
      <c r="BA131" s="145" t="n">
        <v>31395</v>
      </c>
      <c r="BB131" s="145" t="n">
        <v>32801</v>
      </c>
      <c r="BC131" s="145" t="n">
        <v>30544</v>
      </c>
      <c r="BD131" s="145" t="n">
        <v>38616</v>
      </c>
      <c r="BE131" s="145" t="n">
        <v>43197</v>
      </c>
      <c r="BF131" s="145" t="n">
        <v>41276</v>
      </c>
      <c r="BG131" s="145" t="n">
        <v>45751</v>
      </c>
      <c r="BH131" s="145" t="n">
        <v>49008</v>
      </c>
      <c r="BI131" s="145" t="n">
        <v>47761</v>
      </c>
      <c r="BJ131" s="145" t="n">
        <v>49942</v>
      </c>
      <c r="BK131" s="145" t="n">
        <v>60563</v>
      </c>
      <c r="BL131" s="145" t="n">
        <v>69323</v>
      </c>
      <c r="BM131" s="145" t="n">
        <v>75152</v>
      </c>
      <c r="BN131" s="145" t="n">
        <v>59089</v>
      </c>
      <c r="BO131" s="145" t="n">
        <v>69644</v>
      </c>
      <c r="BP131" s="145" t="n">
        <v>79583</v>
      </c>
      <c r="BQ131" s="145" t="n">
        <v>88788</v>
      </c>
      <c r="BR131" s="145" t="n">
        <v>84452</v>
      </c>
      <c r="BS131" t="n">
        <v>88865</v>
      </c>
      <c r="BT131" t="inlineStr">
        <is>
          <t>IPGP-Financial-Data-Workbook-2024-Q2.xlsx|Balance Sheet|18|93</t>
        </is>
      </c>
    </row>
    <row r="132">
      <c r="A132" s="74" t="inlineStr">
        <is>
          <t>Goodwill</t>
        </is>
      </c>
      <c r="B132" s="145" t="n"/>
      <c r="C132" s="145" t="n"/>
      <c r="D132" s="145" t="n"/>
      <c r="E132" s="145" t="n"/>
      <c r="F132" s="145" t="n"/>
      <c r="G132" s="145" t="n"/>
      <c r="H132" s="145" t="n"/>
      <c r="I132" s="145" t="n"/>
      <c r="J132" s="145" t="n"/>
      <c r="K132" s="145" t="n"/>
      <c r="L132" s="145" t="n"/>
      <c r="M132" s="145" t="n"/>
      <c r="N132" s="145" t="n">
        <v>0</v>
      </c>
      <c r="O132" s="145" t="n">
        <v>0</v>
      </c>
      <c r="P132" s="145" t="n">
        <v>0</v>
      </c>
      <c r="Q132" s="145" t="n">
        <v>0</v>
      </c>
      <c r="R132" s="145" t="n">
        <v>0</v>
      </c>
      <c r="S132" s="145" t="n">
        <v>0</v>
      </c>
      <c r="T132" s="145" t="n">
        <v>0</v>
      </c>
      <c r="U132" s="145" t="n">
        <v>0</v>
      </c>
      <c r="V132" s="145" t="n">
        <v>0</v>
      </c>
      <c r="W132" s="145" t="n">
        <v>0</v>
      </c>
      <c r="X132" s="145" t="n">
        <v>3113</v>
      </c>
      <c r="Y132" s="145" t="n">
        <v>2898</v>
      </c>
      <c r="Z132" s="145" t="n">
        <v>3258</v>
      </c>
      <c r="AA132" s="145" t="n">
        <v>455</v>
      </c>
      <c r="AB132" s="145" t="n">
        <v>455</v>
      </c>
      <c r="AC132" s="145" t="n">
        <v>4799</v>
      </c>
      <c r="AD132" s="145" t="n">
        <v>455</v>
      </c>
      <c r="AE132" s="145" t="n">
        <v>455</v>
      </c>
      <c r="AF132" s="145" t="n">
        <v>9674</v>
      </c>
      <c r="AG132" s="145" t="n">
        <v>455</v>
      </c>
      <c r="AH132" s="145" t="n">
        <v>519</v>
      </c>
      <c r="AI132" s="145" t="n">
        <v>516</v>
      </c>
      <c r="AJ132" s="145" t="n">
        <v>508</v>
      </c>
      <c r="AK132" s="145" t="n">
        <v>505</v>
      </c>
      <c r="AL132" s="145" t="n">
        <v>502</v>
      </c>
      <c r="AM132" s="145" t="n">
        <v>20461</v>
      </c>
      <c r="AN132" s="145" t="n">
        <v>20142</v>
      </c>
      <c r="AO132" s="145" t="n">
        <v>19828</v>
      </c>
      <c r="AP132" s="145" t="n">
        <v>19831</v>
      </c>
      <c r="AQ132" s="145" t="n">
        <v>28728</v>
      </c>
      <c r="AR132" s="145" t="n">
        <v>51143</v>
      </c>
      <c r="AS132" s="145" t="n">
        <v>55831</v>
      </c>
      <c r="AT132" s="145" t="n">
        <v>55705</v>
      </c>
      <c r="AU132" s="145" t="n">
        <v>59616</v>
      </c>
      <c r="AV132" s="145" t="n">
        <v>56769</v>
      </c>
      <c r="AW132" s="145" t="n">
        <v>100722</v>
      </c>
      <c r="AX132" s="145" t="n">
        <v>110349</v>
      </c>
      <c r="AY132" s="145" t="n">
        <v>110868</v>
      </c>
      <c r="AZ132" s="145" t="n">
        <v>109954</v>
      </c>
      <c r="BA132" s="145" t="n">
        <v>82092</v>
      </c>
      <c r="BB132" s="145" t="n">
        <v>81627</v>
      </c>
      <c r="BC132" s="145" t="n">
        <v>81911</v>
      </c>
      <c r="BD132" s="145" t="n">
        <v>37731</v>
      </c>
      <c r="BE132" s="145" t="n">
        <v>41366</v>
      </c>
      <c r="BF132" s="145" t="n">
        <v>38764</v>
      </c>
      <c r="BG132" s="145" t="n">
        <v>39000</v>
      </c>
      <c r="BH132" s="145" t="n">
        <v>38705</v>
      </c>
      <c r="BI132" s="145" t="n">
        <v>38609</v>
      </c>
      <c r="BJ132" s="145" t="n">
        <v>39741</v>
      </c>
      <c r="BK132" s="145" t="n">
        <v>39285</v>
      </c>
      <c r="BL132" s="145" t="n">
        <v>37963</v>
      </c>
      <c r="BM132" s="145" t="n">
        <v>38325</v>
      </c>
      <c r="BN132" s="145" t="n">
        <v>38388</v>
      </c>
      <c r="BO132" s="145" t="n">
        <v>38494</v>
      </c>
      <c r="BP132" s="145" t="n">
        <v>38265</v>
      </c>
      <c r="BQ132" s="145" t="n">
        <v>38540</v>
      </c>
      <c r="BR132" s="145" t="n">
        <v>38351</v>
      </c>
      <c r="BS132" t="n">
        <v>38278</v>
      </c>
      <c r="BT132" t="inlineStr">
        <is>
          <t>IPGP-Financial-Data-Workbook-2024-Q2.xlsx|Balance Sheet|19|93</t>
        </is>
      </c>
    </row>
    <row r="133">
      <c r="A133" s="74" t="inlineStr">
        <is>
          <t>Intangible assets, net</t>
        </is>
      </c>
      <c r="B133" s="145" t="n"/>
      <c r="C133" s="145" t="n"/>
      <c r="D133" s="145" t="n"/>
      <c r="E133" s="145" t="n"/>
      <c r="F133" s="145" t="n"/>
      <c r="G133" s="145" t="n"/>
      <c r="H133" s="145" t="n"/>
      <c r="I133" s="145" t="n"/>
      <c r="J133" s="145" t="n"/>
      <c r="K133" s="145" t="n"/>
      <c r="L133" s="145" t="n"/>
      <c r="M133" s="145" t="n"/>
      <c r="N133" s="145" t="n">
        <v>0</v>
      </c>
      <c r="O133" s="145" t="n">
        <v>0</v>
      </c>
      <c r="P133" s="145" t="n">
        <v>0</v>
      </c>
      <c r="Q133" s="145" t="n">
        <v>7131</v>
      </c>
      <c r="R133" s="145" t="n">
        <v>8104</v>
      </c>
      <c r="S133" s="145" t="n">
        <v>7736</v>
      </c>
      <c r="T133" s="145" t="n">
        <v>6954</v>
      </c>
      <c r="U133" s="145" t="n">
        <v>6157</v>
      </c>
      <c r="V133" s="145" t="n">
        <v>5727</v>
      </c>
      <c r="W133" s="145" t="n">
        <v>4946</v>
      </c>
      <c r="X133" s="145" t="n">
        <v>7875</v>
      </c>
      <c r="Y133" s="145" t="n">
        <v>7510</v>
      </c>
      <c r="Z133" s="145" t="n">
        <v>11412</v>
      </c>
      <c r="AA133" s="145" t="n">
        <v>10956</v>
      </c>
      <c r="AB133" s="145" t="n">
        <v>10131</v>
      </c>
      <c r="AC133" s="145" t="n">
        <v>9564</v>
      </c>
      <c r="AD133" s="145" t="n">
        <v>9018</v>
      </c>
      <c r="AE133" s="145" t="n">
        <v>8472</v>
      </c>
      <c r="AF133" s="145" t="n">
        <v>9847</v>
      </c>
      <c r="AG133" s="145" t="n">
        <v>9227</v>
      </c>
      <c r="AH133" s="145" t="n">
        <v>14913</v>
      </c>
      <c r="AI133" s="145" t="n">
        <v>14013</v>
      </c>
      <c r="AJ133" s="145" t="n">
        <v>12744</v>
      </c>
      <c r="AK133" s="145" t="n">
        <v>11904</v>
      </c>
      <c r="AL133" s="145" t="n">
        <v>11066</v>
      </c>
      <c r="AM133" s="145" t="n">
        <v>29396</v>
      </c>
      <c r="AN133" s="145" t="n">
        <v>28372</v>
      </c>
      <c r="AO133" s="145" t="n">
        <v>28789</v>
      </c>
      <c r="AP133" s="145" t="n">
        <v>27892</v>
      </c>
      <c r="AQ133" s="145" t="n">
        <v>32294</v>
      </c>
      <c r="AR133" s="145" t="n">
        <v>49669</v>
      </c>
      <c r="AS133" s="145" t="n">
        <v>51223</v>
      </c>
      <c r="AT133" s="145" t="n">
        <v>49284</v>
      </c>
      <c r="AU133" s="145" t="n">
        <v>47249</v>
      </c>
      <c r="AV133" s="145" t="n">
        <v>45844</v>
      </c>
      <c r="AW133" s="145" t="n">
        <v>87139</v>
      </c>
      <c r="AX133" s="145" t="n">
        <v>93280</v>
      </c>
      <c r="AY133" s="145" t="n">
        <v>89906</v>
      </c>
      <c r="AZ133" s="145" t="n">
        <v>85561</v>
      </c>
      <c r="BA133" s="145" t="n">
        <v>74271</v>
      </c>
      <c r="BB133" s="145" t="n">
        <v>70832</v>
      </c>
      <c r="BC133" s="145" t="n">
        <v>67995</v>
      </c>
      <c r="BD133" s="145" t="n">
        <v>64999</v>
      </c>
      <c r="BE133" s="145" t="n">
        <v>62114</v>
      </c>
      <c r="BF133" s="145" t="n">
        <v>61768</v>
      </c>
      <c r="BG133" s="145" t="n">
        <v>59070</v>
      </c>
      <c r="BH133" s="145" t="n">
        <v>55786</v>
      </c>
      <c r="BI133" s="145" t="n">
        <v>52678</v>
      </c>
      <c r="BJ133" s="145" t="n">
        <v>50017</v>
      </c>
      <c r="BK133" s="145" t="n">
        <v>46866</v>
      </c>
      <c r="BL133" s="145" t="n">
        <v>36171</v>
      </c>
      <c r="BM133" s="145" t="n">
        <v>34120</v>
      </c>
      <c r="BN133" s="145" t="n">
        <v>32104</v>
      </c>
      <c r="BO133" s="145" t="n">
        <v>30086</v>
      </c>
      <c r="BP133" s="145" t="n">
        <v>28056</v>
      </c>
      <c r="BQ133" s="145" t="n">
        <v>26234</v>
      </c>
      <c r="BR133" s="145" t="n">
        <v>24802</v>
      </c>
      <c r="BS133" t="n">
        <v>23423</v>
      </c>
      <c r="BT133" t="inlineStr">
        <is>
          <t>IPGP-Financial-Data-Workbook-2024-Q2.xlsx|Balance Sheet|20|93</t>
        </is>
      </c>
    </row>
    <row r="134">
      <c r="A134" s="74" t="inlineStr">
        <is>
          <t>Property, plant and equipment, net</t>
        </is>
      </c>
      <c r="B134" s="145" t="n"/>
      <c r="C134" s="145" t="n"/>
      <c r="D134" s="145" t="n"/>
      <c r="E134" s="145" t="n"/>
      <c r="F134" s="145" t="n"/>
      <c r="G134" s="145" t="n"/>
      <c r="H134" s="145" t="n"/>
      <c r="I134" s="145" t="n"/>
      <c r="J134" s="145" t="n"/>
      <c r="K134" s="145" t="n"/>
      <c r="L134" s="145" t="n"/>
      <c r="M134" s="145" t="n"/>
      <c r="N134" s="145" t="n">
        <v>109639</v>
      </c>
      <c r="O134" s="145" t="n">
        <v>106106</v>
      </c>
      <c r="P134" s="145" t="n">
        <v>111847</v>
      </c>
      <c r="Q134" s="145" t="n">
        <v>120683</v>
      </c>
      <c r="R134" s="145" t="n">
        <v>131300</v>
      </c>
      <c r="S134" s="145" t="n">
        <v>141902</v>
      </c>
      <c r="T134" s="145" t="n">
        <v>143339</v>
      </c>
      <c r="U134" s="145" t="n">
        <v>155202</v>
      </c>
      <c r="V134" s="145" t="n">
        <v>169876</v>
      </c>
      <c r="W134" s="145" t="n">
        <v>177441</v>
      </c>
      <c r="X134" s="145" t="n">
        <v>195153</v>
      </c>
      <c r="Y134" s="145" t="n">
        <v>210563</v>
      </c>
      <c r="Z134" s="145" t="n">
        <v>218995</v>
      </c>
      <c r="AA134" s="145" t="n">
        <v>225195</v>
      </c>
      <c r="AB134" s="145" t="n">
        <v>236507</v>
      </c>
      <c r="AC134" s="145" t="n">
        <v>252245</v>
      </c>
      <c r="AD134" s="145" t="n">
        <v>249361</v>
      </c>
      <c r="AE134" s="145" t="n">
        <v>268122</v>
      </c>
      <c r="AF134" s="145" t="n">
        <v>271286</v>
      </c>
      <c r="AG134" s="145" t="n">
        <v>275082</v>
      </c>
      <c r="AH134" s="145" t="n">
        <v>274145</v>
      </c>
      <c r="AI134" s="145" t="n">
        <v>288553</v>
      </c>
      <c r="AJ134" s="145" t="n">
        <v>286514</v>
      </c>
      <c r="AK134" s="145" t="n">
        <v>288604</v>
      </c>
      <c r="AL134" s="145" t="n">
        <v>309206</v>
      </c>
      <c r="AM134" s="145" t="n">
        <v>350432</v>
      </c>
      <c r="AN134" s="145" t="n">
        <v>367474</v>
      </c>
      <c r="AO134" s="145" t="n">
        <v>379375</v>
      </c>
      <c r="AP134" s="145" t="n">
        <v>395858</v>
      </c>
      <c r="AQ134" s="145" t="n">
        <v>389853</v>
      </c>
      <c r="AR134" s="145" t="n">
        <v>441494</v>
      </c>
      <c r="AS134" s="145" t="n">
        <v>460206</v>
      </c>
      <c r="AT134" s="145" t="n">
        <v>479058</v>
      </c>
      <c r="AU134" s="145" t="n">
        <v>514767</v>
      </c>
      <c r="AV134" s="145" t="n">
        <v>529163</v>
      </c>
      <c r="AW134" s="145" t="n">
        <v>543068</v>
      </c>
      <c r="AX134" s="145" t="n">
        <v>570756</v>
      </c>
      <c r="AY134" s="145" t="n">
        <v>600977</v>
      </c>
      <c r="AZ134" s="145" t="n">
        <v>596138</v>
      </c>
      <c r="BA134" s="145" t="n">
        <v>600852</v>
      </c>
      <c r="BB134" s="145" t="n">
        <v>580980</v>
      </c>
      <c r="BC134" s="145" t="n">
        <v>585644</v>
      </c>
      <c r="BD134" s="145" t="n">
        <v>576398</v>
      </c>
      <c r="BE134" s="145" t="n">
        <v>597527</v>
      </c>
      <c r="BF134" s="145" t="n">
        <v>600911</v>
      </c>
      <c r="BG134" s="145" t="n">
        <v>612420</v>
      </c>
      <c r="BH134" s="145" t="n">
        <v>624576</v>
      </c>
      <c r="BI134" s="145" t="n">
        <v>635302</v>
      </c>
      <c r="BJ134" s="145" t="n">
        <v>625366</v>
      </c>
      <c r="BK134" s="145" t="n">
        <v>680321</v>
      </c>
      <c r="BL134" s="145" t="n">
        <v>661510</v>
      </c>
      <c r="BM134" s="145" t="n">
        <v>580561</v>
      </c>
      <c r="BN134" s="145" t="n">
        <v>594273</v>
      </c>
      <c r="BO134" s="145" t="n">
        <v>609344</v>
      </c>
      <c r="BP134" s="145" t="n">
        <v>581970</v>
      </c>
      <c r="BQ134" s="145" t="n">
        <v>602257</v>
      </c>
      <c r="BR134" s="145" t="n">
        <v>585751</v>
      </c>
      <c r="BS134" t="n">
        <v>593136</v>
      </c>
      <c r="BT134" t="inlineStr">
        <is>
          <t>IPGP-Financial-Data-Workbook-2024-Q2.xlsx|Balance Sheet|21|93</t>
        </is>
      </c>
    </row>
    <row r="135">
      <c r="A135" s="74" t="inlineStr">
        <is>
          <t>Other non-current assets</t>
        </is>
      </c>
      <c r="B135" s="145" t="n"/>
      <c r="C135" s="145" t="n"/>
      <c r="D135" s="145" t="n"/>
      <c r="E135" s="145" t="n"/>
      <c r="F135" s="145" t="n"/>
      <c r="G135" s="145" t="n"/>
      <c r="H135" s="145" t="n"/>
      <c r="I135" s="145" t="n"/>
      <c r="J135" s="145" t="n"/>
      <c r="K135" s="145" t="n"/>
      <c r="L135" s="145" t="n"/>
      <c r="M135" s="145" t="n"/>
      <c r="N135" s="145" t="n">
        <v>15859</v>
      </c>
      <c r="O135" s="145" t="n">
        <v>17413</v>
      </c>
      <c r="P135" s="145" t="n">
        <v>16499</v>
      </c>
      <c r="Q135" s="145" t="n">
        <v>8751</v>
      </c>
      <c r="R135" s="145" t="n">
        <v>8868</v>
      </c>
      <c r="S135" s="145" t="n">
        <v>7676</v>
      </c>
      <c r="T135" s="145" t="n">
        <v>9656</v>
      </c>
      <c r="U135" s="145" t="n">
        <v>7486</v>
      </c>
      <c r="V135" s="145" t="n">
        <v>6303</v>
      </c>
      <c r="W135" s="145" t="n">
        <v>6010</v>
      </c>
      <c r="X135" s="145" t="n">
        <v>6719</v>
      </c>
      <c r="Y135" s="145" t="n">
        <v>7461</v>
      </c>
      <c r="Z135" s="145" t="n">
        <v>6878</v>
      </c>
      <c r="AA135" s="145" t="n">
        <v>7662</v>
      </c>
      <c r="AB135" s="145" t="n">
        <v>7395</v>
      </c>
      <c r="AC135" s="145" t="n">
        <v>7810</v>
      </c>
      <c r="AD135" s="145" t="n">
        <v>7032</v>
      </c>
      <c r="AE135" s="145" t="n">
        <v>19106</v>
      </c>
      <c r="AF135" s="145" t="n">
        <v>30872</v>
      </c>
      <c r="AG135" s="145" t="n">
        <v>26847</v>
      </c>
      <c r="AH135" s="145" t="n">
        <v>22787</v>
      </c>
      <c r="AI135" s="145" t="n">
        <v>21594</v>
      </c>
      <c r="AJ135" s="145" t="n">
        <v>21131</v>
      </c>
      <c r="AK135" s="145" t="n">
        <v>20095</v>
      </c>
      <c r="AL135" s="145" t="n">
        <v>19798</v>
      </c>
      <c r="AM135" s="145" t="n">
        <v>18333</v>
      </c>
      <c r="AN135" s="145" t="n">
        <v>19441</v>
      </c>
      <c r="AO135" s="145" t="n">
        <v>18603</v>
      </c>
      <c r="AP135" s="145" t="n">
        <v>20930</v>
      </c>
      <c r="AQ135" s="145" t="n">
        <v>21050</v>
      </c>
      <c r="AR135" s="145" t="n">
        <v>20673</v>
      </c>
      <c r="AS135" s="145" t="n">
        <v>19009</v>
      </c>
      <c r="AT135" s="145" t="n">
        <v>24134</v>
      </c>
      <c r="AU135" s="145" t="n">
        <v>44993</v>
      </c>
      <c r="AV135" s="145" t="n">
        <v>28043</v>
      </c>
      <c r="AW135" s="145" t="n">
        <v>18932</v>
      </c>
      <c r="AX135" s="145" t="n">
        <v>41954</v>
      </c>
      <c r="AY135" s="145" t="n">
        <v>51750</v>
      </c>
      <c r="AZ135" s="145" t="n">
        <v>50321</v>
      </c>
      <c r="BA135" s="145" t="n">
        <v>45192</v>
      </c>
      <c r="BB135" s="145" t="n">
        <v>39368</v>
      </c>
      <c r="BC135" s="145" t="n">
        <v>42116</v>
      </c>
      <c r="BD135" s="145" t="n">
        <v>45535</v>
      </c>
      <c r="BE135" s="145" t="n">
        <v>43419</v>
      </c>
      <c r="BF135" s="145" t="n">
        <v>37971</v>
      </c>
      <c r="BG135" s="145" t="n">
        <v>39679</v>
      </c>
      <c r="BH135" s="145" t="n">
        <v>50660</v>
      </c>
      <c r="BI135" s="145" t="n">
        <v>48507</v>
      </c>
      <c r="BJ135" s="145" t="n">
        <v>50569</v>
      </c>
      <c r="BK135" s="145" t="n">
        <v>50883</v>
      </c>
      <c r="BL135" s="145" t="n">
        <v>38466</v>
      </c>
      <c r="BM135" s="145" t="n">
        <v>28848</v>
      </c>
      <c r="BN135" s="145" t="n">
        <v>31715</v>
      </c>
      <c r="BO135" s="145" t="n">
        <v>24781</v>
      </c>
      <c r="BP135" s="145" t="n">
        <v>24530</v>
      </c>
      <c r="BQ135" s="145" t="n">
        <v>28425</v>
      </c>
      <c r="BR135" s="145" t="n">
        <v>35461</v>
      </c>
      <c r="BS135" t="n">
        <v>33777</v>
      </c>
      <c r="BT135" t="inlineStr">
        <is>
          <t>IPGP-Financial-Data-Workbook-2024-Q2.xlsx|Balance Sheet|22|93</t>
        </is>
      </c>
    </row>
    <row r="136">
      <c r="A136" s="22" t="inlineStr">
        <is>
          <t>Total assets</t>
        </is>
      </c>
      <c r="B136" s="133" t="n"/>
      <c r="C136" s="133" t="n"/>
      <c r="D136" s="133" t="n"/>
      <c r="E136" s="133" t="n"/>
      <c r="F136" s="133" t="n"/>
      <c r="G136" s="133" t="n"/>
      <c r="H136" s="133" t="n"/>
      <c r="I136" s="133" t="n"/>
      <c r="J136" s="133" t="n"/>
      <c r="K136" s="133" t="n"/>
      <c r="L136" s="133" t="n"/>
      <c r="M136" s="133" t="n"/>
      <c r="N136" s="133" t="n">
        <v>315207</v>
      </c>
      <c r="O136" s="133" t="n">
        <v>333724</v>
      </c>
      <c r="P136" s="133" t="n">
        <v>373976</v>
      </c>
      <c r="Q136" s="133" t="n">
        <v>441855</v>
      </c>
      <c r="R136" s="133" t="n">
        <v>489567</v>
      </c>
      <c r="S136" s="133" t="n">
        <v>561381</v>
      </c>
      <c r="T136" s="133" t="n">
        <v>596324</v>
      </c>
      <c r="U136" s="133" t="n">
        <v>608132</v>
      </c>
      <c r="V136" s="133" t="n">
        <v>834905</v>
      </c>
      <c r="W136" s="133" t="n">
        <v>798014</v>
      </c>
      <c r="X136" s="133" t="n">
        <v>878385</v>
      </c>
      <c r="Y136" s="133" t="n">
        <v>895498</v>
      </c>
      <c r="Z136" s="133" t="n">
        <v>892258</v>
      </c>
      <c r="AA136" s="133" t="n">
        <v>939255</v>
      </c>
      <c r="AB136" s="133" t="n">
        <v>1009796</v>
      </c>
      <c r="AC136" s="133" t="n">
        <v>1061216</v>
      </c>
      <c r="AD136" s="133" t="n">
        <v>1097013</v>
      </c>
      <c r="AE136" s="133" t="n">
        <v>1158386</v>
      </c>
      <c r="AF136" s="133" t="n">
        <v>1185388</v>
      </c>
      <c r="AG136" s="133" t="n">
        <v>1210887</v>
      </c>
      <c r="AH136" s="133" t="n">
        <v>1249260</v>
      </c>
      <c r="AI136" s="133" t="n">
        <v>1334541</v>
      </c>
      <c r="AJ136" s="133" t="n">
        <v>1408206</v>
      </c>
      <c r="AK136" s="133" t="n">
        <v>1453429</v>
      </c>
      <c r="AL136" s="133" t="n">
        <v>1550100</v>
      </c>
      <c r="AM136" s="133" t="n">
        <v>1629307</v>
      </c>
      <c r="AN136" s="133" t="n">
        <v>1727298</v>
      </c>
      <c r="AO136" s="133" t="n">
        <v>1789999</v>
      </c>
      <c r="AP136" s="133" t="n">
        <v>1902573</v>
      </c>
      <c r="AQ136" s="133" t="n">
        <v>2030542</v>
      </c>
      <c r="AR136" s="133" t="n">
        <v>2246065</v>
      </c>
      <c r="AS136" s="133" t="n">
        <v>2367255</v>
      </c>
      <c r="AT136" s="133" t="n">
        <v>2498007</v>
      </c>
      <c r="AU136" s="133" t="n">
        <v>2530478</v>
      </c>
      <c r="AV136" s="133" t="n">
        <v>2562099</v>
      </c>
      <c r="AW136" s="133" t="n">
        <v>2574450</v>
      </c>
      <c r="AX136" s="133" t="n">
        <v>2625871</v>
      </c>
      <c r="AY136" s="133" t="n">
        <v>2737416</v>
      </c>
      <c r="AZ136" s="133" t="n">
        <v>2730904</v>
      </c>
      <c r="BA136" s="133" t="n">
        <v>2730436</v>
      </c>
      <c r="BB136" s="133" t="n">
        <v>2680134</v>
      </c>
      <c r="BC136" s="133" t="n">
        <v>2758736</v>
      </c>
      <c r="BD136" s="133" t="n">
        <v>2794932</v>
      </c>
      <c r="BE136" s="133" t="n">
        <v>2935700</v>
      </c>
      <c r="BF136" s="133" t="n">
        <v>2982951</v>
      </c>
      <c r="BG136" s="133" t="n">
        <v>3086512</v>
      </c>
      <c r="BH136" s="133" t="n">
        <v>3143910</v>
      </c>
      <c r="BI136" s="133" t="n">
        <v>3170540</v>
      </c>
      <c r="BJ136" s="133" t="n">
        <v>3098469</v>
      </c>
      <c r="BK136" s="133" t="n">
        <v>3048769</v>
      </c>
      <c r="BL136" s="133" t="n">
        <v>2962520</v>
      </c>
      <c r="BM136" s="133" t="n">
        <v>2743280</v>
      </c>
      <c r="BN136" s="133" t="n">
        <v>2671156</v>
      </c>
      <c r="BO136" s="133" t="n">
        <v>2696417</v>
      </c>
      <c r="BP136" s="133" t="n">
        <v>2672864</v>
      </c>
      <c r="BQ136" s="133" t="n">
        <v>2698898</v>
      </c>
      <c r="BR136" s="133" t="n">
        <v>2598436</v>
      </c>
      <c r="BS136" t="n">
        <v>2495431</v>
      </c>
      <c r="BT136" t="inlineStr">
        <is>
          <t>IPGP-Financial-Data-Workbook-2024-Q2.xlsx|Balance Sheet|23|93</t>
        </is>
      </c>
    </row>
    <row r="137">
      <c r="A137" s="455" t="n"/>
      <c r="B137" s="672" t="n"/>
      <c r="C137" s="672" t="n"/>
      <c r="D137" s="672" t="n"/>
      <c r="E137" s="672" t="n"/>
      <c r="F137" s="672" t="n"/>
      <c r="G137" s="672" t="n"/>
      <c r="H137" s="672" t="n"/>
      <c r="I137" s="672" t="n"/>
      <c r="J137" s="672" t="n"/>
      <c r="K137" s="672" t="n"/>
      <c r="L137" s="672" t="n"/>
      <c r="M137" s="672" t="n"/>
      <c r="N137" s="672" t="n"/>
      <c r="O137" s="672" t="n"/>
      <c r="P137" s="672" t="n"/>
      <c r="Q137" s="672" t="n"/>
      <c r="R137" s="672" t="n"/>
      <c r="S137" s="672" t="n"/>
      <c r="T137" s="672" t="n"/>
      <c r="U137" s="672" t="n"/>
      <c r="V137" s="672" t="n"/>
      <c r="W137" s="672" t="n"/>
      <c r="X137" s="672" t="n"/>
      <c r="Y137" s="672" t="n"/>
      <c r="Z137" s="672" t="n"/>
      <c r="AA137" s="672" t="n"/>
      <c r="AB137" s="672" t="n"/>
      <c r="AC137" s="672" t="n"/>
      <c r="AD137" s="672" t="n"/>
      <c r="AE137" s="672" t="n"/>
      <c r="AF137" s="672" t="n"/>
      <c r="AG137" s="672" t="n"/>
      <c r="AH137" s="672" t="n"/>
      <c r="AI137" s="672" t="n"/>
      <c r="AJ137" s="672" t="n"/>
      <c r="AK137" s="672" t="n"/>
      <c r="AL137" s="672" t="n"/>
      <c r="AM137" s="672" t="n"/>
      <c r="AN137" s="672" t="n"/>
      <c r="AO137" s="672" t="n"/>
      <c r="AP137" s="672" t="n"/>
      <c r="AQ137" s="672" t="n"/>
      <c r="AR137" s="672" t="n"/>
      <c r="AS137" s="672" t="n"/>
      <c r="AT137" s="672" t="n"/>
      <c r="AU137" s="672" t="n"/>
      <c r="AV137" s="672" t="n"/>
      <c r="AW137" s="672" t="n"/>
      <c r="AX137" s="672" t="n"/>
      <c r="AY137" s="672" t="n"/>
      <c r="AZ137" s="672" t="n"/>
      <c r="BA137" s="672" t="n"/>
      <c r="BB137" s="672" t="n"/>
      <c r="BC137" s="672" t="n"/>
      <c r="BD137" s="672" t="n"/>
      <c r="BE137" s="672" t="n"/>
      <c r="BF137" s="672" t="n"/>
      <c r="BG137" s="672" t="n"/>
      <c r="BH137" s="672" t="n"/>
      <c r="BI137" s="672" t="n"/>
      <c r="BJ137" s="672" t="n"/>
      <c r="BK137" s="672" t="n"/>
      <c r="BL137" s="672" t="n"/>
      <c r="BM137" s="672" t="n"/>
      <c r="BN137" s="672" t="n"/>
      <c r="BO137" s="672" t="n"/>
      <c r="BP137" s="672" t="n"/>
      <c r="BQ137" s="672" t="n"/>
      <c r="BR137" s="672" t="n"/>
    </row>
    <row r="138">
      <c r="A138" s="74" t="inlineStr">
        <is>
          <t>Current portion of long-term debt</t>
        </is>
      </c>
      <c r="B138" s="145" t="n"/>
      <c r="C138" s="145" t="n"/>
      <c r="D138" s="145" t="n"/>
      <c r="E138" s="145" t="n"/>
      <c r="F138" s="145" t="n"/>
      <c r="G138" s="145" t="n"/>
      <c r="H138" s="145" t="n"/>
      <c r="I138" s="145" t="n"/>
      <c r="J138" s="145" t="n"/>
      <c r="K138" s="145" t="n"/>
      <c r="L138" s="145" t="n"/>
      <c r="M138" s="145" t="n"/>
      <c r="N138" s="145" t="n">
        <v>1333</v>
      </c>
      <c r="O138" s="145" t="n">
        <v>1333</v>
      </c>
      <c r="P138" s="145" t="n">
        <v>1333</v>
      </c>
      <c r="Q138" s="145" t="n">
        <v>1333</v>
      </c>
      <c r="R138" s="145" t="n">
        <v>1531</v>
      </c>
      <c r="S138" s="145" t="n">
        <v>1586</v>
      </c>
      <c r="T138" s="145" t="n">
        <v>1546</v>
      </c>
      <c r="U138" s="145" t="n">
        <v>1613</v>
      </c>
      <c r="V138" s="145" t="n">
        <v>1575</v>
      </c>
      <c r="W138" s="145" t="n">
        <v>1580</v>
      </c>
      <c r="X138" s="145" t="n">
        <v>1572</v>
      </c>
      <c r="Y138" s="145" t="n">
        <v>1505</v>
      </c>
      <c r="Z138" s="145" t="n">
        <v>1529</v>
      </c>
      <c r="AA138" s="145" t="n">
        <v>1333</v>
      </c>
      <c r="AB138" s="145" t="n">
        <v>1333</v>
      </c>
      <c r="AC138" s="145" t="n">
        <v>1333</v>
      </c>
      <c r="AD138" s="145" t="n">
        <v>1333</v>
      </c>
      <c r="AE138" s="145" t="n">
        <v>12000</v>
      </c>
      <c r="AF138" s="145" t="n">
        <v>11667</v>
      </c>
      <c r="AG138" s="145" t="n">
        <v>13333</v>
      </c>
      <c r="AH138" s="145" t="n">
        <v>13000</v>
      </c>
      <c r="AI138" s="145" t="n">
        <v>2000</v>
      </c>
      <c r="AJ138" s="145" t="n">
        <v>2000</v>
      </c>
      <c r="AK138" s="145" t="n">
        <v>2000</v>
      </c>
      <c r="AL138" s="145" t="n">
        <v>2000</v>
      </c>
      <c r="AM138" s="145" t="n">
        <v>3188</v>
      </c>
      <c r="AN138" s="145" t="n">
        <v>3188</v>
      </c>
      <c r="AO138" s="145" t="n">
        <v>3188</v>
      </c>
      <c r="AP138" s="145" t="n">
        <v>3188</v>
      </c>
      <c r="AQ138" s="145" t="n">
        <v>1188</v>
      </c>
      <c r="AR138" s="145" t="n">
        <v>3576</v>
      </c>
      <c r="AS138" s="145" t="n">
        <v>3604</v>
      </c>
      <c r="AT138" s="145" t="n">
        <v>3604</v>
      </c>
      <c r="AU138" s="145" t="n">
        <v>3637</v>
      </c>
      <c r="AV138" s="145" t="n">
        <v>3654</v>
      </c>
      <c r="AW138" s="145" t="n">
        <v>3671</v>
      </c>
      <c r="AX138" s="145" t="n">
        <v>3688</v>
      </c>
      <c r="AY138" s="145" t="n">
        <v>3705</v>
      </c>
      <c r="AZ138" s="145" t="n">
        <v>3722</v>
      </c>
      <c r="BA138" s="145" t="n">
        <v>3740</v>
      </c>
      <c r="BB138" s="145" t="n">
        <v>3757</v>
      </c>
      <c r="BC138" s="145" t="n">
        <v>3775</v>
      </c>
      <c r="BD138" s="145" t="n">
        <v>3792</v>
      </c>
      <c r="BE138" s="145" t="n">
        <v>3810</v>
      </c>
      <c r="BF138" s="145" t="n">
        <v>3828</v>
      </c>
      <c r="BG138" s="145" t="n">
        <v>3846</v>
      </c>
      <c r="BH138" s="145" t="n">
        <v>18788</v>
      </c>
      <c r="BI138" s="145" t="n">
        <v>18126</v>
      </c>
      <c r="BJ138" s="145" t="n">
        <v>17459</v>
      </c>
      <c r="BK138" s="145" t="n">
        <v>32225</v>
      </c>
      <c r="BL138" s="145" t="n">
        <v>16328</v>
      </c>
      <c r="BM138" s="145" t="n">
        <v>16031</v>
      </c>
      <c r="BN138" s="145" t="n">
        <v>15734</v>
      </c>
      <c r="BO138" s="145" t="n">
        <v>0</v>
      </c>
      <c r="BP138" s="145" t="n"/>
      <c r="BQ138" s="145" t="n"/>
      <c r="BR138" s="145" t="n"/>
    </row>
    <row r="139">
      <c r="A139" s="74" t="inlineStr">
        <is>
          <t>Accounts payable</t>
        </is>
      </c>
      <c r="B139" s="145" t="n"/>
      <c r="C139" s="145" t="n"/>
      <c r="D139" s="145" t="n"/>
      <c r="E139" s="145" t="n"/>
      <c r="F139" s="145" t="n"/>
      <c r="G139" s="145" t="n"/>
      <c r="H139" s="145" t="n"/>
      <c r="I139" s="145" t="n"/>
      <c r="J139" s="145" t="n"/>
      <c r="K139" s="145" t="n"/>
      <c r="L139" s="145" t="n"/>
      <c r="M139" s="145" t="n"/>
      <c r="N139" s="145" t="n">
        <v>5824</v>
      </c>
      <c r="O139" s="145" t="n">
        <v>10427</v>
      </c>
      <c r="P139" s="145" t="n">
        <v>10663</v>
      </c>
      <c r="Q139" s="145" t="n">
        <v>9510</v>
      </c>
      <c r="R139" s="145" t="n">
        <v>12526</v>
      </c>
      <c r="S139" s="145" t="n">
        <v>14884</v>
      </c>
      <c r="T139" s="145" t="n">
        <v>15241</v>
      </c>
      <c r="U139" s="145" t="n">
        <v>11122</v>
      </c>
      <c r="V139" s="145" t="n">
        <v>13488</v>
      </c>
      <c r="W139" s="145" t="n">
        <v>13200</v>
      </c>
      <c r="X139" s="145" t="n">
        <v>14291</v>
      </c>
      <c r="Y139" s="145" t="n">
        <v>17783</v>
      </c>
      <c r="Z139" s="145" t="n">
        <v>14575</v>
      </c>
      <c r="AA139" s="145" t="n">
        <v>18525</v>
      </c>
      <c r="AB139" s="145" t="n">
        <v>14293</v>
      </c>
      <c r="AC139" s="145" t="n">
        <v>18787</v>
      </c>
      <c r="AD139" s="145" t="n">
        <v>18620</v>
      </c>
      <c r="AE139" s="145" t="n">
        <v>15059</v>
      </c>
      <c r="AF139" s="145" t="n">
        <v>18969</v>
      </c>
      <c r="AG139" s="145" t="n">
        <v>17141</v>
      </c>
      <c r="AH139" s="145" t="n">
        <v>15916</v>
      </c>
      <c r="AI139" s="145" t="n">
        <v>21537</v>
      </c>
      <c r="AJ139" s="145" t="n">
        <v>20862</v>
      </c>
      <c r="AK139" s="145" t="n">
        <v>26314</v>
      </c>
      <c r="AL139" s="145" t="n">
        <v>20277</v>
      </c>
      <c r="AM139" s="145" t="n">
        <v>20414</v>
      </c>
      <c r="AN139" s="145" t="n">
        <v>17899</v>
      </c>
      <c r="AO139" s="145" t="n">
        <v>28048</v>
      </c>
      <c r="AP139" s="145" t="n">
        <v>25388</v>
      </c>
      <c r="AQ139" s="145" t="n">
        <v>28996</v>
      </c>
      <c r="AR139" s="145" t="n">
        <v>34271</v>
      </c>
      <c r="AS139" s="145" t="n">
        <v>35109</v>
      </c>
      <c r="AT139" s="145" t="n">
        <v>33369</v>
      </c>
      <c r="AU139" s="145" t="n">
        <v>42989</v>
      </c>
      <c r="AV139" s="145" t="n">
        <v>29494</v>
      </c>
      <c r="AW139" s="145" t="n">
        <v>36303</v>
      </c>
      <c r="AX139" s="145" t="n">
        <v>39970</v>
      </c>
      <c r="AY139" s="145" t="n">
        <v>38016</v>
      </c>
      <c r="AZ139" s="145" t="n">
        <v>30466</v>
      </c>
      <c r="BA139" s="145" t="n">
        <v>27329</v>
      </c>
      <c r="BB139" s="145" t="n">
        <v>39648</v>
      </c>
      <c r="BC139" s="145" t="n">
        <v>42261</v>
      </c>
      <c r="BD139" s="145" t="n">
        <v>37375</v>
      </c>
      <c r="BE139" s="145" t="n">
        <v>25748</v>
      </c>
      <c r="BF139" s="145" t="n">
        <v>44704</v>
      </c>
      <c r="BG139" s="145" t="n">
        <v>50714</v>
      </c>
      <c r="BH139" s="145" t="n">
        <v>52428</v>
      </c>
      <c r="BI139" s="145" t="n">
        <v>55839</v>
      </c>
      <c r="BJ139" s="145" t="n">
        <v>46481</v>
      </c>
      <c r="BK139" s="145" t="n">
        <v>57276</v>
      </c>
      <c r="BL139" s="145" t="n">
        <v>55072</v>
      </c>
      <c r="BM139" s="145" t="n">
        <v>46233</v>
      </c>
      <c r="BN139" s="145" t="n">
        <v>40902</v>
      </c>
      <c r="BO139" s="145" t="n">
        <v>37418</v>
      </c>
      <c r="BP139" s="145" t="n">
        <v>33126</v>
      </c>
      <c r="BQ139" s="145" t="n">
        <v>28618</v>
      </c>
      <c r="BR139" s="145" t="n">
        <v>26675</v>
      </c>
      <c r="BS139" t="n">
        <v>26232</v>
      </c>
      <c r="BT139" t="inlineStr">
        <is>
          <t>IPGP-Financial-Data-Workbook-2024-Q2.xlsx|Balance Sheet|29|93</t>
        </is>
      </c>
    </row>
    <row r="140">
      <c r="A140" s="74" t="inlineStr">
        <is>
          <t>Accrued expenses and other liabilities</t>
        </is>
      </c>
      <c r="B140" s="145" t="n"/>
      <c r="C140" s="145" t="n"/>
      <c r="D140" s="145" t="n"/>
      <c r="E140" s="145" t="n"/>
      <c r="F140" s="145" t="n"/>
      <c r="G140" s="145" t="n"/>
      <c r="H140" s="145" t="n"/>
      <c r="I140" s="145" t="n"/>
      <c r="J140" s="145" t="n"/>
      <c r="K140" s="145" t="n"/>
      <c r="L140" s="145" t="n"/>
      <c r="M140" s="145" t="n"/>
      <c r="N140" s="145" t="n">
        <v>25316</v>
      </c>
      <c r="O140" s="145" t="n">
        <v>35287</v>
      </c>
      <c r="P140" s="145" t="n">
        <v>41726</v>
      </c>
      <c r="Q140" s="145" t="n">
        <v>50105</v>
      </c>
      <c r="R140" s="145" t="n">
        <v>47512</v>
      </c>
      <c r="S140" s="145" t="n">
        <v>50732</v>
      </c>
      <c r="T140" s="145" t="n">
        <v>51248</v>
      </c>
      <c r="U140" s="145" t="n">
        <v>47285</v>
      </c>
      <c r="V140" s="145" t="n">
        <v>44014</v>
      </c>
      <c r="W140" s="145" t="n">
        <v>46225</v>
      </c>
      <c r="X140" s="145" t="n">
        <v>55733</v>
      </c>
      <c r="Y140" s="145" t="n">
        <v>51451</v>
      </c>
      <c r="Z140" s="145" t="n">
        <v>50138</v>
      </c>
      <c r="AA140" s="145" t="n">
        <v>53450</v>
      </c>
      <c r="AB140" s="145" t="n">
        <v>59553</v>
      </c>
      <c r="AC140" s="145" t="n">
        <v>59336</v>
      </c>
      <c r="AD140" s="145" t="n">
        <v>63867</v>
      </c>
      <c r="AE140" s="145" t="n">
        <v>63379</v>
      </c>
      <c r="AF140" s="145" t="n">
        <v>66862</v>
      </c>
      <c r="AG140" s="145" t="n">
        <v>64057</v>
      </c>
      <c r="AH140" s="145" t="n">
        <v>62209</v>
      </c>
      <c r="AI140" s="145" t="n">
        <v>68274</v>
      </c>
      <c r="AJ140" s="145" t="n">
        <v>76913</v>
      </c>
      <c r="AK140" s="145" t="n">
        <v>75667</v>
      </c>
      <c r="AL140" s="145" t="n">
        <v>70987</v>
      </c>
      <c r="AM140" s="145" t="n">
        <v>80534</v>
      </c>
      <c r="AN140" s="145" t="n">
        <v>96376</v>
      </c>
      <c r="AO140" s="145" t="n">
        <v>102485</v>
      </c>
      <c r="AP140" s="145" t="n">
        <v>105737</v>
      </c>
      <c r="AQ140" s="145" t="n">
        <v>116499</v>
      </c>
      <c r="AR140" s="145" t="n">
        <v>134284</v>
      </c>
      <c r="AS140" s="145" t="n">
        <v>144417</v>
      </c>
      <c r="AT140" s="145" t="n">
        <v>135750</v>
      </c>
      <c r="AU140" s="145" t="n">
        <v>134314</v>
      </c>
      <c r="AV140" s="145" t="n">
        <v>137060</v>
      </c>
      <c r="AW140" s="145" t="n">
        <v>154640</v>
      </c>
      <c r="AX140" s="145" t="n">
        <v>153151</v>
      </c>
      <c r="AY140" s="145" t="n">
        <v>161209</v>
      </c>
      <c r="AZ140" s="145" t="n">
        <v>151431</v>
      </c>
      <c r="BA140" s="145" t="n">
        <v>149782</v>
      </c>
      <c r="BB140" s="145">
        <f>45679+62499+24057+16436</f>
        <v/>
      </c>
      <c r="BC140" s="145" t="n">
        <v>148226</v>
      </c>
      <c r="BD140" s="145">
        <f>57265+57034+23971+18202</f>
        <v/>
      </c>
      <c r="BE140" s="145" t="n">
        <v>176740</v>
      </c>
      <c r="BF140" s="145" t="n">
        <v>162775</v>
      </c>
      <c r="BG140" s="145" t="n">
        <v>192164</v>
      </c>
      <c r="BH140" s="145" t="n">
        <v>208915</v>
      </c>
      <c r="BI140" s="145">
        <f>94857+89659+26204</f>
        <v/>
      </c>
      <c r="BJ140" s="145">
        <f>62287+94418+26815</f>
        <v/>
      </c>
      <c r="BK140" s="145">
        <f>75212+87155+27331</f>
        <v/>
      </c>
      <c r="BL140" s="145">
        <f>73324+81868+26800</f>
        <v/>
      </c>
      <c r="BM140" s="145">
        <f>78251+80068+28504</f>
        <v/>
      </c>
      <c r="BN140" s="145">
        <f>60311+82903+28813</f>
        <v/>
      </c>
      <c r="BO140" s="145" t="n">
        <v>184156</v>
      </c>
      <c r="BP140" s="145" t="n">
        <v>174517</v>
      </c>
      <c r="BQ140" s="145" t="n">
        <v>181350</v>
      </c>
      <c r="BR140" s="145" t="n">
        <v>163011</v>
      </c>
      <c r="BS140" t="n">
        <v>60722</v>
      </c>
      <c r="BT140" t="inlineStr">
        <is>
          <t>IPGP-Financial-Data-Workbook-2024-Q2.xlsx|Balance Sheet|30|93</t>
        </is>
      </c>
    </row>
    <row r="141">
      <c r="A141" s="74" t="inlineStr">
        <is>
          <t>Income taxes payable</t>
        </is>
      </c>
      <c r="B141" s="145" t="n"/>
      <c r="C141" s="145" t="n"/>
      <c r="D141" s="145" t="n"/>
      <c r="E141" s="145" t="n"/>
      <c r="F141" s="145" t="n"/>
      <c r="G141" s="145" t="n"/>
      <c r="H141" s="145" t="n"/>
      <c r="I141" s="145" t="n"/>
      <c r="J141" s="145" t="n"/>
      <c r="K141" s="145" t="n"/>
      <c r="L141" s="145" t="n"/>
      <c r="M141" s="145" t="n"/>
      <c r="N141" s="145" t="n">
        <v>4236</v>
      </c>
      <c r="O141" s="145" t="n">
        <v>7408</v>
      </c>
      <c r="P141" s="145" t="n">
        <v>10025</v>
      </c>
      <c r="Q141" s="145" t="n">
        <v>11594</v>
      </c>
      <c r="R141" s="145" t="n">
        <v>7688</v>
      </c>
      <c r="S141" s="145" t="n">
        <v>7555</v>
      </c>
      <c r="T141" s="145" t="n">
        <v>29029</v>
      </c>
      <c r="U141" s="145" t="n">
        <v>21230</v>
      </c>
      <c r="V141" s="145" t="n">
        <v>24720</v>
      </c>
      <c r="W141" s="145" t="n">
        <v>31191</v>
      </c>
      <c r="X141" s="145" t="n">
        <v>37604</v>
      </c>
      <c r="Y141" s="145" t="n">
        <v>42443</v>
      </c>
      <c r="Z141" s="145" t="n">
        <v>9191</v>
      </c>
      <c r="AA141" s="145" t="n">
        <v>17861</v>
      </c>
      <c r="AB141" s="145" t="n">
        <v>27031</v>
      </c>
      <c r="AC141" s="145" t="n">
        <v>15218</v>
      </c>
      <c r="AD141" s="145" t="n">
        <v>14054</v>
      </c>
      <c r="AE141" s="145" t="n">
        <v>16823</v>
      </c>
      <c r="AF141" s="145" t="n">
        <v>25088</v>
      </c>
      <c r="AG141" s="145" t="n">
        <v>21672</v>
      </c>
      <c r="AH141" s="145" t="n">
        <v>25606</v>
      </c>
      <c r="AI141" s="145" t="n">
        <v>28690</v>
      </c>
      <c r="AJ141" s="145" t="n">
        <v>45084</v>
      </c>
      <c r="AK141" s="145" t="n">
        <v>37809</v>
      </c>
      <c r="AL141" s="145" t="n">
        <v>53656</v>
      </c>
      <c r="AM141" s="145" t="n">
        <v>26688</v>
      </c>
      <c r="AN141" s="145" t="n">
        <v>34117</v>
      </c>
      <c r="AO141" s="145" t="n">
        <v>24554</v>
      </c>
      <c r="AP141" s="145" t="n">
        <v>23423</v>
      </c>
      <c r="AQ141" s="145" t="n">
        <v>10102</v>
      </c>
      <c r="AR141" s="145" t="n">
        <v>10060</v>
      </c>
      <c r="AS141" s="145" t="n">
        <v>15773</v>
      </c>
      <c r="AT141" s="145" t="n">
        <v>22820</v>
      </c>
      <c r="AU141" s="145" t="n">
        <v>29339</v>
      </c>
      <c r="AV141" s="145" t="n">
        <v>47777</v>
      </c>
      <c r="AW141" s="145" t="n">
        <v>51161</v>
      </c>
      <c r="AX141" s="145" t="n">
        <v>13007</v>
      </c>
      <c r="AY141" s="145" t="n">
        <v>19298</v>
      </c>
      <c r="AZ141" s="145" t="n">
        <v>19944</v>
      </c>
      <c r="BA141" s="145" t="n">
        <v>11053</v>
      </c>
      <c r="BB141" s="145" t="n">
        <v>3356</v>
      </c>
      <c r="BC141" s="145" t="n">
        <v>1024</v>
      </c>
      <c r="BD141" s="145" t="n">
        <v>3806</v>
      </c>
      <c r="BE141" s="145" t="n">
        <v>8280</v>
      </c>
      <c r="BF141" s="145" t="n">
        <v>3446</v>
      </c>
      <c r="BG141" s="145" t="n">
        <v>9181</v>
      </c>
      <c r="BH141" s="145" t="n">
        <v>12709</v>
      </c>
      <c r="BI141" s="145" t="n">
        <v>8642</v>
      </c>
      <c r="BJ141" s="145" t="n">
        <v>12317</v>
      </c>
      <c r="BK141" s="145" t="n">
        <v>15588</v>
      </c>
      <c r="BL141" s="145" t="n">
        <v>24752</v>
      </c>
      <c r="BM141" s="145" t="n">
        <v>9618</v>
      </c>
      <c r="BN141" s="145" t="n">
        <v>3100</v>
      </c>
      <c r="BO141" s="145" t="n">
        <v>6613</v>
      </c>
      <c r="BP141" s="145" t="n">
        <v>12066</v>
      </c>
      <c r="BQ141" s="145" t="n">
        <v>4893</v>
      </c>
      <c r="BR141" s="145" t="n">
        <v>2441</v>
      </c>
      <c r="BS141" t="n">
        <v>3022</v>
      </c>
      <c r="BT141" t="inlineStr">
        <is>
          <t>IPGP-Financial-Data-Workbook-2024-Q2.xlsx|Balance Sheet|34|93</t>
        </is>
      </c>
    </row>
    <row r="142">
      <c r="A142" s="74" t="inlineStr">
        <is>
          <t>Other current liabilities</t>
        </is>
      </c>
      <c r="B142" s="145" t="n"/>
      <c r="C142" s="145" t="n"/>
      <c r="D142" s="145" t="n"/>
      <c r="E142" s="145" t="n"/>
      <c r="F142" s="145" t="n"/>
      <c r="G142" s="145" t="n"/>
      <c r="H142" s="145" t="n"/>
      <c r="I142" s="145" t="n"/>
      <c r="J142" s="145" t="n"/>
      <c r="K142" s="145" t="n"/>
      <c r="L142" s="145" t="n"/>
      <c r="M142" s="145" t="n"/>
      <c r="N142" s="145">
        <f>7098+322</f>
        <v/>
      </c>
      <c r="O142" s="145">
        <f>6300+2572</f>
        <v/>
      </c>
      <c r="P142" s="145">
        <f>4634+2167</f>
        <v/>
      </c>
      <c r="Q142" s="145">
        <f>6841+3387</f>
        <v/>
      </c>
      <c r="R142" s="145">
        <f>6587+7557</f>
        <v/>
      </c>
      <c r="S142" s="145">
        <f>7205+8866</f>
        <v/>
      </c>
      <c r="T142" s="145">
        <f>7731+5863</f>
        <v/>
      </c>
      <c r="U142" s="145">
        <f>7057+5405</f>
        <v/>
      </c>
      <c r="V142" s="145">
        <f>9652+9690</f>
        <v/>
      </c>
      <c r="W142" s="145">
        <f>4037+7545</f>
        <v/>
      </c>
      <c r="X142" s="145">
        <f>4900+7181</f>
        <v/>
      </c>
      <c r="Y142" s="145">
        <f>2442+9831</f>
        <v/>
      </c>
      <c r="Z142" s="145">
        <f>9802+2875</f>
        <v/>
      </c>
      <c r="AA142" s="145">
        <f>1822+2211</f>
        <v/>
      </c>
      <c r="AB142" s="145">
        <f>1547+2050</f>
        <v/>
      </c>
      <c r="AC142" s="145">
        <f>3296+2109</f>
        <v/>
      </c>
      <c r="AD142" s="145">
        <f>2300+3104</f>
        <v/>
      </c>
      <c r="AE142" s="145">
        <f>2724+3187</f>
        <v/>
      </c>
      <c r="AF142" s="145">
        <f>2276+3151</f>
        <v/>
      </c>
      <c r="AG142" s="145">
        <f>2631+3241</f>
        <v/>
      </c>
      <c r="AH142" s="145">
        <f>523+5876</f>
        <v/>
      </c>
      <c r="AI142" s="145">
        <f>1600+3670</f>
        <v/>
      </c>
      <c r="AJ142" s="145">
        <f>248+3743</f>
        <v/>
      </c>
      <c r="AK142" s="145" t="n">
        <v>0</v>
      </c>
      <c r="AL142" s="145" t="n">
        <v>0</v>
      </c>
      <c r="AM142" s="145" t="n">
        <v>0</v>
      </c>
      <c r="AN142" s="145" t="n">
        <v>0</v>
      </c>
      <c r="AO142" s="145" t="n">
        <v>0</v>
      </c>
      <c r="AP142" s="145" t="n">
        <v>0</v>
      </c>
      <c r="AQ142" s="145" t="n">
        <v>0</v>
      </c>
      <c r="AR142" s="145" t="n">
        <v>0</v>
      </c>
      <c r="AS142" s="145" t="n">
        <v>0</v>
      </c>
      <c r="AT142" s="145" t="n">
        <v>0</v>
      </c>
      <c r="AU142" s="145" t="n">
        <v>0</v>
      </c>
      <c r="AV142" s="145" t="n">
        <v>0</v>
      </c>
      <c r="AW142" s="145" t="n">
        <v>0</v>
      </c>
      <c r="AX142" s="145" t="n">
        <v>0</v>
      </c>
      <c r="AY142" s="145" t="n">
        <v>0</v>
      </c>
      <c r="AZ142" s="145" t="n">
        <v>0</v>
      </c>
      <c r="BA142" s="145" t="n">
        <v>0</v>
      </c>
      <c r="BB142" s="145" t="n"/>
      <c r="BC142" s="145" t="n">
        <v>0</v>
      </c>
      <c r="BD142" s="145" t="n">
        <v>0</v>
      </c>
      <c r="BE142" s="145" t="n">
        <v>0</v>
      </c>
      <c r="BF142" s="145" t="n">
        <v>0</v>
      </c>
      <c r="BG142" s="145" t="n">
        <v>0</v>
      </c>
      <c r="BH142" s="145" t="n">
        <v>0</v>
      </c>
      <c r="BI142" s="145" t="n">
        <v>20106</v>
      </c>
      <c r="BJ142" s="145" t="n">
        <v>20059</v>
      </c>
      <c r="BK142" s="145" t="n">
        <v>21115</v>
      </c>
      <c r="BL142" s="145" t="n">
        <v>17644</v>
      </c>
      <c r="BM142" s="145" t="n">
        <v>15941</v>
      </c>
      <c r="BN142" s="145" t="n">
        <v>17759</v>
      </c>
      <c r="BO142" s="145" t="n"/>
      <c r="BP142" s="145" t="n"/>
      <c r="BQ142" s="145" t="n"/>
      <c r="BR142" s="145" t="n"/>
    </row>
    <row r="143">
      <c r="A143" s="22" t="inlineStr">
        <is>
          <t>Total current liabilities</t>
        </is>
      </c>
      <c r="B143" s="133" t="n"/>
      <c r="C143" s="133" t="n"/>
      <c r="D143" s="133" t="n"/>
      <c r="E143" s="133" t="n"/>
      <c r="F143" s="133" t="n"/>
      <c r="G143" s="133" t="n"/>
      <c r="H143" s="133" t="n"/>
      <c r="I143" s="133" t="n"/>
      <c r="J143" s="133" t="n"/>
      <c r="K143" s="133" t="n"/>
      <c r="L143" s="133" t="n"/>
      <c r="M143" s="133" t="n"/>
      <c r="N143" s="133" t="n">
        <v>44129</v>
      </c>
      <c r="O143" s="133" t="n">
        <v>63327</v>
      </c>
      <c r="P143" s="133" t="n">
        <v>70548</v>
      </c>
      <c r="Q143" s="133" t="n">
        <v>82770</v>
      </c>
      <c r="R143" s="133" t="n">
        <v>83401</v>
      </c>
      <c r="S143" s="133" t="n">
        <v>90828</v>
      </c>
      <c r="T143" s="133" t="n">
        <v>110658</v>
      </c>
      <c r="U143" s="133" t="n">
        <v>93712</v>
      </c>
      <c r="V143" s="133" t="n">
        <v>103139</v>
      </c>
      <c r="W143" s="133" t="n">
        <v>103778</v>
      </c>
      <c r="X143" s="133" t="n">
        <v>121281</v>
      </c>
      <c r="Y143" s="133" t="n">
        <v>125455</v>
      </c>
      <c r="Z143" s="133" t="n">
        <v>88110</v>
      </c>
      <c r="AA143" s="133" t="n">
        <v>95202</v>
      </c>
      <c r="AB143" s="133" t="n">
        <v>105807</v>
      </c>
      <c r="AC143" s="133" t="n">
        <v>100079</v>
      </c>
      <c r="AD143" s="133" t="n">
        <v>103278</v>
      </c>
      <c r="AE143" s="133" t="n">
        <v>113172</v>
      </c>
      <c r="AF143" s="133" t="n">
        <v>128013</v>
      </c>
      <c r="AG143" s="133" t="n">
        <v>122075</v>
      </c>
      <c r="AH143" s="133" t="n">
        <v>123130</v>
      </c>
      <c r="AI143" s="133" t="n">
        <v>125771</v>
      </c>
      <c r="AJ143" s="133" t="n">
        <v>148850</v>
      </c>
      <c r="AK143" s="133" t="n">
        <v>141790</v>
      </c>
      <c r="AL143" s="133">
        <f>150671-3751</f>
        <v/>
      </c>
      <c r="AM143" s="133">
        <f>134976-4152</f>
        <v/>
      </c>
      <c r="AN143" s="133">
        <f>155627-4047</f>
        <v/>
      </c>
      <c r="AO143" s="133" t="n">
        <v>158275</v>
      </c>
      <c r="AP143" s="133" t="n">
        <v>157736</v>
      </c>
      <c r="AQ143" s="133" t="n">
        <v>156785</v>
      </c>
      <c r="AR143" s="133" t="n">
        <v>182191</v>
      </c>
      <c r="AS143" s="133" t="n">
        <v>198903</v>
      </c>
      <c r="AT143" s="133" t="n">
        <v>195543</v>
      </c>
      <c r="AU143" s="133" t="n">
        <v>210279</v>
      </c>
      <c r="AV143" s="133" t="n">
        <v>217985</v>
      </c>
      <c r="AW143" s="133" t="n">
        <v>245775</v>
      </c>
      <c r="AX143" s="133" t="n">
        <v>209816</v>
      </c>
      <c r="AY143" s="133" t="n">
        <v>222228</v>
      </c>
      <c r="AZ143" s="133" t="n">
        <v>205563</v>
      </c>
      <c r="BA143" s="133" t="n">
        <v>191904</v>
      </c>
      <c r="BB143" s="133" t="n">
        <v>195432</v>
      </c>
      <c r="BC143" s="133" t="n">
        <v>195286</v>
      </c>
      <c r="BD143" s="133" t="n">
        <v>201445</v>
      </c>
      <c r="BE143" s="133" t="n">
        <v>214578</v>
      </c>
      <c r="BF143" s="133" t="n">
        <v>214753</v>
      </c>
      <c r="BG143" s="133" t="n">
        <v>255905</v>
      </c>
      <c r="BH143" s="133" t="n">
        <v>292840</v>
      </c>
      <c r="BI143" s="133" t="n">
        <v>313433</v>
      </c>
      <c r="BJ143" s="133" t="n">
        <v>279836</v>
      </c>
      <c r="BK143" s="133" t="n">
        <v>315902</v>
      </c>
      <c r="BL143" s="133" t="n">
        <v>295788</v>
      </c>
      <c r="BM143" s="133" t="n">
        <v>274646</v>
      </c>
      <c r="BN143" s="133" t="n">
        <v>249522</v>
      </c>
      <c r="BO143" s="133" t="n">
        <v>228187</v>
      </c>
      <c r="BP143" s="133" t="n">
        <v>219709</v>
      </c>
      <c r="BQ143" s="133" t="n">
        <v>214861</v>
      </c>
      <c r="BR143" s="133" t="n">
        <v>192127</v>
      </c>
      <c r="BS143" t="n">
        <v>190483</v>
      </c>
      <c r="BT143" t="inlineStr">
        <is>
          <t>IPGP-Financial-Data-Workbook-2024-Q2.xlsx|Balance Sheet|35|93</t>
        </is>
      </c>
    </row>
    <row r="144">
      <c r="A144" s="74" t="inlineStr">
        <is>
          <t>Deferred income taxes and other non-current liabilities</t>
        </is>
      </c>
      <c r="B144" s="145" t="n"/>
      <c r="C144" s="145" t="n"/>
      <c r="D144" s="145" t="n"/>
      <c r="E144" s="145" t="n"/>
      <c r="F144" s="145" t="n"/>
      <c r="G144" s="145" t="n"/>
      <c r="H144" s="145" t="n"/>
      <c r="I144" s="145" t="n"/>
      <c r="J144" s="145" t="n"/>
      <c r="K144" s="145" t="n"/>
      <c r="L144" s="145" t="n"/>
      <c r="M144" s="145" t="n"/>
      <c r="N144" s="145" t="n">
        <v>2293</v>
      </c>
      <c r="O144" s="145" t="n">
        <v>1425</v>
      </c>
      <c r="P144" s="145" t="n">
        <v>1594</v>
      </c>
      <c r="Q144" s="145">
        <f>1735+24903</f>
        <v/>
      </c>
      <c r="R144" s="145">
        <f>2766+25839</f>
        <v/>
      </c>
      <c r="S144" s="145">
        <f>4661+46730</f>
        <v/>
      </c>
      <c r="T144" s="145" t="n">
        <v>50407</v>
      </c>
      <c r="U144" s="145" t="n">
        <v>8961</v>
      </c>
      <c r="V144" s="145" t="n">
        <v>9881</v>
      </c>
      <c r="W144" s="145" t="n">
        <v>9834</v>
      </c>
      <c r="X144" s="145" t="n">
        <v>13191</v>
      </c>
      <c r="Y144" s="145" t="n">
        <v>13102</v>
      </c>
      <c r="Z144" s="145" t="n">
        <v>18398</v>
      </c>
      <c r="AA144" s="145" t="n">
        <v>16086</v>
      </c>
      <c r="AB144" s="145" t="n">
        <v>16635</v>
      </c>
      <c r="AC144" s="145" t="n">
        <v>21835</v>
      </c>
      <c r="AD144" s="145" t="n">
        <v>21419</v>
      </c>
      <c r="AE144" s="145" t="n">
        <v>21354</v>
      </c>
      <c r="AF144" s="145" t="n">
        <v>20672</v>
      </c>
      <c r="AG144" s="145" t="n">
        <v>22584</v>
      </c>
      <c r="AH144" s="145" t="n">
        <v>26444</v>
      </c>
      <c r="AI144" s="145" t="n">
        <v>26348</v>
      </c>
      <c r="AJ144" s="145" t="n">
        <v>25303</v>
      </c>
      <c r="AK144" s="145" t="n">
        <v>33307</v>
      </c>
      <c r="AL144" s="145">
        <f>35264+3751</f>
        <v/>
      </c>
      <c r="AM144" s="145">
        <f>31939+4152</f>
        <v/>
      </c>
      <c r="AN144" s="145">
        <f>30223+4047</f>
        <v/>
      </c>
      <c r="AO144" s="145" t="n">
        <v>36365</v>
      </c>
      <c r="AP144" s="145" t="n">
        <v>41726</v>
      </c>
      <c r="AQ144" s="145" t="n">
        <v>48025</v>
      </c>
      <c r="AR144" s="145" t="n">
        <v>58479</v>
      </c>
      <c r="AS144" s="145" t="n">
        <v>100652</v>
      </c>
      <c r="AT144" s="145" t="n">
        <v>112612</v>
      </c>
      <c r="AU144" s="145" t="n">
        <v>104491</v>
      </c>
      <c r="AV144" s="145" t="n">
        <v>94675</v>
      </c>
      <c r="AW144" s="145" t="n">
        <v>80734</v>
      </c>
      <c r="AX144" s="145" t="n">
        <v>106988</v>
      </c>
      <c r="AY144" s="145" t="n">
        <v>107981</v>
      </c>
      <c r="AZ144" s="145" t="n">
        <v>105772</v>
      </c>
      <c r="BA144" s="145" t="n">
        <v>98121</v>
      </c>
      <c r="BB144" s="145" t="n">
        <v>91750</v>
      </c>
      <c r="BC144" s="145" t="n">
        <v>90073</v>
      </c>
      <c r="BD144" s="145" t="n">
        <v>87296</v>
      </c>
      <c r="BE144" s="145" t="n">
        <v>92854</v>
      </c>
      <c r="BF144" s="145" t="n">
        <v>94335</v>
      </c>
      <c r="BG144" s="145" t="n">
        <v>92102</v>
      </c>
      <c r="BH144" s="145" t="n">
        <v>94897</v>
      </c>
      <c r="BI144" s="145" t="n">
        <v>93855</v>
      </c>
      <c r="BJ144" s="145" t="n">
        <v>94650</v>
      </c>
      <c r="BK144" s="145" t="n">
        <v>92516</v>
      </c>
      <c r="BL144" s="145" t="n">
        <v>86223</v>
      </c>
      <c r="BM144" s="145" t="n">
        <v>83274</v>
      </c>
      <c r="BN144" s="145" t="n">
        <v>83109</v>
      </c>
      <c r="BO144" s="145" t="n">
        <v>69680</v>
      </c>
      <c r="BP144" s="145" t="n">
        <v>69204</v>
      </c>
      <c r="BQ144" s="145" t="n">
        <v>68652</v>
      </c>
      <c r="BR144" s="145" t="n">
        <v>65589</v>
      </c>
      <c r="BS144" t="n">
        <v>51578</v>
      </c>
      <c r="BT144" t="inlineStr">
        <is>
          <t>IPGP-Financial-Data-Workbook-2024-Q2.xlsx|Balance Sheet|37|93</t>
        </is>
      </c>
    </row>
    <row r="145">
      <c r="A145" s="74" t="inlineStr">
        <is>
          <t>Long-term debt, net of current portion</t>
        </is>
      </c>
      <c r="B145" s="145" t="n"/>
      <c r="C145" s="145" t="n"/>
      <c r="D145" s="145" t="n"/>
      <c r="E145" s="145" t="n"/>
      <c r="F145" s="145" t="n"/>
      <c r="G145" s="145" t="n"/>
      <c r="H145" s="145" t="n"/>
      <c r="I145" s="145" t="n"/>
      <c r="J145" s="145" t="n"/>
      <c r="K145" s="145" t="n"/>
      <c r="L145" s="145" t="n"/>
      <c r="M145" s="145" t="n"/>
      <c r="N145" s="145" t="n">
        <v>16333</v>
      </c>
      <c r="O145" s="145" t="n">
        <v>16649</v>
      </c>
      <c r="P145" s="145" t="n">
        <v>16382</v>
      </c>
      <c r="Q145" s="145" t="n">
        <v>15644</v>
      </c>
      <c r="R145" s="145" t="n">
        <v>17112</v>
      </c>
      <c r="S145" s="145" t="n">
        <v>16758</v>
      </c>
      <c r="T145" s="145" t="n">
        <v>16296</v>
      </c>
      <c r="U145" s="145" t="n">
        <v>15726</v>
      </c>
      <c r="V145" s="145" t="n">
        <v>15132</v>
      </c>
      <c r="W145" s="145" t="n">
        <v>14671</v>
      </c>
      <c r="X145" s="145" t="n">
        <v>14341</v>
      </c>
      <c r="Y145" s="145" t="n">
        <v>14014</v>
      </c>
      <c r="Z145" s="145" t="n">
        <v>12525</v>
      </c>
      <c r="AA145" s="145" t="n">
        <v>12000</v>
      </c>
      <c r="AB145" s="145" t="n">
        <v>11667</v>
      </c>
      <c r="AC145" s="145" t="n">
        <v>11333</v>
      </c>
      <c r="AD145" s="145" t="n">
        <v>11000</v>
      </c>
      <c r="AE145" s="145" t="n">
        <v>0</v>
      </c>
      <c r="AF145" s="145" t="n">
        <v>0</v>
      </c>
      <c r="AG145" s="145" t="n">
        <v>19667</v>
      </c>
      <c r="AH145" s="145" t="n">
        <v>19167</v>
      </c>
      <c r="AI145" s="145" t="n">
        <v>18667</v>
      </c>
      <c r="AJ145" s="145" t="n">
        <v>18167</v>
      </c>
      <c r="AK145" s="145" t="n">
        <v>17667</v>
      </c>
      <c r="AL145" s="145" t="n">
        <v>17167</v>
      </c>
      <c r="AM145" s="145" t="n">
        <v>39229</v>
      </c>
      <c r="AN145" s="145" t="n">
        <v>38432</v>
      </c>
      <c r="AO145" s="145" t="n">
        <v>37635</v>
      </c>
      <c r="AP145" s="145" t="n">
        <v>36839</v>
      </c>
      <c r="AQ145" s="145" t="n">
        <v>21375</v>
      </c>
      <c r="AR145" s="145" t="n">
        <v>46296</v>
      </c>
      <c r="AS145" s="145" t="n">
        <v>45378</v>
      </c>
      <c r="AT145" s="145" t="n">
        <v>44483</v>
      </c>
      <c r="AU145" s="145" t="n">
        <v>43551</v>
      </c>
      <c r="AV145" s="145" t="n">
        <v>42631</v>
      </c>
      <c r="AW145" s="145" t="n">
        <v>41707</v>
      </c>
      <c r="AX145" s="145" t="n">
        <v>40779</v>
      </c>
      <c r="AY145" s="145" t="n">
        <v>39846</v>
      </c>
      <c r="AZ145" s="145" t="n">
        <v>38909</v>
      </c>
      <c r="BA145" s="145" t="n">
        <v>37968</v>
      </c>
      <c r="BB145" s="145" t="n">
        <v>37022</v>
      </c>
      <c r="BC145" s="145" t="n">
        <v>36071</v>
      </c>
      <c r="BD145" s="145" t="n">
        <v>35117</v>
      </c>
      <c r="BE145" s="145" t="n">
        <v>34157</v>
      </c>
      <c r="BF145" s="145" t="n">
        <v>33193</v>
      </c>
      <c r="BG145" s="145" t="n">
        <v>32225</v>
      </c>
      <c r="BH145" s="145" t="n">
        <v>16328</v>
      </c>
      <c r="BI145" s="145" t="n">
        <v>16031</v>
      </c>
      <c r="BJ145" s="145" t="n">
        <v>15734</v>
      </c>
      <c r="BK145" s="145" t="n">
        <v>0</v>
      </c>
      <c r="BL145" s="145" t="n">
        <v>0</v>
      </c>
      <c r="BM145" s="145" t="n">
        <v>0</v>
      </c>
      <c r="BN145" s="145" t="n">
        <v>0</v>
      </c>
      <c r="BO145" s="145" t="n">
        <v>0</v>
      </c>
      <c r="BP145" s="145" t="n"/>
      <c r="BQ145" s="145" t="n"/>
      <c r="BR145" s="145" t="n"/>
      <c r="BS145" t="n">
        <v>0</v>
      </c>
      <c r="BT145" t="inlineStr">
        <is>
          <t>IPGP-Financial-Data-Workbook-2024-Q2.xlsx|Balance Sheet|38|93</t>
        </is>
      </c>
    </row>
    <row r="146">
      <c r="A146" s="22" t="inlineStr">
        <is>
          <t>Total liabilities</t>
        </is>
      </c>
      <c r="B146" s="133" t="n"/>
      <c r="C146" s="133" t="n"/>
      <c r="D146" s="133" t="n"/>
      <c r="E146" s="133" t="n"/>
      <c r="F146" s="133" t="n"/>
      <c r="G146" s="133" t="n"/>
      <c r="H146" s="133" t="n"/>
      <c r="I146" s="133" t="n"/>
      <c r="J146" s="133" t="n"/>
      <c r="K146" s="133" t="n"/>
      <c r="L146" s="133" t="n"/>
      <c r="M146" s="133" t="n"/>
      <c r="N146" s="147">
        <f>SUM(N143:N145)</f>
        <v/>
      </c>
      <c r="O146" s="147">
        <f>SUM(O143:O145)</f>
        <v/>
      </c>
      <c r="P146" s="147">
        <f>SUM(P143:P145)</f>
        <v/>
      </c>
      <c r="Q146" s="133" t="n">
        <v>125052</v>
      </c>
      <c r="R146" s="133" t="n">
        <v>129118</v>
      </c>
      <c r="S146" s="133" t="n">
        <v>158977</v>
      </c>
      <c r="T146" s="133" t="n">
        <v>177361</v>
      </c>
      <c r="U146" s="133" t="n">
        <v>118399</v>
      </c>
      <c r="V146" s="133" t="n">
        <v>128152</v>
      </c>
      <c r="W146" s="133" t="n">
        <v>128283</v>
      </c>
      <c r="X146" s="133" t="n">
        <v>148813</v>
      </c>
      <c r="Y146" s="133" t="n">
        <v>152571</v>
      </c>
      <c r="Z146" s="133" t="n">
        <v>119033</v>
      </c>
      <c r="AA146" s="133" t="n">
        <v>123288</v>
      </c>
      <c r="AB146" s="133" t="n">
        <v>134109</v>
      </c>
      <c r="AC146" s="133" t="n">
        <v>133247</v>
      </c>
      <c r="AD146" s="133" t="n">
        <v>135697</v>
      </c>
      <c r="AE146" s="133" t="n">
        <v>134526</v>
      </c>
      <c r="AF146" s="133" t="n">
        <v>148685</v>
      </c>
      <c r="AG146" s="133" t="n">
        <v>164326</v>
      </c>
      <c r="AH146" s="133" t="n">
        <v>168741</v>
      </c>
      <c r="AI146" s="133" t="n">
        <v>170786</v>
      </c>
      <c r="AJ146" s="133" t="n">
        <v>192320</v>
      </c>
      <c r="AK146" s="133" t="n">
        <v>192764</v>
      </c>
      <c r="AL146" s="133" t="n">
        <v>203102</v>
      </c>
      <c r="AM146" s="133" t="n">
        <v>206144</v>
      </c>
      <c r="AN146" s="133" t="n">
        <v>224282</v>
      </c>
      <c r="AO146" s="133" t="n">
        <v>232275</v>
      </c>
      <c r="AP146" s="133" t="n">
        <v>236301</v>
      </c>
      <c r="AQ146" s="133" t="n">
        <v>226185</v>
      </c>
      <c r="AR146" s="133" t="n">
        <v>286966</v>
      </c>
      <c r="AS146" s="133" t="n">
        <v>344933</v>
      </c>
      <c r="AT146" s="133" t="n">
        <v>352638</v>
      </c>
      <c r="AU146" s="133" t="n">
        <v>358321</v>
      </c>
      <c r="AV146" s="133" t="n">
        <v>355291</v>
      </c>
      <c r="AW146" s="133" t="n">
        <v>368216</v>
      </c>
      <c r="AX146" s="133" t="n">
        <v>357583</v>
      </c>
      <c r="AY146" s="133" t="n">
        <v>370055</v>
      </c>
      <c r="AZ146" s="133" t="n">
        <v>350244</v>
      </c>
      <c r="BA146" s="133" t="n">
        <v>327993</v>
      </c>
      <c r="BB146" s="133" t="n">
        <v>324204</v>
      </c>
      <c r="BC146" s="133" t="n">
        <v>321430</v>
      </c>
      <c r="BD146" s="133" t="n">
        <v>323858</v>
      </c>
      <c r="BE146" s="133" t="n">
        <v>341589</v>
      </c>
      <c r="BF146" s="133" t="n">
        <v>342281</v>
      </c>
      <c r="BG146" s="133" t="n">
        <v>380232</v>
      </c>
      <c r="BH146" s="133" t="n">
        <v>404065</v>
      </c>
      <c r="BI146" s="133" t="n">
        <v>423319</v>
      </c>
      <c r="BJ146" s="133" t="n">
        <v>390220</v>
      </c>
      <c r="BK146" s="133" t="n">
        <v>408418</v>
      </c>
      <c r="BL146" s="133" t="n">
        <v>382011</v>
      </c>
      <c r="BM146" s="133" t="n">
        <v>357920</v>
      </c>
      <c r="BN146" s="133" t="n">
        <v>332631</v>
      </c>
      <c r="BO146" s="133" t="n">
        <v>297867</v>
      </c>
      <c r="BP146" s="133" t="n">
        <v>288913</v>
      </c>
      <c r="BQ146" s="133" t="n">
        <v>283513</v>
      </c>
      <c r="BR146" s="133" t="n">
        <v>257716</v>
      </c>
      <c r="BS146" t="n">
        <v>242061</v>
      </c>
      <c r="BT146" t="inlineStr">
        <is>
          <t>IPGP-Financial-Data-Workbook-2024-Q2.xlsx|Balance Sheet|39|93</t>
        </is>
      </c>
    </row>
    <row r="147">
      <c r="A147" s="22" t="n"/>
      <c r="B147" s="145" t="n"/>
      <c r="C147" s="145" t="n"/>
      <c r="D147" s="145" t="n"/>
      <c r="E147" s="145" t="n"/>
      <c r="F147" s="145" t="n"/>
      <c r="G147" s="145" t="n"/>
      <c r="H147" s="145" t="n"/>
      <c r="I147" s="145" t="n"/>
      <c r="J147" s="145" t="n"/>
      <c r="K147" s="145" t="n"/>
      <c r="L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c r="AG147" s="145" t="n"/>
      <c r="AH147" s="145" t="n"/>
      <c r="AI147" s="145" t="n"/>
      <c r="AJ147" s="145" t="n"/>
      <c r="AK147" s="145" t="n"/>
      <c r="AL147" s="145" t="n"/>
      <c r="AM147" s="145" t="n"/>
      <c r="AN147" s="145" t="n"/>
      <c r="AO147" s="145" t="n"/>
      <c r="AP147" s="145" t="n"/>
      <c r="AQ147" s="145" t="n"/>
      <c r="AR147" s="145" t="n"/>
      <c r="AS147" s="145" t="n"/>
      <c r="AT147" s="145" t="n"/>
      <c r="AU147" s="145" t="n"/>
      <c r="AV147" s="145" t="n"/>
      <c r="AW147" s="145" t="n"/>
      <c r="AX147" s="145" t="n"/>
      <c r="AY147" s="145" t="n"/>
      <c r="AZ147" s="145" t="n"/>
      <c r="BA147" s="145" t="n"/>
      <c r="BB147" s="145" t="n"/>
      <c r="BC147" s="145" t="n"/>
      <c r="BD147" s="145" t="n"/>
      <c r="BE147" s="145" t="n"/>
      <c r="BF147" s="145" t="n"/>
      <c r="BG147" s="145" t="n"/>
      <c r="BH147" s="145" t="n"/>
      <c r="BI147" s="145" t="n"/>
      <c r="BJ147" s="145" t="n"/>
      <c r="BK147" s="145" t="n"/>
      <c r="BL147" s="145" t="n"/>
      <c r="BM147" s="145" t="n"/>
      <c r="BN147" s="145" t="n"/>
      <c r="BO147" s="145" t="n"/>
      <c r="BP147" s="145" t="n"/>
      <c r="BQ147" s="145" t="n"/>
      <c r="BR147" s="145" t="n"/>
    </row>
    <row r="148">
      <c r="A148" s="33" t="inlineStr">
        <is>
          <t>IPG Photonics Corporation equity</t>
        </is>
      </c>
      <c r="B148" s="145" t="n"/>
      <c r="C148" s="145" t="n"/>
      <c r="D148" s="145" t="n"/>
      <c r="E148" s="145" t="n"/>
      <c r="F148" s="145" t="n"/>
      <c r="G148" s="145" t="n"/>
      <c r="H148" s="145" t="n"/>
      <c r="I148" s="145" t="n"/>
      <c r="J148" s="145" t="n"/>
      <c r="K148" s="145" t="n"/>
      <c r="L148" s="145" t="n"/>
      <c r="M148" s="145" t="n"/>
      <c r="N148" s="145" t="n">
        <v>5</v>
      </c>
      <c r="O148" s="145" t="n">
        <v>5</v>
      </c>
      <c r="P148" s="145" t="n">
        <v>5</v>
      </c>
      <c r="Q148" s="145" t="n">
        <v>5</v>
      </c>
      <c r="R148" s="145" t="n">
        <v>5</v>
      </c>
      <c r="S148" s="145" t="n">
        <v>5</v>
      </c>
      <c r="T148" s="145" t="n">
        <v>5</v>
      </c>
      <c r="U148" s="145" t="n">
        <v>5</v>
      </c>
      <c r="V148" s="145" t="n">
        <v>5</v>
      </c>
      <c r="W148" s="145" t="n">
        <v>5</v>
      </c>
      <c r="X148" s="145" t="n">
        <v>5</v>
      </c>
      <c r="Y148" s="145" t="n">
        <v>5</v>
      </c>
      <c r="Z148" s="145" t="n">
        <v>5</v>
      </c>
      <c r="AA148" s="145" t="n">
        <v>5</v>
      </c>
      <c r="AB148" s="145" t="n">
        <v>5</v>
      </c>
      <c r="AC148" s="145" t="n">
        <v>5</v>
      </c>
      <c r="AD148" s="145" t="n">
        <v>5</v>
      </c>
      <c r="AE148" s="145" t="n">
        <v>5</v>
      </c>
      <c r="AF148" s="145" t="n">
        <v>5</v>
      </c>
      <c r="AG148" s="145" t="n">
        <v>5</v>
      </c>
      <c r="AH148" s="145" t="n">
        <v>5</v>
      </c>
      <c r="AI148" s="145" t="n">
        <v>5</v>
      </c>
      <c r="AJ148" s="145" t="n">
        <v>5</v>
      </c>
      <c r="AK148" s="145" t="n">
        <v>5</v>
      </c>
      <c r="AL148" s="145" t="n">
        <v>5</v>
      </c>
      <c r="AM148" s="145" t="n">
        <v>5</v>
      </c>
      <c r="AN148" s="145" t="n">
        <v>5</v>
      </c>
      <c r="AO148" s="145" t="n">
        <v>5</v>
      </c>
      <c r="AP148" s="145" t="n">
        <v>5</v>
      </c>
      <c r="AQ148" s="145" t="n">
        <v>5</v>
      </c>
      <c r="AR148" s="145" t="n">
        <v>5</v>
      </c>
      <c r="AS148" s="145" t="n">
        <v>5</v>
      </c>
      <c r="AT148" s="145" t="n">
        <v>5</v>
      </c>
      <c r="AU148" s="145" t="n">
        <v>5</v>
      </c>
      <c r="AV148" s="145" t="n">
        <v>5</v>
      </c>
      <c r="AW148" s="145" t="n">
        <v>5</v>
      </c>
      <c r="AX148" s="145" t="n">
        <v>5</v>
      </c>
      <c r="AY148" s="145" t="n">
        <v>5</v>
      </c>
      <c r="AZ148" s="145" t="n">
        <v>5</v>
      </c>
      <c r="BA148" s="145" t="n">
        <v>5</v>
      </c>
      <c r="BB148" s="145" t="n">
        <v>6</v>
      </c>
      <c r="BC148" s="145" t="n">
        <v>6</v>
      </c>
      <c r="BD148" s="145" t="n">
        <v>6</v>
      </c>
      <c r="BE148" s="145" t="n">
        <v>6</v>
      </c>
      <c r="BF148" s="145" t="n">
        <v>6</v>
      </c>
      <c r="BG148" s="145" t="n">
        <v>6</v>
      </c>
      <c r="BH148" s="145" t="n">
        <v>6</v>
      </c>
      <c r="BI148" s="145" t="n">
        <v>6</v>
      </c>
      <c r="BJ148" s="145" t="n">
        <v>6</v>
      </c>
      <c r="BK148" s="145" t="n">
        <v>6</v>
      </c>
      <c r="BL148" s="145" t="n">
        <v>6</v>
      </c>
      <c r="BM148" s="145" t="n">
        <v>6</v>
      </c>
      <c r="BN148" s="145" t="n">
        <v>6</v>
      </c>
      <c r="BO148" s="145" t="n">
        <v>6</v>
      </c>
      <c r="BP148" s="145" t="n">
        <v>6</v>
      </c>
      <c r="BQ148" s="145" t="n">
        <v>6</v>
      </c>
      <c r="BR148" s="145" t="n">
        <v>6</v>
      </c>
    </row>
    <row r="149">
      <c r="A149" s="33" t="inlineStr">
        <is>
          <t>Treasury stock, at cost</t>
        </is>
      </c>
      <c r="B149" s="145" t="n"/>
      <c r="C149" s="145" t="n"/>
      <c r="D149" s="145" t="n"/>
      <c r="E149" s="145" t="n"/>
      <c r="F149" s="145" t="n"/>
      <c r="G149" s="145" t="n"/>
      <c r="H149" s="145" t="n"/>
      <c r="I149" s="145" t="n"/>
      <c r="J149" s="145" t="n"/>
      <c r="K149" s="145" t="n"/>
      <c r="L149" s="145" t="n"/>
      <c r="M149" s="145" t="n"/>
      <c r="N149" s="145" t="n">
        <v>0</v>
      </c>
      <c r="O149" s="145" t="n">
        <v>0</v>
      </c>
      <c r="P149" s="145" t="n">
        <v>0</v>
      </c>
      <c r="Q149" s="145" t="n">
        <v>0</v>
      </c>
      <c r="R149" s="145" t="n">
        <v>0</v>
      </c>
      <c r="S149" s="145" t="n">
        <v>0</v>
      </c>
      <c r="T149" s="145" t="n">
        <v>0</v>
      </c>
      <c r="U149" s="145" t="n">
        <v>0</v>
      </c>
      <c r="V149" s="145" t="n">
        <v>0</v>
      </c>
      <c r="W149" s="145" t="n">
        <v>0</v>
      </c>
      <c r="X149" s="145" t="n">
        <v>0</v>
      </c>
      <c r="Y149" s="145" t="n">
        <v>0</v>
      </c>
      <c r="Z149" s="145" t="n">
        <v>0</v>
      </c>
      <c r="AA149" s="145" t="n">
        <v>0</v>
      </c>
      <c r="AB149" s="145" t="n">
        <v>0</v>
      </c>
      <c r="AC149" s="145" t="n">
        <v>0</v>
      </c>
      <c r="AD149" s="145" t="n">
        <v>0</v>
      </c>
      <c r="AE149" s="145" t="n">
        <v>0</v>
      </c>
      <c r="AF149" s="145" t="n">
        <v>0</v>
      </c>
      <c r="AG149" s="145" t="n">
        <v>0</v>
      </c>
      <c r="AH149" s="145" t="n">
        <v>0</v>
      </c>
      <c r="AI149" s="145" t="n">
        <v>0</v>
      </c>
      <c r="AJ149" s="145" t="n">
        <v>0</v>
      </c>
      <c r="AK149" s="145" t="n">
        <v>0</v>
      </c>
      <c r="AL149" s="145" t="n">
        <v>0</v>
      </c>
      <c r="AM149" s="145" t="n">
        <v>0</v>
      </c>
      <c r="AN149" s="145" t="n">
        <v>-3483</v>
      </c>
      <c r="AO149" s="145" t="n">
        <v>-8946</v>
      </c>
      <c r="AP149" s="145" t="n">
        <v>-21485</v>
      </c>
      <c r="AQ149" s="145" t="n">
        <v>-33058</v>
      </c>
      <c r="AR149" s="145" t="n">
        <v>-35857</v>
      </c>
      <c r="AS149" s="145" t="n">
        <v>-48933</v>
      </c>
      <c r="AT149" s="145" t="n">
        <v>-69004</v>
      </c>
      <c r="AU149" s="145" t="n">
        <v>-99997</v>
      </c>
      <c r="AV149" s="145" t="n">
        <v>-160859</v>
      </c>
      <c r="AW149" s="145" t="n">
        <v>-224998</v>
      </c>
      <c r="AX149" s="145" t="n">
        <v>-224998</v>
      </c>
      <c r="AY149" s="145" t="n">
        <v>-227282</v>
      </c>
      <c r="AZ149" s="145" t="n">
        <v>-250919</v>
      </c>
      <c r="BA149" s="145" t="n">
        <v>-265730</v>
      </c>
      <c r="BB149" s="145" t="n">
        <v>-278446</v>
      </c>
      <c r="BC149" s="145" t="n">
        <v>-293960</v>
      </c>
      <c r="BD149" s="145" t="n">
        <v>-303614</v>
      </c>
      <c r="BE149" s="145" t="n">
        <v>-303614</v>
      </c>
      <c r="BF149" s="145" t="n">
        <v>-306662</v>
      </c>
      <c r="BG149" s="145" t="n">
        <v>-345345</v>
      </c>
      <c r="BH149" s="145" t="n">
        <v>-381685</v>
      </c>
      <c r="BI149" s="145" t="n">
        <v>-438503</v>
      </c>
      <c r="BJ149" s="145" t="n">
        <v>-517260</v>
      </c>
      <c r="BK149" s="145" t="n">
        <v>-750109</v>
      </c>
      <c r="BL149" s="145" t="n">
        <v>-821388</v>
      </c>
      <c r="BM149" s="145" t="n">
        <v>-938009</v>
      </c>
      <c r="BN149" s="145" t="n">
        <v>-1051103</v>
      </c>
      <c r="BO149" s="145" t="n">
        <v>-1051040</v>
      </c>
      <c r="BP149" s="145" t="n">
        <v>-1097537</v>
      </c>
      <c r="BQ149" s="145" t="n">
        <v>-1161505</v>
      </c>
      <c r="BR149" s="145" t="n">
        <v>-1251121</v>
      </c>
      <c r="BS149" t="n">
        <v>-1373525</v>
      </c>
      <c r="BT149" t="inlineStr">
        <is>
          <t>IPGP-Financial-Data-Workbook-2024-Q2.xlsx|Balance Sheet|45|93</t>
        </is>
      </c>
    </row>
    <row r="150">
      <c r="A150" s="33" t="inlineStr">
        <is>
          <t>Additional paid-in capital</t>
        </is>
      </c>
      <c r="B150" s="145" t="n"/>
      <c r="C150" s="145" t="n"/>
      <c r="D150" s="145" t="n"/>
      <c r="E150" s="145" t="n"/>
      <c r="F150" s="145" t="n"/>
      <c r="G150" s="145" t="n"/>
      <c r="H150" s="145" t="n"/>
      <c r="I150" s="145" t="n"/>
      <c r="J150" s="145" t="n"/>
      <c r="K150" s="145" t="n"/>
      <c r="L150" s="145" t="n"/>
      <c r="M150" s="145" t="n"/>
      <c r="N150" s="145" t="n">
        <v>294724</v>
      </c>
      <c r="O150" s="145" t="n">
        <v>296572</v>
      </c>
      <c r="P150" s="145" t="n">
        <v>302934</v>
      </c>
      <c r="Q150" s="145" t="n">
        <v>310218</v>
      </c>
      <c r="R150" s="145" t="n">
        <v>317709</v>
      </c>
      <c r="S150" s="145" t="n">
        <v>325783</v>
      </c>
      <c r="T150" s="145" t="n">
        <v>329416</v>
      </c>
      <c r="U150" s="145" t="n">
        <v>332585</v>
      </c>
      <c r="V150" s="145" t="n">
        <v>504243</v>
      </c>
      <c r="W150" s="145" t="n">
        <v>499951</v>
      </c>
      <c r="X150" s="145" t="n">
        <v>506854</v>
      </c>
      <c r="Y150" s="145" t="n">
        <v>511039</v>
      </c>
      <c r="Z150" s="145" t="n">
        <v>515755</v>
      </c>
      <c r="AA150" s="145" t="n">
        <v>521044</v>
      </c>
      <c r="AB150" s="145" t="n">
        <v>526481</v>
      </c>
      <c r="AC150" s="145" t="n">
        <v>538908</v>
      </c>
      <c r="AD150" s="145" t="n">
        <v>544351</v>
      </c>
      <c r="AE150" s="145" t="n">
        <v>551885</v>
      </c>
      <c r="AF150" s="145" t="n">
        <v>556401</v>
      </c>
      <c r="AG150" s="145" t="n">
        <v>567617</v>
      </c>
      <c r="AH150" s="145" t="n">
        <v>580926</v>
      </c>
      <c r="AI150" s="145" t="n">
        <v>591718</v>
      </c>
      <c r="AJ150" s="145" t="n">
        <v>597803</v>
      </c>
      <c r="AK150" s="145" t="n">
        <v>607649</v>
      </c>
      <c r="AL150" s="145" t="n">
        <v>616156</v>
      </c>
      <c r="AM150" s="145" t="n">
        <v>629694</v>
      </c>
      <c r="AN150" s="145" t="n">
        <v>635778</v>
      </c>
      <c r="AO150" s="145" t="n">
        <v>650974</v>
      </c>
      <c r="AP150" s="145" t="n">
        <v>668003</v>
      </c>
      <c r="AQ150" s="145" t="n">
        <v>681263</v>
      </c>
      <c r="AR150" s="145" t="n">
        <v>693337</v>
      </c>
      <c r="AS150" s="145" t="n">
        <v>704727</v>
      </c>
      <c r="AT150" s="145" t="n">
        <v>714255</v>
      </c>
      <c r="AU150" s="145" t="n">
        <v>729082</v>
      </c>
      <c r="AV150" s="145" t="n">
        <v>738285</v>
      </c>
      <c r="AW150" s="145" t="n">
        <v>744937</v>
      </c>
      <c r="AX150" s="145" t="n">
        <v>746926</v>
      </c>
      <c r="AY150" s="145" t="n">
        <v>761936</v>
      </c>
      <c r="AZ150" s="145" t="n">
        <v>772152</v>
      </c>
      <c r="BA150" s="145" t="n">
        <v>785636</v>
      </c>
      <c r="BB150" s="145" t="n">
        <v>788568</v>
      </c>
      <c r="BC150" s="145" t="n">
        <v>811559</v>
      </c>
      <c r="BD150" s="145" t="n">
        <v>828796</v>
      </c>
      <c r="BE150" s="145" t="n">
        <v>854301</v>
      </c>
      <c r="BF150" s="145" t="n">
        <v>868097</v>
      </c>
      <c r="BG150" s="145" t="n">
        <v>883546</v>
      </c>
      <c r="BH150" s="145" t="n">
        <v>894264</v>
      </c>
      <c r="BI150" s="145" t="n">
        <v>908423</v>
      </c>
      <c r="BJ150" s="145" t="n">
        <v>917693</v>
      </c>
      <c r="BK150" s="145" t="n">
        <v>930950</v>
      </c>
      <c r="BL150" s="145" t="n">
        <v>939040</v>
      </c>
      <c r="BM150" s="145" t="n">
        <v>951371</v>
      </c>
      <c r="BN150" s="145" t="n">
        <v>957103</v>
      </c>
      <c r="BO150" s="145" t="n">
        <v>969889</v>
      </c>
      <c r="BP150" s="145" t="n">
        <v>978331</v>
      </c>
      <c r="BQ150" s="145" t="n">
        <v>994020</v>
      </c>
      <c r="BR150" s="145" t="n">
        <v>1002600</v>
      </c>
      <c r="BS150" t="n">
        <v>1014094</v>
      </c>
      <c r="BT150" t="inlineStr">
        <is>
          <t>IPGP-Financial-Data-Workbook-2024-Q2.xlsx|Balance Sheet|46|93</t>
        </is>
      </c>
    </row>
    <row r="151">
      <c r="A151" s="33" t="inlineStr">
        <is>
          <t>Retained earnings</t>
        </is>
      </c>
      <c r="B151" s="145" t="n"/>
      <c r="C151" s="145" t="n"/>
      <c r="D151" s="145" t="n"/>
      <c r="E151" s="145" t="n"/>
      <c r="F151" s="145" t="n"/>
      <c r="G151" s="145" t="n"/>
      <c r="H151" s="145" t="n"/>
      <c r="I151" s="145" t="n"/>
      <c r="J151" s="145" t="n"/>
      <c r="K151" s="145" t="n"/>
      <c r="L151" s="145" t="n"/>
      <c r="M151" s="145" t="n"/>
      <c r="N151" s="145" t="n">
        <v>-45027</v>
      </c>
      <c r="O151" s="145" t="n">
        <v>-34721</v>
      </c>
      <c r="P151" s="145" t="n">
        <v>-21495</v>
      </c>
      <c r="Q151" s="145" t="n">
        <v>5567</v>
      </c>
      <c r="R151" s="145" t="n">
        <v>28635</v>
      </c>
      <c r="S151" s="145" t="n">
        <v>59371</v>
      </c>
      <c r="T151" s="145" t="n">
        <v>91753</v>
      </c>
      <c r="U151" s="145" t="n">
        <v>122833</v>
      </c>
      <c r="V151" s="145" t="n">
        <v>153241</v>
      </c>
      <c r="W151" s="145" t="n">
        <v>190983</v>
      </c>
      <c r="X151" s="145" t="n">
        <v>233418</v>
      </c>
      <c r="Y151" s="145" t="n">
        <v>234977</v>
      </c>
      <c r="Z151" s="145" t="n">
        <v>270104</v>
      </c>
      <c r="AA151" s="145" t="n">
        <v>311824</v>
      </c>
      <c r="AB151" s="145" t="n">
        <v>354162</v>
      </c>
      <c r="AC151" s="145" t="n">
        <v>390757</v>
      </c>
      <c r="AD151" s="145" t="n">
        <v>431288</v>
      </c>
      <c r="AE151" s="145" t="n">
        <v>479571</v>
      </c>
      <c r="AF151" s="145" t="n">
        <v>534771</v>
      </c>
      <c r="AG151" s="145" t="n">
        <v>591202</v>
      </c>
      <c r="AH151" s="145" t="n">
        <v>648561</v>
      </c>
      <c r="AI151" s="145" t="n">
        <v>709860</v>
      </c>
      <c r="AJ151" s="145" t="n">
        <v>772652</v>
      </c>
      <c r="AK151" s="145" t="n">
        <v>833356</v>
      </c>
      <c r="AL151" s="145" t="n">
        <v>882682</v>
      </c>
      <c r="AM151" s="145" t="n">
        <v>949741</v>
      </c>
      <c r="AN151" s="145" t="n">
        <v>1018976</v>
      </c>
      <c r="AO151" s="145" t="n">
        <v>1094108</v>
      </c>
      <c r="AP151" s="145" t="n">
        <v>1171198</v>
      </c>
      <c r="AQ151" s="145" t="n">
        <v>1275314</v>
      </c>
      <c r="AR151" s="145" t="n">
        <v>1390911</v>
      </c>
      <c r="AS151" s="145" t="n">
        <v>1443867</v>
      </c>
      <c r="AT151" s="145" t="n">
        <v>1550807</v>
      </c>
      <c r="AU151" s="145" t="n">
        <v>1672424</v>
      </c>
      <c r="AV151" s="145" t="n">
        <v>1772941</v>
      </c>
      <c r="AW151" s="145" t="n">
        <v>1848500</v>
      </c>
      <c r="AX151" s="145" t="n">
        <v>1903659</v>
      </c>
      <c r="AY151" s="145" t="n">
        <v>1975931</v>
      </c>
      <c r="AZ151" s="145" t="n">
        <v>2033184</v>
      </c>
      <c r="BA151" s="145" t="n">
        <v>2028734</v>
      </c>
      <c r="BB151" s="145" t="n">
        <v>2065022</v>
      </c>
      <c r="BC151" s="145" t="n">
        <v>2103248</v>
      </c>
      <c r="BD151" s="145" t="n">
        <v>2138852</v>
      </c>
      <c r="BE151" s="145" t="n">
        <v>2188191</v>
      </c>
      <c r="BF151" s="145" t="n">
        <v>2256318</v>
      </c>
      <c r="BG151" s="145" t="n">
        <v>2326118</v>
      </c>
      <c r="BH151" s="145" t="n">
        <v>2401520</v>
      </c>
      <c r="BI151" s="145" t="n">
        <v>2466607</v>
      </c>
      <c r="BJ151" s="145" t="n">
        <v>2536179</v>
      </c>
      <c r="BK151" s="145" t="n">
        <v>2593147</v>
      </c>
      <c r="BL151" s="145" t="n">
        <v>2669411</v>
      </c>
      <c r="BM151" s="145" t="n">
        <v>2576516</v>
      </c>
      <c r="BN151" s="145" t="n">
        <v>2636651</v>
      </c>
      <c r="BO151" s="145" t="n">
        <v>2698972</v>
      </c>
      <c r="BP151" s="145" t="n">
        <v>2753966</v>
      </c>
      <c r="BQ151" s="145" t="n">
        <v>2795394</v>
      </c>
      <c r="BR151" s="145" t="n">
        <v>2819493</v>
      </c>
      <c r="BS151" t="n">
        <v>2839647</v>
      </c>
      <c r="BT151" t="inlineStr">
        <is>
          <t>IPGP-Financial-Data-Workbook-2024-Q2.xlsx|Balance Sheet|48|93</t>
        </is>
      </c>
    </row>
    <row r="152">
      <c r="A152" s="33" t="inlineStr">
        <is>
          <t>Accumulated other comprehensive loss</t>
        </is>
      </c>
      <c r="B152" s="145" t="n"/>
      <c r="C152" s="145" t="n"/>
      <c r="D152" s="145" t="n"/>
      <c r="E152" s="145" t="n"/>
      <c r="F152" s="145" t="n"/>
      <c r="G152" s="145" t="n"/>
      <c r="H152" s="145" t="n"/>
      <c r="I152" s="145" t="n"/>
      <c r="J152" s="145" t="n"/>
      <c r="K152" s="145" t="n"/>
      <c r="L152" s="145" t="n"/>
      <c r="M152" s="145" t="n"/>
      <c r="N152" s="145" t="n">
        <v>2582</v>
      </c>
      <c r="O152" s="145" t="n">
        <v>-9740</v>
      </c>
      <c r="P152" s="145" t="n">
        <v>3712</v>
      </c>
      <c r="Q152" s="145" t="n">
        <v>810</v>
      </c>
      <c r="R152" s="145" t="n">
        <v>13890</v>
      </c>
      <c r="S152" s="145" t="n">
        <v>17000</v>
      </c>
      <c r="T152" s="145" t="n">
        <v>-2447</v>
      </c>
      <c r="U152" s="145" t="n">
        <v>-12100</v>
      </c>
      <c r="V152" s="145" t="n">
        <v>877</v>
      </c>
      <c r="W152" s="145" t="n">
        <v>-21208</v>
      </c>
      <c r="X152" s="145" t="n">
        <v>-10705</v>
      </c>
      <c r="Y152" s="145" t="n">
        <v>-3094</v>
      </c>
      <c r="Z152" s="145" t="n">
        <v>-12639</v>
      </c>
      <c r="AA152" s="145" t="n">
        <v>-16906</v>
      </c>
      <c r="AB152" s="145" t="n">
        <v>-4961</v>
      </c>
      <c r="AC152" s="145" t="n">
        <v>-1701</v>
      </c>
      <c r="AD152" s="145" t="n">
        <v>-14328</v>
      </c>
      <c r="AE152" s="145" t="n">
        <v>-7601</v>
      </c>
      <c r="AF152" s="145" t="n">
        <v>-54474</v>
      </c>
      <c r="AG152" s="145" t="n">
        <v>-112263</v>
      </c>
      <c r="AH152" s="145" t="n">
        <v>-150539</v>
      </c>
      <c r="AI152" s="145" t="n">
        <v>-139262</v>
      </c>
      <c r="AJ152" s="145" t="n">
        <v>-155802</v>
      </c>
      <c r="AK152" s="145" t="n">
        <v>-181482</v>
      </c>
      <c r="AL152" s="145" t="n">
        <v>-152987</v>
      </c>
      <c r="AM152" s="145" t="n">
        <v>-156451</v>
      </c>
      <c r="AN152" s="145" t="n">
        <v>-148430</v>
      </c>
      <c r="AO152" s="145" t="n">
        <v>-178583</v>
      </c>
      <c r="AP152" s="145" t="n">
        <v>-151626</v>
      </c>
      <c r="AQ152" s="145" t="n">
        <v>-119167</v>
      </c>
      <c r="AR152" s="145" t="n">
        <v>-89297</v>
      </c>
      <c r="AS152" s="145" t="n">
        <v>-77344</v>
      </c>
      <c r="AT152" s="145" t="n">
        <v>-50694</v>
      </c>
      <c r="AU152" s="145" t="n">
        <v>-129357</v>
      </c>
      <c r="AV152" s="145" t="n">
        <v>-144409</v>
      </c>
      <c r="AW152" s="145" t="n">
        <v>-162896</v>
      </c>
      <c r="AX152" s="145" t="n">
        <v>-157751</v>
      </c>
      <c r="AY152" s="145" t="n">
        <v>-143943</v>
      </c>
      <c r="AZ152" s="145" t="n">
        <v>-174311</v>
      </c>
      <c r="BA152" s="145" t="n">
        <v>-146919</v>
      </c>
      <c r="BB152" s="145" t="n">
        <v>-220081</v>
      </c>
      <c r="BC152" s="145" t="n">
        <v>-184501</v>
      </c>
      <c r="BD152" s="145" t="n">
        <v>-193827</v>
      </c>
      <c r="BE152" s="145" t="n">
        <v>-146065</v>
      </c>
      <c r="BF152" s="145" t="n">
        <v>-178257</v>
      </c>
      <c r="BG152" s="145" t="n">
        <v>-159407</v>
      </c>
      <c r="BH152" s="145" t="n">
        <v>-174753</v>
      </c>
      <c r="BI152" s="145" t="n">
        <v>-189951</v>
      </c>
      <c r="BJ152" s="145" t="n">
        <v>-229369</v>
      </c>
      <c r="BK152" s="145" t="n">
        <v>-134778</v>
      </c>
      <c r="BL152" s="145" t="n">
        <v>-206560</v>
      </c>
      <c r="BM152" s="145" t="n">
        <v>-204524</v>
      </c>
      <c r="BN152" s="145" t="n">
        <v>-204132</v>
      </c>
      <c r="BO152" s="145" t="n">
        <v>-219277</v>
      </c>
      <c r="BP152" s="145" t="n">
        <v>-250815</v>
      </c>
      <c r="BQ152" s="145" t="n">
        <v>-212530</v>
      </c>
      <c r="BR152" s="145" t="n">
        <v>-230258</v>
      </c>
      <c r="BS152" t="n">
        <v>-226852</v>
      </c>
      <c r="BT152" t="inlineStr">
        <is>
          <t>IPGP-Financial-Data-Workbook-2024-Q2.xlsx|Balance Sheet|49|93</t>
        </is>
      </c>
    </row>
    <row r="153">
      <c r="A153" s="74" t="inlineStr">
        <is>
          <t>Total IPG Photonics Corporation equity</t>
        </is>
      </c>
      <c r="B153" s="145" t="n"/>
      <c r="C153" s="145" t="n"/>
      <c r="D153" s="145" t="n"/>
      <c r="E153" s="145" t="n"/>
      <c r="F153" s="145" t="n"/>
      <c r="G153" s="145" t="n"/>
      <c r="H153" s="145" t="n"/>
      <c r="I153" s="145" t="n"/>
      <c r="J153" s="145" t="n"/>
      <c r="K153" s="145" t="n"/>
      <c r="L153" s="145" t="n"/>
      <c r="M153" s="145" t="n"/>
      <c r="N153" s="145" t="n">
        <v>252284</v>
      </c>
      <c r="O153" s="145" t="n">
        <v>252116</v>
      </c>
      <c r="P153" s="145" t="n">
        <v>285156</v>
      </c>
      <c r="Q153" s="145" t="n">
        <v>316600</v>
      </c>
      <c r="R153" s="145" t="n">
        <v>360239</v>
      </c>
      <c r="S153" s="145" t="n">
        <v>402159</v>
      </c>
      <c r="T153" s="145" t="n">
        <v>418727</v>
      </c>
      <c r="U153" s="145" t="n">
        <v>443323</v>
      </c>
      <c r="V153" s="145" t="n">
        <v>658366</v>
      </c>
      <c r="W153" s="145" t="n">
        <v>669731</v>
      </c>
      <c r="X153" s="145" t="n">
        <v>729572</v>
      </c>
      <c r="Y153" s="145" t="n">
        <v>742927</v>
      </c>
      <c r="Z153" s="145" t="n">
        <v>773225</v>
      </c>
      <c r="AA153" s="145" t="n">
        <v>815967</v>
      </c>
      <c r="AB153" s="145" t="n">
        <v>875687</v>
      </c>
      <c r="AC153" s="145" t="n">
        <v>927969</v>
      </c>
      <c r="AD153" s="145" t="n">
        <v>961316</v>
      </c>
      <c r="AE153" s="145" t="n">
        <v>1023860</v>
      </c>
      <c r="AF153" s="145" t="n">
        <v>1036703</v>
      </c>
      <c r="AG153" s="145" t="n">
        <v>1046561</v>
      </c>
      <c r="AH153" s="145" t="n">
        <v>1078953</v>
      </c>
      <c r="AI153" s="145" t="n">
        <v>1162321</v>
      </c>
      <c r="AJ153" s="145" t="n">
        <v>1214658</v>
      </c>
      <c r="AK153" s="145" t="n">
        <v>1259528</v>
      </c>
      <c r="AL153" s="145" t="n">
        <v>1345856</v>
      </c>
      <c r="AM153" s="145" t="n">
        <v>1422989</v>
      </c>
      <c r="AN153" s="145" t="n">
        <v>1502846</v>
      </c>
      <c r="AO153" s="145" t="n">
        <v>1557558</v>
      </c>
      <c r="AP153" s="145" t="n">
        <v>1666095</v>
      </c>
      <c r="AQ153" s="145" t="n">
        <v>1804357</v>
      </c>
      <c r="AR153" s="145" t="n">
        <v>1959099</v>
      </c>
      <c r="AS153" s="145" t="n">
        <v>2022322</v>
      </c>
      <c r="AT153" s="145" t="n">
        <v>2145369</v>
      </c>
      <c r="AU153" s="145" t="n">
        <v>2172157</v>
      </c>
      <c r="AV153" s="145" t="n">
        <v>2205963</v>
      </c>
      <c r="AW153" s="145" t="n">
        <v>2205548</v>
      </c>
      <c r="AX153" s="145" t="n">
        <v>2267841</v>
      </c>
      <c r="AY153" s="145" t="n">
        <v>2366647</v>
      </c>
      <c r="AZ153" s="145" t="n">
        <v>2380111</v>
      </c>
      <c r="BA153" s="145" t="n">
        <v>2401726</v>
      </c>
      <c r="BB153" s="145" t="n">
        <v>2355069</v>
      </c>
      <c r="BC153" s="145" t="n">
        <v>2436352</v>
      </c>
      <c r="BD153" s="145" t="n">
        <v>2470213</v>
      </c>
      <c r="BE153" s="145" t="n">
        <v>2592819</v>
      </c>
      <c r="BF153" s="145" t="n">
        <v>2639502</v>
      </c>
      <c r="BG153" s="145" t="n">
        <v>2704918</v>
      </c>
      <c r="BH153" s="145" t="n">
        <v>2739352</v>
      </c>
      <c r="BI153" s="145" t="n">
        <v>2746582</v>
      </c>
      <c r="BJ153" s="145" t="n">
        <v>2707249</v>
      </c>
      <c r="BK153" s="145" t="n">
        <v>2639216</v>
      </c>
      <c r="BL153" s="145" t="n">
        <v>2580509</v>
      </c>
      <c r="BM153" s="145" t="n">
        <v>2385360</v>
      </c>
      <c r="BN153" s="145" t="n">
        <v>2338525</v>
      </c>
      <c r="BO153" s="145" t="n">
        <v>2398550</v>
      </c>
      <c r="BP153" s="145" t="n">
        <v>2383951</v>
      </c>
      <c r="BQ153" s="145" t="n">
        <v>2415385</v>
      </c>
      <c r="BR153" s="145" t="n">
        <v>2340720</v>
      </c>
      <c r="BS153" t="n">
        <v>2253370</v>
      </c>
      <c r="BT153" t="inlineStr">
        <is>
          <t>IPGP-Financial-Data-Workbook-2024-Q2.xlsx|Balance Sheet|50|93</t>
        </is>
      </c>
    </row>
    <row r="154">
      <c r="A154" s="74" t="inlineStr">
        <is>
          <t>Noncontrolling interests</t>
        </is>
      </c>
      <c r="B154" s="145" t="n"/>
      <c r="C154" s="145" t="n"/>
      <c r="D154" s="145" t="n"/>
      <c r="E154" s="145" t="n"/>
      <c r="F154" s="145" t="n"/>
      <c r="G154" s="145" t="n"/>
      <c r="H154" s="145" t="n"/>
      <c r="I154" s="145" t="n"/>
      <c r="J154" s="145" t="n"/>
      <c r="K154" s="145" t="n"/>
      <c r="L154" s="145" t="n"/>
      <c r="M154" s="145" t="n"/>
      <c r="N154" s="145" t="n">
        <v>168</v>
      </c>
      <c r="O154" s="145" t="n">
        <v>207</v>
      </c>
      <c r="P154" s="145" t="n">
        <v>296</v>
      </c>
      <c r="Q154" s="145" t="n">
        <v>203</v>
      </c>
      <c r="R154" s="145" t="n">
        <v>210</v>
      </c>
      <c r="S154" s="145" t="n">
        <v>245</v>
      </c>
      <c r="T154" s="145" t="n">
        <v>236</v>
      </c>
      <c r="U154" s="145">
        <f>287+46123</f>
        <v/>
      </c>
      <c r="V154" s="145" t="n">
        <v>48387</v>
      </c>
      <c r="W154" s="145" t="n">
        <v>0</v>
      </c>
      <c r="X154" s="145" t="n">
        <v>0</v>
      </c>
      <c r="Y154" s="145" t="n">
        <v>0</v>
      </c>
      <c r="Z154" s="145" t="n">
        <v>0</v>
      </c>
      <c r="AA154" s="145" t="n">
        <v>0</v>
      </c>
      <c r="AB154" s="145" t="n">
        <v>0</v>
      </c>
      <c r="AC154" s="145" t="n">
        <v>0</v>
      </c>
      <c r="AD154" s="145" t="n">
        <v>0</v>
      </c>
      <c r="AE154" s="145" t="n">
        <v>0</v>
      </c>
      <c r="AF154" s="145" t="n">
        <v>0</v>
      </c>
      <c r="AG154" s="145" t="n">
        <v>0</v>
      </c>
      <c r="AH154" s="145" t="n">
        <v>1566</v>
      </c>
      <c r="AI154" s="145" t="n">
        <v>1434</v>
      </c>
      <c r="AJ154" s="145" t="n">
        <v>1228</v>
      </c>
      <c r="AK154" s="145" t="n">
        <v>1137</v>
      </c>
      <c r="AL154" s="145" t="n">
        <v>1142</v>
      </c>
      <c r="AM154" s="145" t="n">
        <v>174</v>
      </c>
      <c r="AN154" s="145" t="n">
        <v>170</v>
      </c>
      <c r="AO154" s="145" t="n">
        <v>166</v>
      </c>
      <c r="AP154" s="145" t="n">
        <v>177</v>
      </c>
      <c r="AQ154" s="145" t="n">
        <v>0</v>
      </c>
      <c r="AR154" s="145" t="n">
        <v>0</v>
      </c>
      <c r="AS154" s="145" t="n">
        <v>0</v>
      </c>
      <c r="AT154" s="145" t="n">
        <v>0</v>
      </c>
      <c r="AU154" s="145" t="n">
        <v>0</v>
      </c>
      <c r="AV154" s="145" t="n">
        <v>845</v>
      </c>
      <c r="AW154" s="145" t="n">
        <v>686</v>
      </c>
      <c r="AX154" s="145" t="n">
        <v>447</v>
      </c>
      <c r="AY154" s="145" t="n">
        <v>714</v>
      </c>
      <c r="AZ154" s="145" t="n">
        <v>549</v>
      </c>
      <c r="BA154" s="145" t="n">
        <v>717</v>
      </c>
      <c r="BB154" s="145" t="n">
        <v>861</v>
      </c>
      <c r="BC154" s="145" t="n">
        <v>954</v>
      </c>
      <c r="BD154" s="145" t="n">
        <v>861</v>
      </c>
      <c r="BE154" s="145" t="n">
        <v>1292</v>
      </c>
      <c r="BF154" s="145" t="n">
        <v>1168</v>
      </c>
      <c r="BG154" s="145" t="n">
        <v>1362</v>
      </c>
      <c r="BH154" s="145" t="n">
        <v>493</v>
      </c>
      <c r="BI154" s="145" t="n">
        <v>639</v>
      </c>
      <c r="BJ154" s="145" t="n">
        <v>1000</v>
      </c>
      <c r="BK154" s="145" t="n">
        <v>1135</v>
      </c>
      <c r="BL154" s="145" t="n">
        <v>0</v>
      </c>
      <c r="BM154" s="145" t="n">
        <v>0</v>
      </c>
      <c r="BN154" s="145" t="n">
        <v>0</v>
      </c>
      <c r="BO154" s="145" t="n">
        <v>0</v>
      </c>
      <c r="BP154" s="145" t="n"/>
      <c r="BQ154" s="145" t="n"/>
      <c r="BR154" s="145" t="n"/>
      <c r="BS154" t="n">
        <v>0</v>
      </c>
      <c r="BT154" t="inlineStr">
        <is>
          <t>IPGP-Financial-Data-Workbook-2024-Q2.xlsx|Balance Sheet|52|93</t>
        </is>
      </c>
    </row>
    <row r="155">
      <c r="A155" s="22" t="inlineStr">
        <is>
          <t>Total equity</t>
        </is>
      </c>
      <c r="B155" s="133" t="n"/>
      <c r="C155" s="133" t="n"/>
      <c r="D155" s="133" t="n"/>
      <c r="E155" s="133" t="n"/>
      <c r="F155" s="133" t="n"/>
      <c r="G155" s="133" t="n"/>
      <c r="H155" s="133" t="n"/>
      <c r="I155" s="133" t="n"/>
      <c r="J155" s="133" t="n"/>
      <c r="K155" s="133" t="n"/>
      <c r="L155" s="133" t="n"/>
      <c r="M155" s="133" t="n"/>
      <c r="N155" s="133" t="n">
        <v>252452</v>
      </c>
      <c r="O155" s="133" t="n">
        <v>252323</v>
      </c>
      <c r="P155" s="133" t="n">
        <v>285452</v>
      </c>
      <c r="Q155" s="133" t="n">
        <v>316803</v>
      </c>
      <c r="R155" s="133" t="n">
        <v>360449</v>
      </c>
      <c r="S155" s="133" t="n">
        <v>402404</v>
      </c>
      <c r="T155" s="133" t="n">
        <v>418963</v>
      </c>
      <c r="U155" s="133">
        <f>443610+46123</f>
        <v/>
      </c>
      <c r="V155" s="133">
        <f>658366+48387</f>
        <v/>
      </c>
      <c r="W155" s="133" t="n">
        <v>669731</v>
      </c>
      <c r="X155" s="133" t="n">
        <v>729572</v>
      </c>
      <c r="Y155" s="147">
        <f>Y153+Y154</f>
        <v/>
      </c>
      <c r="Z155" s="147">
        <f>Z153+Z154</f>
        <v/>
      </c>
      <c r="AA155" s="147">
        <f>AA153+AA154</f>
        <v/>
      </c>
      <c r="AB155" s="147">
        <f>AB153+AB154</f>
        <v/>
      </c>
      <c r="AC155" s="147">
        <f>AC153+AC154</f>
        <v/>
      </c>
      <c r="AD155" s="147">
        <f>AD153+AD154</f>
        <v/>
      </c>
      <c r="AE155" s="147">
        <f>AE153+AE154</f>
        <v/>
      </c>
      <c r="AF155" s="147">
        <f>AF153+AF154</f>
        <v/>
      </c>
      <c r="AG155" s="133" t="n">
        <v>1046561</v>
      </c>
      <c r="AH155" s="133" t="n">
        <v>1080519</v>
      </c>
      <c r="AI155" s="133" t="n">
        <v>1163755</v>
      </c>
      <c r="AJ155" s="133" t="n">
        <v>1215886</v>
      </c>
      <c r="AK155" s="133" t="n">
        <v>1260665</v>
      </c>
      <c r="AL155" s="133" t="n">
        <v>1346998</v>
      </c>
      <c r="AM155" s="133" t="n">
        <v>1423163</v>
      </c>
      <c r="AN155" s="133" t="n">
        <v>1503016</v>
      </c>
      <c r="AO155" s="133" t="n">
        <v>1557724</v>
      </c>
      <c r="AP155" s="133" t="n">
        <v>1666272</v>
      </c>
      <c r="AQ155" s="133" t="n">
        <v>1804357</v>
      </c>
      <c r="AR155" s="133" t="n">
        <v>1959099</v>
      </c>
      <c r="AS155" s="133" t="n">
        <v>2022322</v>
      </c>
      <c r="AT155" s="133" t="n">
        <v>2145369</v>
      </c>
      <c r="AU155" s="133" t="n">
        <v>2172157</v>
      </c>
      <c r="AV155" s="133" t="n">
        <v>2206808</v>
      </c>
      <c r="AW155" s="133" t="n">
        <v>2206234</v>
      </c>
      <c r="AX155" s="133" t="n">
        <v>2268288</v>
      </c>
      <c r="AY155" s="133" t="n">
        <v>2367361</v>
      </c>
      <c r="AZ155" s="133" t="n">
        <v>2380660</v>
      </c>
      <c r="BA155" s="133" t="n">
        <v>2402443</v>
      </c>
      <c r="BB155" s="133" t="n">
        <v>2355930</v>
      </c>
      <c r="BC155" s="133" t="n">
        <v>2437306</v>
      </c>
      <c r="BD155" s="133" t="n">
        <v>2471074</v>
      </c>
      <c r="BE155" s="133" t="n">
        <v>2594111</v>
      </c>
      <c r="BF155" s="133" t="n">
        <v>2640670</v>
      </c>
      <c r="BG155" s="133" t="n">
        <v>2706280</v>
      </c>
      <c r="BH155" s="133" t="n">
        <v>2739845</v>
      </c>
      <c r="BI155" s="133" t="n">
        <v>2747221</v>
      </c>
      <c r="BJ155" s="133" t="n">
        <v>2708249</v>
      </c>
      <c r="BK155" s="133" t="n">
        <v>2640351</v>
      </c>
      <c r="BL155" s="133" t="n">
        <v>2580509</v>
      </c>
      <c r="BM155" s="133" t="n">
        <v>2385360</v>
      </c>
      <c r="BN155" s="133" t="n">
        <v>2338525</v>
      </c>
      <c r="BO155" s="133" t="n">
        <v>2398550</v>
      </c>
      <c r="BP155" s="133" t="n">
        <v>2383951</v>
      </c>
      <c r="BQ155" s="133" t="n">
        <v>2415385</v>
      </c>
      <c r="BR155" s="133" t="n">
        <v>2340720</v>
      </c>
      <c r="BS155" t="n">
        <v>2253370</v>
      </c>
      <c r="BT155" t="inlineStr">
        <is>
          <t>IPGP-Financial-Data-Workbook-2024-Q2.xlsx|Balance Sheet|53|93</t>
        </is>
      </c>
    </row>
    <row r="156">
      <c r="A156" s="22" t="inlineStr">
        <is>
          <t>Total equity and liabillities</t>
        </is>
      </c>
      <c r="B156" s="133" t="n"/>
      <c r="C156" s="133" t="n"/>
      <c r="D156" s="133" t="n"/>
      <c r="E156" s="133" t="n"/>
      <c r="F156" s="133" t="n"/>
      <c r="G156" s="133" t="n"/>
      <c r="H156" s="133" t="n"/>
      <c r="I156" s="133" t="n"/>
      <c r="J156" s="133" t="n"/>
      <c r="K156" s="133" t="n"/>
      <c r="L156" s="133" t="n"/>
      <c r="M156" s="133" t="n"/>
      <c r="N156" s="133" t="n">
        <v>315207</v>
      </c>
      <c r="O156" s="133" t="n">
        <v>333724</v>
      </c>
      <c r="P156" s="133" t="n">
        <v>373976</v>
      </c>
      <c r="Q156" s="133" t="n">
        <v>441855</v>
      </c>
      <c r="R156" s="133" t="n">
        <v>489567</v>
      </c>
      <c r="S156" s="133" t="n">
        <v>561381</v>
      </c>
      <c r="T156" s="133" t="n">
        <v>596324</v>
      </c>
      <c r="U156" s="133" t="n">
        <v>608132</v>
      </c>
      <c r="V156" s="133" t="n">
        <v>834905</v>
      </c>
      <c r="W156" s="133" t="n">
        <v>798014</v>
      </c>
      <c r="X156" s="133" t="n">
        <v>878385</v>
      </c>
      <c r="Y156" s="133" t="n">
        <v>895498</v>
      </c>
      <c r="Z156" s="133" t="n">
        <v>892258</v>
      </c>
      <c r="AA156" s="133" t="n">
        <v>939255</v>
      </c>
      <c r="AB156" s="133" t="n">
        <v>1009796</v>
      </c>
      <c r="AC156" s="133" t="n">
        <v>1061216</v>
      </c>
      <c r="AD156" s="133" t="n">
        <v>1097013</v>
      </c>
      <c r="AE156" s="133" t="n">
        <v>1158386</v>
      </c>
      <c r="AF156" s="133" t="n">
        <v>1185388</v>
      </c>
      <c r="AG156" s="133" t="n">
        <v>1210887</v>
      </c>
      <c r="AH156" s="133" t="n">
        <v>1249260</v>
      </c>
      <c r="AI156" s="133" t="n">
        <v>1334541</v>
      </c>
      <c r="AJ156" s="133" t="n">
        <v>1408206</v>
      </c>
      <c r="AK156" s="133" t="n">
        <v>1453429</v>
      </c>
      <c r="AL156" s="133" t="n">
        <v>1550100</v>
      </c>
      <c r="AM156" s="133" t="n">
        <v>1629307</v>
      </c>
      <c r="AN156" s="133" t="n">
        <v>1727298</v>
      </c>
      <c r="AO156" s="133" t="n">
        <v>1789999</v>
      </c>
      <c r="AP156" s="133" t="n">
        <v>1902573</v>
      </c>
      <c r="AQ156" s="133" t="n">
        <v>2030542</v>
      </c>
      <c r="AR156" s="133" t="n">
        <v>2246065</v>
      </c>
      <c r="AS156" s="133" t="n">
        <v>2367255</v>
      </c>
      <c r="AT156" s="133" t="n">
        <v>2498007</v>
      </c>
      <c r="AU156" s="133" t="n">
        <v>2530478</v>
      </c>
      <c r="AV156" s="133" t="n">
        <v>2562099</v>
      </c>
      <c r="AW156" s="133" t="n">
        <v>2574450</v>
      </c>
      <c r="AX156" s="133" t="n">
        <v>2625871</v>
      </c>
      <c r="AY156" s="133" t="n">
        <v>2737416</v>
      </c>
      <c r="AZ156" s="133" t="n">
        <v>2730904</v>
      </c>
      <c r="BA156" s="133" t="n">
        <v>2730436</v>
      </c>
      <c r="BB156" s="133" t="n">
        <v>2680134</v>
      </c>
      <c r="BC156" s="133" t="n">
        <v>2758736</v>
      </c>
      <c r="BD156" s="133" t="n">
        <v>2794932</v>
      </c>
      <c r="BE156" s="133" t="n">
        <v>2935700</v>
      </c>
      <c r="BF156" s="133" t="n">
        <v>2982951</v>
      </c>
      <c r="BG156" s="133" t="n">
        <v>3086512</v>
      </c>
      <c r="BH156" s="133" t="n">
        <v>3143910</v>
      </c>
      <c r="BI156" s="133" t="n">
        <v>3170540</v>
      </c>
      <c r="BJ156" s="133" t="n">
        <v>3098469</v>
      </c>
      <c r="BK156" s="133" t="n">
        <v>3048769</v>
      </c>
      <c r="BL156" s="133" t="n">
        <v>2962520</v>
      </c>
      <c r="BM156" s="133" t="n">
        <v>2743280</v>
      </c>
      <c r="BN156" s="133" t="n">
        <v>2671156</v>
      </c>
      <c r="BO156" s="133" t="n">
        <v>2696417</v>
      </c>
      <c r="BP156" s="133" t="n">
        <v>2672864</v>
      </c>
      <c r="BQ156" s="133" t="n">
        <v>2698898</v>
      </c>
      <c r="BR156" s="133" t="n">
        <v>2598436</v>
      </c>
      <c r="BS156" t="n">
        <v>2495431</v>
      </c>
      <c r="BT156" t="inlineStr">
        <is>
          <t>IPGP-Financial-Data-Workbook-2024-Q2.xlsx|Balance Sheet|54|93</t>
        </is>
      </c>
    </row>
    <row r="157">
      <c r="A157" s="22" t="n"/>
      <c r="B157" s="145" t="n"/>
      <c r="C157" s="145" t="n"/>
      <c r="D157" s="145" t="n"/>
      <c r="E157" s="145" t="n"/>
      <c r="F157" s="145" t="n"/>
      <c r="G157" s="145" t="n"/>
      <c r="H157" s="145" t="n"/>
      <c r="I157" s="145" t="n"/>
      <c r="J157" s="145" t="n"/>
      <c r="K157" s="145" t="n"/>
      <c r="L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c r="AG157" s="145" t="n"/>
      <c r="AH157" s="145" t="n"/>
      <c r="AI157" s="145" t="n"/>
      <c r="AJ157" s="145" t="n"/>
      <c r="AK157" s="145" t="n"/>
      <c r="AL157" s="145" t="n"/>
      <c r="AM157" s="145" t="n"/>
      <c r="AN157" s="145" t="n"/>
      <c r="AO157" s="145" t="n"/>
      <c r="AP157" s="145" t="n"/>
      <c r="AQ157" s="145" t="n"/>
      <c r="AR157" s="145" t="n"/>
      <c r="AS157" s="145" t="n"/>
    </row>
    <row r="158">
      <c r="A158" s="455" t="inlineStr">
        <is>
          <t>Check</t>
        </is>
      </c>
      <c r="B158" s="400">
        <f>SUM(B123:B129)-B130</f>
        <v/>
      </c>
      <c r="C158" s="400">
        <f>SUM(C123:C129)-C130</f>
        <v/>
      </c>
      <c r="D158" s="400">
        <f>SUM(D123:D129)-D130</f>
        <v/>
      </c>
      <c r="E158" s="400">
        <f>SUM(E123:E129)-E130</f>
        <v/>
      </c>
      <c r="F158" s="400">
        <f>SUM(F123:F129)-F130</f>
        <v/>
      </c>
      <c r="G158" s="400">
        <f>SUM(G123:G129)-G130</f>
        <v/>
      </c>
      <c r="H158" s="400">
        <f>SUM(H123:H129)-H130</f>
        <v/>
      </c>
      <c r="I158" s="400">
        <f>SUM(I123:I129)-I130</f>
        <v/>
      </c>
      <c r="J158" s="400">
        <f>SUM(J123:J129)-J130</f>
        <v/>
      </c>
      <c r="K158" s="400">
        <f>SUM(K123:K129)-K130</f>
        <v/>
      </c>
      <c r="L158" s="400">
        <f>SUM(L123:L129)-L130</f>
        <v/>
      </c>
      <c r="M158" s="400">
        <f>SUM(M123:M129)-M130</f>
        <v/>
      </c>
      <c r="N158" s="400">
        <f>SUM(N123:N129)-N130</f>
        <v/>
      </c>
      <c r="O158" s="400">
        <f>SUM(O123:O129)-O130</f>
        <v/>
      </c>
      <c r="P158" s="400">
        <f>SUM(P123:P129)-P130</f>
        <v/>
      </c>
      <c r="Q158" s="400">
        <f>SUM(Q123:Q129)-Q130</f>
        <v/>
      </c>
      <c r="R158" s="400">
        <f>SUM(R123:R129)-R130</f>
        <v/>
      </c>
      <c r="S158" s="400">
        <f>SUM(S123:S129)-S130</f>
        <v/>
      </c>
      <c r="T158" s="400">
        <f>SUM(T123:T129)-T130</f>
        <v/>
      </c>
      <c r="U158" s="400">
        <f>SUM(U123:U129)-U130</f>
        <v/>
      </c>
      <c r="V158" s="400">
        <f>SUM(V123:V129)-V130</f>
        <v/>
      </c>
      <c r="W158" s="400">
        <f>SUM(W123:W129)-W130</f>
        <v/>
      </c>
      <c r="X158" s="400">
        <f>SUM(X123:X129)-X130</f>
        <v/>
      </c>
      <c r="Y158" s="400">
        <f>SUM(Y123:Y129)-Y130</f>
        <v/>
      </c>
      <c r="Z158" s="400">
        <f>SUM(Z123:Z129)-Z130</f>
        <v/>
      </c>
      <c r="AA158" s="400">
        <f>SUM(AA123:AA129)-AA130</f>
        <v/>
      </c>
      <c r="AB158" s="400">
        <f>SUM(AB123:AB129)-AB130</f>
        <v/>
      </c>
      <c r="AC158" s="400">
        <f>SUM(AC123:AC129)-AC130</f>
        <v/>
      </c>
      <c r="AD158" s="400">
        <f>SUM(AD123:AD129)-AD130</f>
        <v/>
      </c>
      <c r="AE158" s="400">
        <f>SUM(AE123:AE129)-AE130</f>
        <v/>
      </c>
      <c r="AF158" s="400">
        <f>SUM(AF123:AF129)-AF130</f>
        <v/>
      </c>
      <c r="AG158" s="400">
        <f>SUM(AG123:AG129)-AG130</f>
        <v/>
      </c>
      <c r="AH158" s="400">
        <f>SUM(AH123:AH129)-AH130</f>
        <v/>
      </c>
      <c r="AI158" s="400">
        <f>SUM(AI123:AI129)-AI130</f>
        <v/>
      </c>
      <c r="AJ158" s="400">
        <f>SUM(AJ123:AJ129)-AJ130</f>
        <v/>
      </c>
      <c r="AK158" s="400">
        <f>SUM(AK123:AK129)-AK130</f>
        <v/>
      </c>
      <c r="AL158" s="400">
        <f>SUM(AL123:AL129)-AL130</f>
        <v/>
      </c>
      <c r="AM158" s="400">
        <f>SUM(AM123:AM129)-AM130</f>
        <v/>
      </c>
      <c r="AN158" s="400">
        <f>SUM(AN123:AN129)-AN130</f>
        <v/>
      </c>
      <c r="AO158" s="400">
        <f>SUM(AO123:AO129)-AO130</f>
        <v/>
      </c>
      <c r="AP158" s="400">
        <f>SUM(AP123:AP129)-AP130</f>
        <v/>
      </c>
      <c r="AQ158" s="400">
        <f>SUM(AQ123:AQ129)-AQ130</f>
        <v/>
      </c>
      <c r="AR158" s="400">
        <f>SUM(AR123:AR129)-AR130</f>
        <v/>
      </c>
      <c r="AS158" s="400">
        <f>SUM(AS123:AS129)-AS130</f>
        <v/>
      </c>
      <c r="AT158" s="400">
        <f>SUM(AT123:AT129)-AT130</f>
        <v/>
      </c>
      <c r="AU158" s="400">
        <f>SUM(AU123:AU129)-AU130</f>
        <v/>
      </c>
      <c r="AV158" s="400">
        <f>SUM(AV123:AV129)-AV130</f>
        <v/>
      </c>
      <c r="AW158" s="400">
        <f>SUM(AW123:AW129)-AW130</f>
        <v/>
      </c>
      <c r="AX158" s="400">
        <f>SUM(AX123:AX129)-AX130</f>
        <v/>
      </c>
      <c r="AY158" s="400">
        <f>SUM(AY123:AY129)-AY130</f>
        <v/>
      </c>
      <c r="AZ158" s="400">
        <f>SUM(AZ123:AZ129)-AZ130</f>
        <v/>
      </c>
      <c r="BA158" s="400">
        <f>SUM(BA123:BA129)-BA130</f>
        <v/>
      </c>
      <c r="BB158" s="400">
        <f>SUM(BB123:BB129)-BB130</f>
        <v/>
      </c>
      <c r="BC158" s="400">
        <f>SUM(BC123:BC129)-BC130</f>
        <v/>
      </c>
      <c r="BD158" s="400">
        <f>SUM(BD123:BD129)-BD130</f>
        <v/>
      </c>
      <c r="BE158" s="400">
        <f>SUM(BE123:BE129)-BE130</f>
        <v/>
      </c>
      <c r="BF158" s="400">
        <f>SUM(BF123:BF129)-BF130</f>
        <v/>
      </c>
      <c r="BG158" s="400">
        <f>SUM(BG123:BG129)-BG130</f>
        <v/>
      </c>
      <c r="BH158" s="400">
        <f>SUM(BH123:BH129)-BH130</f>
        <v/>
      </c>
      <c r="BI158" s="400">
        <f>SUM(BI123:BI129)-BI130</f>
        <v/>
      </c>
      <c r="BJ158" s="400">
        <f>SUM(BJ123:BJ129)-BJ130</f>
        <v/>
      </c>
      <c r="BK158" s="400">
        <f>SUM(BK123:BK129)-BK130</f>
        <v/>
      </c>
      <c r="BL158" s="400">
        <f>SUM(BL123:BL129)-BL130</f>
        <v/>
      </c>
      <c r="BM158" s="400">
        <f>SUM(BM123:BM129)-BM130</f>
        <v/>
      </c>
      <c r="BN158" s="400">
        <f>SUM(BN123:BN129)-BN130</f>
        <v/>
      </c>
      <c r="BO158" s="400">
        <f>SUM(BO123:BO129)-BO130</f>
        <v/>
      </c>
      <c r="BP158" s="400">
        <f>SUM(BP123:BP129)-BP130</f>
        <v/>
      </c>
      <c r="BQ158" s="400">
        <f>SUM(BQ123:BQ129)-BQ130</f>
        <v/>
      </c>
      <c r="BR158" s="400">
        <f>SUM(BR123:BR129)-BR130</f>
        <v/>
      </c>
      <c r="BS158" t="n">
        <v>0</v>
      </c>
      <c r="BT158" t="inlineStr">
        <is>
          <t>IPGP-Financial-Data-Workbook-2024-Q2.xlsx|Balance Sheet|41|93</t>
        </is>
      </c>
    </row>
    <row r="159">
      <c r="A159" s="455">
        <f>A158</f>
        <v/>
      </c>
      <c r="B159" s="400">
        <f>SUM(B130:B135)-B136</f>
        <v/>
      </c>
      <c r="C159" s="400">
        <f>SUM(C130:C135)-C136</f>
        <v/>
      </c>
      <c r="D159" s="400">
        <f>SUM(D130:D135)-D136</f>
        <v/>
      </c>
      <c r="E159" s="400">
        <f>SUM(E130:E135)-E136</f>
        <v/>
      </c>
      <c r="F159" s="400">
        <f>SUM(F130:F135)-F136</f>
        <v/>
      </c>
      <c r="G159" s="400">
        <f>SUM(G130:G135)-G136</f>
        <v/>
      </c>
      <c r="H159" s="400">
        <f>SUM(H130:H135)-H136</f>
        <v/>
      </c>
      <c r="I159" s="400">
        <f>SUM(I130:I135)-I136</f>
        <v/>
      </c>
      <c r="J159" s="400">
        <f>SUM(J130:J135)-J136</f>
        <v/>
      </c>
      <c r="K159" s="400">
        <f>SUM(K130:K135)-K136</f>
        <v/>
      </c>
      <c r="L159" s="400">
        <f>SUM(L130:L135)-L136</f>
        <v/>
      </c>
      <c r="M159" s="400">
        <f>SUM(M130:M135)-M136</f>
        <v/>
      </c>
      <c r="N159" s="400">
        <f>SUM(N130:N135)-N136</f>
        <v/>
      </c>
      <c r="O159" s="400">
        <f>SUM(O130:O135)-O136</f>
        <v/>
      </c>
      <c r="P159" s="400">
        <f>SUM(P130:P135)-P136</f>
        <v/>
      </c>
      <c r="Q159" s="400">
        <f>SUM(Q130:Q135)-Q136</f>
        <v/>
      </c>
      <c r="R159" s="400">
        <f>SUM(R130:R135)-R136</f>
        <v/>
      </c>
      <c r="S159" s="400">
        <f>SUM(S130:S135)-S136</f>
        <v/>
      </c>
      <c r="T159" s="400">
        <f>SUM(T130:T135)-T136</f>
        <v/>
      </c>
      <c r="U159" s="400">
        <f>SUM(U130:U135)-U136</f>
        <v/>
      </c>
      <c r="V159" s="400">
        <f>SUM(V130:V135)-V136</f>
        <v/>
      </c>
      <c r="W159" s="400">
        <f>SUM(W130:W135)-W136</f>
        <v/>
      </c>
      <c r="X159" s="400">
        <f>SUM(X130:X135)-X136</f>
        <v/>
      </c>
      <c r="Y159" s="400">
        <f>SUM(Y130:Y135)-Y136</f>
        <v/>
      </c>
      <c r="Z159" s="400">
        <f>SUM(Z130:Z135)-Z136</f>
        <v/>
      </c>
      <c r="AA159" s="400">
        <f>SUM(AA130:AA135)-AA136</f>
        <v/>
      </c>
      <c r="AB159" s="400">
        <f>SUM(AB130:AB135)-AB136</f>
        <v/>
      </c>
      <c r="AC159" s="400">
        <f>SUM(AC130:AC135)-AC136</f>
        <v/>
      </c>
      <c r="AD159" s="400">
        <f>SUM(AD130:AD135)-AD136</f>
        <v/>
      </c>
      <c r="AE159" s="400">
        <f>SUM(AE130:AE135)-AE136</f>
        <v/>
      </c>
      <c r="AF159" s="400">
        <f>SUM(AF130:AF135)-AF136</f>
        <v/>
      </c>
      <c r="AG159" s="400">
        <f>SUM(AG130:AG135)-AG136</f>
        <v/>
      </c>
      <c r="AH159" s="400">
        <f>SUM(AH130:AH135)-AH136</f>
        <v/>
      </c>
      <c r="AI159" s="400">
        <f>SUM(AI130:AI135)-AI136</f>
        <v/>
      </c>
      <c r="AJ159" s="400">
        <f>SUM(AJ130:AJ135)-AJ136</f>
        <v/>
      </c>
      <c r="AK159" s="400">
        <f>SUM(AK130:AK135)-AK136</f>
        <v/>
      </c>
      <c r="AL159" s="400">
        <f>SUM(AL130:AL135)-AL136</f>
        <v/>
      </c>
      <c r="AM159" s="400">
        <f>SUM(AM130:AM135)-AM136</f>
        <v/>
      </c>
      <c r="AN159" s="400">
        <f>SUM(AN130:AN135)-AN136</f>
        <v/>
      </c>
      <c r="AO159" s="400">
        <f>SUM(AO130:AO135)-AO136</f>
        <v/>
      </c>
      <c r="AP159" s="400">
        <f>SUM(AP130:AP135)-AP136</f>
        <v/>
      </c>
      <c r="AQ159" s="400">
        <f>SUM(AQ130:AQ135)-AQ136</f>
        <v/>
      </c>
      <c r="AR159" s="400">
        <f>SUM(AR130:AR135)-AR136</f>
        <v/>
      </c>
      <c r="AS159" s="400">
        <f>SUM(AS130:AS135)-AS136</f>
        <v/>
      </c>
      <c r="AT159" s="400">
        <f>SUM(AT130:AT135)-AT136</f>
        <v/>
      </c>
      <c r="AU159" s="400">
        <f>SUM(AU130:AU135)-AU136</f>
        <v/>
      </c>
      <c r="AV159" s="400">
        <f>SUM(AV130:AV135)-AV136</f>
        <v/>
      </c>
      <c r="AW159" s="400">
        <f>SUM(AW130:AW135)-AW136</f>
        <v/>
      </c>
      <c r="AX159" s="400">
        <f>SUM(AX130:AX135)-AX136</f>
        <v/>
      </c>
      <c r="AY159" s="400">
        <f>SUM(AY130:AY135)-AY136</f>
        <v/>
      </c>
      <c r="AZ159" s="400">
        <f>SUM(AZ130:AZ135)-AZ136</f>
        <v/>
      </c>
      <c r="BA159" s="400">
        <f>SUM(BA130:BA135)-BA136</f>
        <v/>
      </c>
      <c r="BB159" s="400">
        <f>SUM(BB130:BB135)-BB136</f>
        <v/>
      </c>
      <c r="BC159" s="400">
        <f>SUM(BC130:BC135)-BC136</f>
        <v/>
      </c>
      <c r="BD159" s="400">
        <f>SUM(BD130:BD135)-BD136</f>
        <v/>
      </c>
      <c r="BE159" s="400">
        <f>SUM(BE130:BE135)-BE136</f>
        <v/>
      </c>
      <c r="BF159" s="400">
        <f>SUM(BF130:BF135)-BF136</f>
        <v/>
      </c>
      <c r="BG159" s="400">
        <f>SUM(BG130:BG135)-BG136</f>
        <v/>
      </c>
      <c r="BH159" s="400">
        <f>SUM(BH130:BH135)-BH136</f>
        <v/>
      </c>
      <c r="BI159" s="400">
        <f>SUM(BI130:BI135)-BI136</f>
        <v/>
      </c>
      <c r="BJ159" s="400">
        <f>SUM(BJ130:BJ135)-BJ136</f>
        <v/>
      </c>
      <c r="BK159" s="400">
        <f>SUM(BK130:BK135)-BK136</f>
        <v/>
      </c>
      <c r="BL159" s="400">
        <f>SUM(BL130:BL135)-BL136</f>
        <v/>
      </c>
      <c r="BM159" s="400">
        <f>SUM(BM130:BM135)-BM136</f>
        <v/>
      </c>
      <c r="BN159" s="400">
        <f>SUM(BN130:BN135)-BN136</f>
        <v/>
      </c>
      <c r="BO159" s="400">
        <f>SUM(BO130:BO135)-BO136</f>
        <v/>
      </c>
      <c r="BP159" s="400">
        <f>SUM(BP130:BP135)-BP136</f>
        <v/>
      </c>
      <c r="BQ159" s="400">
        <f>SUM(BQ130:BQ135)-BQ136</f>
        <v/>
      </c>
      <c r="BR159" s="400">
        <f>SUM(BR130:BR135)-BR136</f>
        <v/>
      </c>
      <c r="BS159" t="n">
        <v>0</v>
      </c>
      <c r="BT159" t="inlineStr">
        <is>
          <t>IPGP-Financial-Data-Workbook-2024-Q2.xlsx|Balance Sheet|47|93</t>
        </is>
      </c>
    </row>
    <row r="160">
      <c r="A160" s="455">
        <f>A159</f>
        <v/>
      </c>
      <c r="B160" s="400">
        <f>SUM(B138:B142)-B143</f>
        <v/>
      </c>
      <c r="C160" s="400">
        <f>SUM(C138:C142)-C143</f>
        <v/>
      </c>
      <c r="D160" s="400">
        <f>SUM(D138:D142)-D143</f>
        <v/>
      </c>
      <c r="E160" s="400">
        <f>SUM(E138:E142)-E143</f>
        <v/>
      </c>
      <c r="F160" s="400">
        <f>SUM(F138:F142)-F143</f>
        <v/>
      </c>
      <c r="G160" s="400">
        <f>SUM(G138:G142)-G143</f>
        <v/>
      </c>
      <c r="H160" s="400">
        <f>SUM(H138:H142)-H143</f>
        <v/>
      </c>
      <c r="I160" s="400">
        <f>SUM(I138:I142)-I143</f>
        <v/>
      </c>
      <c r="J160" s="400">
        <f>SUM(J138:J142)-J143</f>
        <v/>
      </c>
      <c r="K160" s="400">
        <f>SUM(K138:K142)-K143</f>
        <v/>
      </c>
      <c r="L160" s="400">
        <f>SUM(L138:L142)-L143</f>
        <v/>
      </c>
      <c r="M160" s="400">
        <f>SUM(M138:M142)-M143</f>
        <v/>
      </c>
      <c r="N160" s="400">
        <f>SUM(N138:N142)-N143</f>
        <v/>
      </c>
      <c r="O160" s="400">
        <f>SUM(O138:O142)-O143</f>
        <v/>
      </c>
      <c r="P160" s="400">
        <f>SUM(P138:P142)-P143</f>
        <v/>
      </c>
      <c r="Q160" s="400">
        <f>SUM(Q138:Q142)-Q143</f>
        <v/>
      </c>
      <c r="R160" s="400">
        <f>SUM(R138:R142)-R143</f>
        <v/>
      </c>
      <c r="S160" s="400">
        <f>SUM(S138:S142)-S143</f>
        <v/>
      </c>
      <c r="T160" s="400">
        <f>SUM(T138:T142)-T143</f>
        <v/>
      </c>
      <c r="U160" s="400">
        <f>SUM(U138:U142)-U143</f>
        <v/>
      </c>
      <c r="V160" s="400">
        <f>SUM(V138:V142)-V143</f>
        <v/>
      </c>
      <c r="W160" s="400">
        <f>SUM(W138:W142)-W143</f>
        <v/>
      </c>
      <c r="X160" s="400">
        <f>SUM(X138:X142)-X143</f>
        <v/>
      </c>
      <c r="Y160" s="400">
        <f>SUM(Y138:Y142)-Y143</f>
        <v/>
      </c>
      <c r="Z160" s="400">
        <f>SUM(Z138:Z142)-Z143</f>
        <v/>
      </c>
      <c r="AA160" s="400">
        <f>SUM(AA138:AA142)-AA143</f>
        <v/>
      </c>
      <c r="AB160" s="400">
        <f>SUM(AB138:AB142)-AB143</f>
        <v/>
      </c>
      <c r="AC160" s="400">
        <f>SUM(AC138:AC142)-AC143</f>
        <v/>
      </c>
      <c r="AD160" s="400">
        <f>SUM(AD138:AD142)-AD143</f>
        <v/>
      </c>
      <c r="AE160" s="400">
        <f>SUM(AE138:AE142)-AE143</f>
        <v/>
      </c>
      <c r="AF160" s="400">
        <f>SUM(AF138:AF142)-AF143</f>
        <v/>
      </c>
      <c r="AG160" s="400">
        <f>SUM(AG138:AG142)-AG143</f>
        <v/>
      </c>
      <c r="AH160" s="400">
        <f>SUM(AH138:AH142)-AH143</f>
        <v/>
      </c>
      <c r="AI160" s="400">
        <f>SUM(AI138:AI142)-AI143</f>
        <v/>
      </c>
      <c r="AJ160" s="400">
        <f>SUM(AJ138:AJ142)-AJ143</f>
        <v/>
      </c>
      <c r="AK160" s="400">
        <f>SUM(AK138:AK142)-AK143</f>
        <v/>
      </c>
      <c r="AL160" s="400">
        <f>SUM(AL138:AL142)-AL143</f>
        <v/>
      </c>
      <c r="AM160" s="400">
        <f>SUM(AM138:AM142)-AM143</f>
        <v/>
      </c>
      <c r="AN160" s="400">
        <f>SUM(AN138:AN142)-AN143</f>
        <v/>
      </c>
      <c r="AO160" s="400">
        <f>SUM(AO138:AO142)-AO143</f>
        <v/>
      </c>
      <c r="AP160" s="400">
        <f>SUM(AP138:AP142)-AP143</f>
        <v/>
      </c>
      <c r="AQ160" s="400">
        <f>SUM(AQ138:AQ142)-AQ143</f>
        <v/>
      </c>
      <c r="AR160" s="400">
        <f>SUM(AR138:AR142)-AR143</f>
        <v/>
      </c>
      <c r="AS160" s="400">
        <f>SUM(AS138:AS142)-AS143</f>
        <v/>
      </c>
      <c r="AT160" s="400">
        <f>SUM(AT138:AT142)-AT143</f>
        <v/>
      </c>
      <c r="AU160" s="400">
        <f>SUM(AU138:AU142)-AU143</f>
        <v/>
      </c>
      <c r="AV160" s="400">
        <f>SUM(AV138:AV142)-AV143</f>
        <v/>
      </c>
      <c r="AW160" s="400">
        <f>SUM(AW138:AW142)-AW143</f>
        <v/>
      </c>
      <c r="AX160" s="400">
        <f>SUM(AX138:AX142)-AX143</f>
        <v/>
      </c>
      <c r="AY160" s="400">
        <f>SUM(AY138:AY142)-AY143</f>
        <v/>
      </c>
      <c r="AZ160" s="400">
        <f>SUM(AZ138:AZ142)-AZ143</f>
        <v/>
      </c>
      <c r="BA160" s="400">
        <f>SUM(BA138:BA142)-BA143</f>
        <v/>
      </c>
      <c r="BB160" s="400">
        <f>SUM(BB138:BB142)-BB143</f>
        <v/>
      </c>
      <c r="BC160" s="400">
        <f>SUM(BC138:BC142)-BC143</f>
        <v/>
      </c>
      <c r="BD160" s="400">
        <f>SUM(BD138:BD142)-BD143</f>
        <v/>
      </c>
      <c r="BE160" s="400">
        <f>SUM(BE138:BE142)-BE143</f>
        <v/>
      </c>
      <c r="BF160" s="400">
        <f>SUM(BF138:BF142)-BF143</f>
        <v/>
      </c>
      <c r="BG160" s="400">
        <f>SUM(BG138:BG142)-BG143</f>
        <v/>
      </c>
      <c r="BH160" s="400">
        <f>SUM(BH138:BH142)-BH143</f>
        <v/>
      </c>
      <c r="BI160" s="400">
        <f>SUM(BI138:BI142)-BI143</f>
        <v/>
      </c>
      <c r="BJ160" s="400">
        <f>SUM(BJ138:BJ142)-BJ143</f>
        <v/>
      </c>
      <c r="BK160" s="400">
        <f>SUM(BK138:BK142)-BK143</f>
        <v/>
      </c>
      <c r="BL160" s="400">
        <f>SUM(BL138:BL142)-BL143</f>
        <v/>
      </c>
      <c r="BM160" s="400">
        <f>SUM(BM138:BM142)-BM143</f>
        <v/>
      </c>
      <c r="BN160" s="400">
        <f>SUM(BN138:BN142)-BN143</f>
        <v/>
      </c>
      <c r="BO160" s="400">
        <f>SUM(BO138:BO142)-BO143</f>
        <v/>
      </c>
      <c r="BP160" s="400">
        <f>SUM(BP138:BP142)-BP143</f>
        <v/>
      </c>
      <c r="BQ160" s="400">
        <f>SUM(BQ138:BQ142)-BQ143</f>
        <v/>
      </c>
      <c r="BR160" s="400">
        <f>SUM(BR138:BR142)-BR143</f>
        <v/>
      </c>
      <c r="BS160" t="n">
        <v>0</v>
      </c>
      <c r="BT160" t="inlineStr">
        <is>
          <t>IPGP-Financial-Data-Workbook-2024-Q2.xlsx|Balance Sheet|52|93</t>
        </is>
      </c>
    </row>
    <row r="161">
      <c r="A161" s="455">
        <f>A160</f>
        <v/>
      </c>
      <c r="B161" s="400">
        <f>SUM(B143:B145)-B146</f>
        <v/>
      </c>
      <c r="C161" s="400">
        <f>SUM(C143:C145)-C146</f>
        <v/>
      </c>
      <c r="D161" s="400">
        <f>SUM(D143:D145)-D146</f>
        <v/>
      </c>
      <c r="E161" s="400">
        <f>SUM(E143:E145)-E146</f>
        <v/>
      </c>
      <c r="F161" s="400">
        <f>SUM(F143:F145)-F146</f>
        <v/>
      </c>
      <c r="G161" s="400">
        <f>SUM(G143:G145)-G146</f>
        <v/>
      </c>
      <c r="H161" s="400">
        <f>SUM(H143:H145)-H146</f>
        <v/>
      </c>
      <c r="I161" s="400">
        <f>SUM(I143:I145)-I146</f>
        <v/>
      </c>
      <c r="J161" s="400">
        <f>SUM(J143:J145)-J146</f>
        <v/>
      </c>
      <c r="K161" s="400">
        <f>SUM(K143:K145)-K146</f>
        <v/>
      </c>
      <c r="L161" s="400">
        <f>SUM(L143:L145)-L146</f>
        <v/>
      </c>
      <c r="M161" s="400">
        <f>SUM(M143:M145)-M146</f>
        <v/>
      </c>
      <c r="N161" s="400">
        <f>SUM(N143:N145)-N146</f>
        <v/>
      </c>
      <c r="O161" s="400">
        <f>SUM(O143:O145)-O146</f>
        <v/>
      </c>
      <c r="P161" s="400">
        <f>SUM(P143:P145)-P146</f>
        <v/>
      </c>
      <c r="Q161" s="400">
        <f>SUM(Q143:Q145)-Q146</f>
        <v/>
      </c>
      <c r="R161" s="400">
        <f>SUM(R143:R145)-R146</f>
        <v/>
      </c>
      <c r="S161" s="400">
        <f>SUM(S143:S145)-S146</f>
        <v/>
      </c>
      <c r="T161" s="400">
        <f>SUM(T143:T145)-T146</f>
        <v/>
      </c>
      <c r="U161" s="400">
        <f>SUM(U143:U145)-U146</f>
        <v/>
      </c>
      <c r="V161" s="400">
        <f>SUM(V143:V145)-V146</f>
        <v/>
      </c>
      <c r="W161" s="400">
        <f>SUM(W143:W145)-W146</f>
        <v/>
      </c>
      <c r="X161" s="400">
        <f>SUM(X143:X145)-X146</f>
        <v/>
      </c>
      <c r="Y161" s="400">
        <f>SUM(Y143:Y145)-Y146</f>
        <v/>
      </c>
      <c r="Z161" s="400">
        <f>SUM(Z143:Z145)-Z146</f>
        <v/>
      </c>
      <c r="AA161" s="400">
        <f>SUM(AA143:AA145)-AA146</f>
        <v/>
      </c>
      <c r="AB161" s="400">
        <f>SUM(AB143:AB145)-AB146</f>
        <v/>
      </c>
      <c r="AC161" s="400">
        <f>SUM(AC143:AC145)-AC146</f>
        <v/>
      </c>
      <c r="AD161" s="400">
        <f>SUM(AD143:AD145)-AD146</f>
        <v/>
      </c>
      <c r="AE161" s="400">
        <f>SUM(AE143:AE145)-AE146</f>
        <v/>
      </c>
      <c r="AF161" s="400">
        <f>SUM(AF143:AF145)-AF146</f>
        <v/>
      </c>
      <c r="AG161" s="400">
        <f>SUM(AG143:AG145)-AG146</f>
        <v/>
      </c>
      <c r="AH161" s="400">
        <f>SUM(AH143:AH145)-AH146</f>
        <v/>
      </c>
      <c r="AI161" s="400">
        <f>SUM(AI143:AI145)-AI146</f>
        <v/>
      </c>
      <c r="AJ161" s="400">
        <f>SUM(AJ143:AJ145)-AJ146</f>
        <v/>
      </c>
      <c r="AK161" s="400">
        <f>SUM(AK143:AK145)-AK146</f>
        <v/>
      </c>
      <c r="AL161" s="400">
        <f>SUM(AL143:AL145)-AL146</f>
        <v/>
      </c>
      <c r="AM161" s="400">
        <f>SUM(AM143:AM145)-AM146</f>
        <v/>
      </c>
      <c r="AN161" s="400">
        <f>SUM(AN143:AN145)-AN146</f>
        <v/>
      </c>
      <c r="AO161" s="400">
        <f>SUM(AO143:AO145)-AO146</f>
        <v/>
      </c>
      <c r="AP161" s="400">
        <f>SUM(AP143:AP145)-AP146</f>
        <v/>
      </c>
      <c r="AQ161" s="400">
        <f>SUM(AQ143:AQ145)-AQ146</f>
        <v/>
      </c>
      <c r="AR161" s="400">
        <f>SUM(AR143:AR145)-AR146</f>
        <v/>
      </c>
      <c r="AS161" s="400">
        <f>SUM(AS143:AS145)-AS146</f>
        <v/>
      </c>
      <c r="AT161" s="400">
        <f>SUM(AT143:AT145)-AT146</f>
        <v/>
      </c>
      <c r="AU161" s="400">
        <f>SUM(AU143:AU145)-AU146</f>
        <v/>
      </c>
      <c r="AV161" s="400">
        <f>SUM(AV143:AV145)-AV146</f>
        <v/>
      </c>
      <c r="AW161" s="400">
        <f>SUM(AW143:AW145)-AW146</f>
        <v/>
      </c>
      <c r="AX161" s="400">
        <f>SUM(AX143:AX145)-AX146</f>
        <v/>
      </c>
      <c r="AY161" s="400">
        <f>SUM(AY143:AY145)-AY146</f>
        <v/>
      </c>
      <c r="AZ161" s="400">
        <f>SUM(AZ143:AZ145)-AZ146</f>
        <v/>
      </c>
      <c r="BA161" s="400">
        <f>SUM(BA143:BA145)-BA146</f>
        <v/>
      </c>
      <c r="BB161" s="400">
        <f>SUM(BB143:BB145)-BB146</f>
        <v/>
      </c>
      <c r="BC161" s="400">
        <f>SUM(BC143:BC145)-BC146</f>
        <v/>
      </c>
      <c r="BD161" s="400">
        <f>SUM(BD143:BD145)-BD146</f>
        <v/>
      </c>
      <c r="BE161" s="400">
        <f>SUM(BE143:BE145)-BE146</f>
        <v/>
      </c>
      <c r="BF161" s="400">
        <f>SUM(BF143:BF145)-BF146</f>
        <v/>
      </c>
      <c r="BG161" s="400">
        <f>SUM(BG143:BG145)-BG146</f>
        <v/>
      </c>
      <c r="BH161" s="400">
        <f>SUM(BH143:BH145)-BH146</f>
        <v/>
      </c>
      <c r="BI161" s="400">
        <f>SUM(BI143:BI145)-BI146</f>
        <v/>
      </c>
      <c r="BJ161" s="400">
        <f>SUM(BJ143:BJ145)-BJ146</f>
        <v/>
      </c>
      <c r="BK161" s="400">
        <f>SUM(BK143:BK145)-BK146</f>
        <v/>
      </c>
      <c r="BL161" s="400">
        <f>SUM(BL143:BL145)-BL146</f>
        <v/>
      </c>
      <c r="BM161" s="400">
        <f>SUM(BM143:BM145)-BM146</f>
        <v/>
      </c>
      <c r="BN161" s="400">
        <f>SUM(BN143:BN145)-BN146</f>
        <v/>
      </c>
      <c r="BO161" s="400">
        <f>SUM(BO143:BO145)-BO146</f>
        <v/>
      </c>
      <c r="BP161" s="400">
        <f>SUM(BP143:BP145)-BP146</f>
        <v/>
      </c>
      <c r="BQ161" s="400">
        <f>SUM(BQ143:BQ145)-BQ146</f>
        <v/>
      </c>
      <c r="BR161" s="400">
        <f>SUM(BR143:BR145)-BR146</f>
        <v/>
      </c>
      <c r="BS161" t="n">
        <v>0</v>
      </c>
      <c r="BT161" t="inlineStr">
        <is>
          <t>IPGP-Financial-Data-Workbook-2024-Q2.xlsx|Balance Sheet|58|93</t>
        </is>
      </c>
    </row>
    <row r="162">
      <c r="A162" s="455">
        <f>A161</f>
        <v/>
      </c>
      <c r="B162" s="400">
        <f>SUM(B148:B152)+B154-B155</f>
        <v/>
      </c>
      <c r="C162" s="400">
        <f>SUM(C148:C152)+C154-C155</f>
        <v/>
      </c>
      <c r="D162" s="400">
        <f>SUM(D148:D152)+D154-D155</f>
        <v/>
      </c>
      <c r="E162" s="400">
        <f>SUM(E148:E152)+E154-E155</f>
        <v/>
      </c>
      <c r="F162" s="400">
        <f>SUM(F148:F152)+F154-F155</f>
        <v/>
      </c>
      <c r="G162" s="400">
        <f>SUM(G148:G152)+G154-G155</f>
        <v/>
      </c>
      <c r="H162" s="400">
        <f>SUM(H148:H152)+H154-H155</f>
        <v/>
      </c>
      <c r="I162" s="400">
        <f>SUM(I148:I152)+I154-I155</f>
        <v/>
      </c>
      <c r="J162" s="400">
        <f>SUM(J148:J152)+J154-J155</f>
        <v/>
      </c>
      <c r="K162" s="400">
        <f>SUM(K148:K152)+K154-K155</f>
        <v/>
      </c>
      <c r="L162" s="400">
        <f>SUM(L148:L152)+L154-L155</f>
        <v/>
      </c>
      <c r="M162" s="400">
        <f>SUM(M148:M152)+M154-M155</f>
        <v/>
      </c>
      <c r="N162" s="400">
        <f>SUM(N148:N152)+N154-N155</f>
        <v/>
      </c>
      <c r="O162" s="400">
        <f>SUM(O148:O152)+O154-O155</f>
        <v/>
      </c>
      <c r="P162" s="400">
        <f>SUM(P148:P152)+P154-P155</f>
        <v/>
      </c>
      <c r="Q162" s="400">
        <f>SUM(Q148:Q152)+Q154-Q155</f>
        <v/>
      </c>
      <c r="R162" s="400">
        <f>SUM(R148:R152)+R154-R155</f>
        <v/>
      </c>
      <c r="S162" s="400">
        <f>SUM(S148:S152)+S154-S155</f>
        <v/>
      </c>
      <c r="T162" s="400">
        <f>SUM(T148:T152)+T154-T155</f>
        <v/>
      </c>
      <c r="U162" s="400">
        <f>SUM(U148:U152)+U154-U155</f>
        <v/>
      </c>
      <c r="V162" s="400">
        <f>SUM(V148:V152)+V154-V155</f>
        <v/>
      </c>
      <c r="W162" s="400">
        <f>SUM(W148:W152)+W154-W155</f>
        <v/>
      </c>
      <c r="X162" s="400">
        <f>SUM(X148:X152)+X154-X155</f>
        <v/>
      </c>
      <c r="Y162" s="400">
        <f>SUM(Y148:Y152)+Y154-Y155</f>
        <v/>
      </c>
      <c r="Z162" s="400">
        <f>SUM(Z148:Z152)+Z154-Z155</f>
        <v/>
      </c>
      <c r="AA162" s="400">
        <f>SUM(AA148:AA152)+AA154-AA155</f>
        <v/>
      </c>
      <c r="AB162" s="400">
        <f>SUM(AB148:AB152)+AB154-AB155</f>
        <v/>
      </c>
      <c r="AC162" s="400">
        <f>SUM(AC148:AC152)+AC154-AC155</f>
        <v/>
      </c>
      <c r="AD162" s="400">
        <f>SUM(AD148:AD152)+AD154-AD155</f>
        <v/>
      </c>
      <c r="AE162" s="400">
        <f>SUM(AE148:AE152)+AE154-AE155</f>
        <v/>
      </c>
      <c r="AF162" s="400">
        <f>SUM(AF148:AF152)+AF154-AF155</f>
        <v/>
      </c>
      <c r="AG162" s="400">
        <f>SUM(AG148:AG152)+AG154-AG155</f>
        <v/>
      </c>
      <c r="AH162" s="400">
        <f>SUM(AH148:AH152)+AH154-AH155</f>
        <v/>
      </c>
      <c r="AI162" s="400">
        <f>SUM(AI148:AI152)+AI154-AI155</f>
        <v/>
      </c>
      <c r="AJ162" s="400">
        <f>SUM(AJ148:AJ152)+AJ154-AJ155</f>
        <v/>
      </c>
      <c r="AK162" s="400">
        <f>SUM(AK148:AK152)+AK154-AK155</f>
        <v/>
      </c>
      <c r="AL162" s="400">
        <f>SUM(AL148:AL152)+AL154-AL155</f>
        <v/>
      </c>
      <c r="AM162" s="400">
        <f>SUM(AM148:AM152)+AM154-AM155</f>
        <v/>
      </c>
      <c r="AN162" s="400">
        <f>SUM(AN148:AN152)+AN154-AN155</f>
        <v/>
      </c>
      <c r="AO162" s="400">
        <f>SUM(AO148:AO152)+AO154-AO155</f>
        <v/>
      </c>
      <c r="AP162" s="400">
        <f>SUM(AP148:AP152)+AP154-AP155</f>
        <v/>
      </c>
      <c r="AQ162" s="400">
        <f>SUM(AQ148:AQ152)+AQ154-AQ155</f>
        <v/>
      </c>
      <c r="AR162" s="400">
        <f>SUM(AR148:AR152)+AR154-AR155</f>
        <v/>
      </c>
      <c r="AS162" s="400">
        <f>SUM(AS148:AS152)+AS154-AS155</f>
        <v/>
      </c>
      <c r="AT162" s="400">
        <f>SUM(AT148:AT152)+AT154-AT155</f>
        <v/>
      </c>
      <c r="AU162" s="400">
        <f>SUM(AU148:AU152)+AU154-AU155</f>
        <v/>
      </c>
      <c r="AV162" s="400">
        <f>SUM(AV148:AV152)+AV154-AV155</f>
        <v/>
      </c>
      <c r="AW162" s="400">
        <f>SUM(AW148:AW152)+AW154-AW155</f>
        <v/>
      </c>
      <c r="AX162" s="400">
        <f>SUM(AX148:AX152)+AX154-AX155</f>
        <v/>
      </c>
      <c r="AY162" s="400">
        <f>SUM(AY148:AY152)+AY154-AY155</f>
        <v/>
      </c>
      <c r="AZ162" s="400">
        <f>SUM(AZ148:AZ152)+AZ154-AZ155</f>
        <v/>
      </c>
      <c r="BA162" s="400">
        <f>SUM(BA148:BA152)+BA154-BA155</f>
        <v/>
      </c>
      <c r="BB162" s="400">
        <f>SUM(BB148:BB152)+BB154-BB155</f>
        <v/>
      </c>
      <c r="BC162" s="400">
        <f>SUM(BC148:BC152)+BC154-BC155</f>
        <v/>
      </c>
      <c r="BD162" s="400">
        <f>SUM(BD148:BD152)+BD154-BD155</f>
        <v/>
      </c>
      <c r="BE162" s="400">
        <f>SUM(BE148:BE152)+BE154-BE155</f>
        <v/>
      </c>
      <c r="BF162" s="400">
        <f>SUM(BF148:BF152)+BF154-BF155</f>
        <v/>
      </c>
      <c r="BG162" s="400">
        <f>SUM(BG148:BG152)+BG154-BG155</f>
        <v/>
      </c>
      <c r="BH162" s="400">
        <f>SUM(BH148:BH152)+BH154-BH155</f>
        <v/>
      </c>
      <c r="BI162" s="400">
        <f>SUM(BI148:BI152)+BI154-BI155</f>
        <v/>
      </c>
      <c r="BJ162" s="400">
        <f>SUM(BJ148:BJ152)+BJ154-BJ155</f>
        <v/>
      </c>
      <c r="BK162" s="400">
        <f>SUM(BK148:BK152)+BK154-BK155</f>
        <v/>
      </c>
      <c r="BL162" s="400">
        <f>SUM(BL148:BL152)+BL154-BL155</f>
        <v/>
      </c>
      <c r="BM162" s="400">
        <f>SUM(BM148:BM152)+BM154-BM155</f>
        <v/>
      </c>
      <c r="BN162" s="400">
        <f>SUM(BN148:BN152)+BN154-BN155</f>
        <v/>
      </c>
      <c r="BO162" s="400">
        <f>SUM(BO148:BO152)+BO154-BO155</f>
        <v/>
      </c>
      <c r="BP162" s="400">
        <f>SUM(BP148:BP152)+BP154-BP155</f>
        <v/>
      </c>
      <c r="BQ162" s="400">
        <f>SUM(BQ148:BQ152)+BQ154-BQ155</f>
        <v/>
      </c>
      <c r="BR162" s="400">
        <f>SUM(BR148:BR152)+BR154-BR155</f>
        <v/>
      </c>
      <c r="BS162" t="n">
        <v>0</v>
      </c>
      <c r="BT162" t="inlineStr">
        <is>
          <t>IPGP-Financial-Data-Workbook-2024-Q2.xlsx|Balance Sheet|59|93</t>
        </is>
      </c>
    </row>
    <row r="163">
      <c r="A163" s="455">
        <f>A162</f>
        <v/>
      </c>
      <c r="B163" s="400">
        <f>B136-B146-B155</f>
        <v/>
      </c>
      <c r="C163" s="400">
        <f>C136-C146-C155</f>
        <v/>
      </c>
      <c r="D163" s="400">
        <f>D136-D146-D155</f>
        <v/>
      </c>
      <c r="E163" s="400">
        <f>E136-E146-E155</f>
        <v/>
      </c>
      <c r="F163" s="400">
        <f>F136-F146-F155</f>
        <v/>
      </c>
      <c r="G163" s="400">
        <f>G136-G146-G155</f>
        <v/>
      </c>
      <c r="H163" s="400">
        <f>H136-H146-H155</f>
        <v/>
      </c>
      <c r="I163" s="400">
        <f>I136-I146-I155</f>
        <v/>
      </c>
      <c r="J163" s="400">
        <f>J136-J146-J155</f>
        <v/>
      </c>
      <c r="K163" s="400">
        <f>K136-K146-K155</f>
        <v/>
      </c>
      <c r="L163" s="400">
        <f>L136-L146-L155</f>
        <v/>
      </c>
      <c r="M163" s="400">
        <f>M136-M146-M155</f>
        <v/>
      </c>
      <c r="N163" s="400">
        <f>N136-N146-N155</f>
        <v/>
      </c>
      <c r="O163" s="400">
        <f>O136-O146-O155</f>
        <v/>
      </c>
      <c r="P163" s="400">
        <f>P136-P146-P155</f>
        <v/>
      </c>
      <c r="Q163" s="400">
        <f>Q136-Q146-Q155</f>
        <v/>
      </c>
      <c r="R163" s="400">
        <f>R136-R146-R155</f>
        <v/>
      </c>
      <c r="S163" s="400">
        <f>S136-S146-S155</f>
        <v/>
      </c>
      <c r="T163" s="400">
        <f>T136-T146-T155</f>
        <v/>
      </c>
      <c r="U163" s="400">
        <f>U136-U146-U155</f>
        <v/>
      </c>
      <c r="V163" s="400">
        <f>V136-V146-V155</f>
        <v/>
      </c>
      <c r="W163" s="400">
        <f>W136-W146-W155</f>
        <v/>
      </c>
      <c r="X163" s="400">
        <f>X136-X146-X155</f>
        <v/>
      </c>
      <c r="Y163" s="400">
        <f>Y136-Y146-Y155</f>
        <v/>
      </c>
      <c r="Z163" s="400">
        <f>Z136-Z146-Z155</f>
        <v/>
      </c>
      <c r="AA163" s="400">
        <f>AA136-AA146-AA155</f>
        <v/>
      </c>
      <c r="AB163" s="400">
        <f>AB136-AB146-AB155</f>
        <v/>
      </c>
      <c r="AC163" s="400">
        <f>AC136-AC146-AC155</f>
        <v/>
      </c>
      <c r="AD163" s="400">
        <f>AD136-AD146-AD155</f>
        <v/>
      </c>
      <c r="AE163" s="400">
        <f>AE136-AE146-AE155</f>
        <v/>
      </c>
      <c r="AF163" s="400">
        <f>AF136-AF146-AF155</f>
        <v/>
      </c>
      <c r="AG163" s="400">
        <f>AG136-AG146-AG155</f>
        <v/>
      </c>
      <c r="AH163" s="400">
        <f>AH136-AH146-AH155</f>
        <v/>
      </c>
      <c r="AI163" s="400">
        <f>AI136-AI146-AI155</f>
        <v/>
      </c>
      <c r="AJ163" s="400">
        <f>AJ136-AJ146-AJ155</f>
        <v/>
      </c>
      <c r="AK163" s="400">
        <f>AK136-AK146-AK155</f>
        <v/>
      </c>
      <c r="AL163" s="400">
        <f>AL136-AL146-AL155</f>
        <v/>
      </c>
      <c r="AM163" s="400">
        <f>AM136-AM146-AM155</f>
        <v/>
      </c>
      <c r="AN163" s="400">
        <f>AN136-AN146-AN155</f>
        <v/>
      </c>
      <c r="AO163" s="400">
        <f>AO136-AO146-AO155</f>
        <v/>
      </c>
      <c r="AP163" s="400">
        <f>AP136-AP146-AP155</f>
        <v/>
      </c>
      <c r="AQ163" s="400">
        <f>AQ136-AQ146-AQ155</f>
        <v/>
      </c>
      <c r="AR163" s="400">
        <f>AR136-AR146-AR155</f>
        <v/>
      </c>
      <c r="AS163" s="400">
        <f>AS136-AS146-AS155</f>
        <v/>
      </c>
      <c r="AT163" s="400">
        <f>AT136-AT146-AT155</f>
        <v/>
      </c>
      <c r="AU163" s="400">
        <f>AU136-AU146-AU155</f>
        <v/>
      </c>
      <c r="AV163" s="400">
        <f>AV136-AV146-AV155</f>
        <v/>
      </c>
      <c r="AW163" s="400">
        <f>AW136-AW146-AW155</f>
        <v/>
      </c>
      <c r="AX163" s="400">
        <f>AX136-AX146-AX155</f>
        <v/>
      </c>
      <c r="AY163" s="400">
        <f>AY136-AY146-AY155</f>
        <v/>
      </c>
      <c r="AZ163" s="400">
        <f>AZ136-AZ146-AZ155</f>
        <v/>
      </c>
      <c r="BA163" s="400">
        <f>BA136-BA146-BA155</f>
        <v/>
      </c>
      <c r="BB163" s="400">
        <f>BB136-BB146-BB155</f>
        <v/>
      </c>
      <c r="BC163" s="400">
        <f>BC136-BC146-BC155</f>
        <v/>
      </c>
      <c r="BD163" s="400">
        <f>BD136-BD146-BD155</f>
        <v/>
      </c>
      <c r="BE163" s="400">
        <f>BE136-BE146-BE155</f>
        <v/>
      </c>
      <c r="BF163" s="400">
        <f>BF136-BF146-BF155</f>
        <v/>
      </c>
      <c r="BG163" s="400">
        <f>BG136-BG146-BG155</f>
        <v/>
      </c>
      <c r="BH163" s="400">
        <f>BH136-BH146-BH155</f>
        <v/>
      </c>
      <c r="BI163" s="400">
        <f>BI136-BI146-BI155</f>
        <v/>
      </c>
      <c r="BJ163" s="400">
        <f>BJ136-BJ146-BJ155</f>
        <v/>
      </c>
      <c r="BK163" s="400">
        <f>BK136-BK146-BK155</f>
        <v/>
      </c>
      <c r="BL163" s="400">
        <f>BL136-BL146-BL155</f>
        <v/>
      </c>
      <c r="BM163" s="400">
        <f>BM136-BM146-BM155</f>
        <v/>
      </c>
      <c r="BN163" s="400">
        <f>BN136-BN146-BN155</f>
        <v/>
      </c>
      <c r="BO163" s="400">
        <f>BO136-BO146-BO155</f>
        <v/>
      </c>
      <c r="BP163" s="400">
        <f>BP136-BP146-BP155</f>
        <v/>
      </c>
      <c r="BQ163" s="400">
        <f>BQ136-BQ146-BQ155</f>
        <v/>
      </c>
      <c r="BR163" s="400">
        <f>BR136-BR146-BR155</f>
        <v/>
      </c>
      <c r="BS163" t="n">
        <v>0</v>
      </c>
      <c r="BT163" t="inlineStr">
        <is>
          <t>IPGP-Financial-Data-Workbook-2024-Q2.xlsx|Balance Sheet|60|93</t>
        </is>
      </c>
    </row>
    <row r="164">
      <c r="A164" s="455" t="n"/>
      <c r="B164" s="400" t="n"/>
      <c r="C164" s="400" t="n"/>
      <c r="D164" s="400" t="n"/>
      <c r="E164" s="400" t="n"/>
      <c r="F164" s="400" t="n"/>
      <c r="G164" s="400" t="n"/>
      <c r="H164" s="400" t="n"/>
      <c r="I164" s="400" t="n"/>
      <c r="J164" s="400" t="n"/>
      <c r="K164" s="400" t="n"/>
      <c r="L164" s="400" t="n"/>
      <c r="M164" s="400" t="n"/>
      <c r="N164" s="400" t="n"/>
      <c r="O164" s="400" t="n"/>
      <c r="P164" s="400" t="n"/>
      <c r="Q164" s="400" t="n"/>
      <c r="R164" s="400" t="n"/>
      <c r="S164" s="400" t="n"/>
      <c r="T164" s="400" t="n"/>
      <c r="U164" s="400" t="n"/>
      <c r="V164" s="400" t="n"/>
      <c r="W164" s="400" t="n"/>
      <c r="X164" s="400" t="n"/>
      <c r="Y164" s="400" t="n"/>
      <c r="Z164" s="400" t="n"/>
      <c r="AA164" s="400" t="n"/>
      <c r="AB164" s="400" t="n"/>
      <c r="AC164" s="400" t="n"/>
      <c r="AD164" s="400" t="n"/>
      <c r="AE164" s="400" t="n"/>
      <c r="AF164" s="400" t="n"/>
      <c r="AG164" s="400" t="n"/>
      <c r="AH164" s="400" t="n"/>
      <c r="AI164" s="400" t="n"/>
      <c r="AJ164" s="400" t="n"/>
      <c r="AK164" s="400" t="n"/>
      <c r="AL164" s="400" t="n"/>
      <c r="AM164" s="400" t="n"/>
      <c r="AN164" s="400" t="n"/>
      <c r="AO164" s="400" t="n"/>
      <c r="AP164" s="400" t="n"/>
      <c r="AQ164" s="400" t="n"/>
      <c r="AR164" s="400" t="n"/>
      <c r="AS164" s="400" t="n"/>
    </row>
    <row r="165">
      <c r="A165" s="455" t="n"/>
      <c r="B165" s="400" t="n"/>
      <c r="C165" s="400" t="n"/>
      <c r="D165" s="400" t="n"/>
      <c r="E165" s="400" t="n"/>
      <c r="F165" s="400" t="n"/>
      <c r="G165" s="400" t="n"/>
      <c r="H165" s="400" t="n"/>
      <c r="I165" s="400" t="n"/>
      <c r="J165" s="400" t="n"/>
      <c r="K165" s="400" t="n"/>
      <c r="L165" s="400" t="n"/>
      <c r="M165" s="400" t="n"/>
      <c r="N165" s="400" t="n"/>
      <c r="O165" s="400" t="n"/>
      <c r="P165" s="400" t="n"/>
      <c r="Q165" s="400" t="n"/>
      <c r="R165" s="400" t="n"/>
      <c r="S165" s="400" t="n"/>
      <c r="T165" s="400" t="n"/>
      <c r="U165" s="400" t="n"/>
      <c r="V165" s="400" t="n"/>
      <c r="W165" s="400" t="n"/>
      <c r="X165" s="400" t="n"/>
      <c r="Y165" s="400" t="n"/>
      <c r="Z165" s="400" t="n"/>
      <c r="AA165" s="400" t="n"/>
      <c r="AB165" s="400" t="n"/>
      <c r="AC165" s="400" t="n"/>
      <c r="AD165" s="400" t="n"/>
      <c r="AE165" s="400" t="n"/>
      <c r="AF165" s="400" t="n"/>
      <c r="AG165" s="400" t="n"/>
      <c r="AH165" s="400" t="n"/>
      <c r="AI165" s="400" t="n"/>
      <c r="AJ165" s="400" t="n"/>
      <c r="AK165" s="400" t="n"/>
      <c r="AL165" s="400" t="n"/>
      <c r="AM165" s="400" t="n"/>
      <c r="AN165" s="400" t="n"/>
      <c r="AO165" s="400" t="n"/>
      <c r="AP165" s="400" t="n"/>
      <c r="AQ165" s="400" t="n"/>
      <c r="AR165" s="400" t="n"/>
      <c r="AS165" s="400" t="n"/>
    </row>
    <row r="166">
      <c r="A166" s="455" t="n"/>
      <c r="B166" s="400" t="n"/>
      <c r="C166" s="400" t="n"/>
      <c r="D166" s="400" t="n"/>
      <c r="E166" s="400" t="n"/>
      <c r="F166" s="400" t="n"/>
      <c r="G166" s="400" t="n"/>
      <c r="H166" s="400" t="n"/>
      <c r="I166" s="400" t="n"/>
      <c r="J166" s="400" t="n"/>
      <c r="K166" s="400" t="n"/>
      <c r="L166" s="400" t="n"/>
      <c r="M166" s="400" t="n"/>
      <c r="N166" s="400" t="n"/>
      <c r="O166" s="400" t="n"/>
      <c r="P166" s="400" t="n"/>
      <c r="Q166" s="400" t="n"/>
      <c r="R166" s="400" t="n"/>
      <c r="S166" s="400" t="n"/>
      <c r="T166" s="400" t="n"/>
      <c r="U166" s="400" t="n"/>
      <c r="V166" s="400" t="n"/>
      <c r="W166" s="400" t="n"/>
      <c r="X166" s="400" t="n"/>
      <c r="Y166" s="400" t="n"/>
      <c r="Z166" s="400" t="n"/>
      <c r="AA166" s="400" t="n"/>
      <c r="AB166" s="400" t="n"/>
      <c r="AC166" s="400" t="n"/>
      <c r="AD166" s="400" t="n"/>
      <c r="AE166" s="400" t="n"/>
      <c r="AF166" s="400" t="n"/>
      <c r="AG166" s="400" t="n"/>
      <c r="AH166" s="400" t="n"/>
      <c r="AI166" s="400" t="n"/>
      <c r="AJ166" s="400" t="n"/>
      <c r="AK166" s="400" t="n"/>
      <c r="AL166" s="400" t="n"/>
      <c r="AM166" s="400" t="n"/>
      <c r="AN166" s="400" t="n"/>
      <c r="AO166" s="400" t="n"/>
      <c r="AP166" s="400" t="n"/>
      <c r="AQ166" s="400" t="n"/>
      <c r="AR166" s="400" t="n"/>
      <c r="AS166" s="400" t="n"/>
    </row>
    <row r="167">
      <c r="B167" s="145" t="n"/>
      <c r="C167" s="145" t="n"/>
      <c r="D167" s="145" t="n"/>
      <c r="E167" s="145" t="n"/>
      <c r="F167" s="145" t="n"/>
      <c r="G167" s="145" t="n"/>
      <c r="H167" s="145" t="n"/>
      <c r="I167" s="145" t="n"/>
      <c r="J167" s="145" t="n"/>
      <c r="K167" s="145" t="n"/>
      <c r="L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row>
    <row r="168">
      <c r="A168" s="81" t="inlineStr">
        <is>
          <t>CONSOLIDATED CASH FLOW STATEMENT (in '000 USD) - YTD</t>
        </is>
      </c>
      <c r="B168" s="145" t="n"/>
      <c r="C168" s="145" t="n"/>
      <c r="D168" s="145" t="n"/>
      <c r="E168" s="145" t="n"/>
      <c r="F168" s="145" t="n"/>
      <c r="G168" s="145" t="n"/>
      <c r="H168" s="145" t="n"/>
      <c r="I168" s="145" t="n"/>
      <c r="J168" s="145" t="n"/>
      <c r="K168" s="145" t="n"/>
      <c r="L168" s="145" t="n"/>
      <c r="M168" s="145" t="n"/>
      <c r="N168" s="145" t="n"/>
      <c r="O168" s="145" t="n"/>
      <c r="P168" s="145" t="n"/>
      <c r="Q168" s="145" t="n"/>
      <c r="R168" s="145" t="n"/>
      <c r="S168" s="145" t="n"/>
      <c r="T168" s="145" t="n"/>
      <c r="U168" s="145" t="n"/>
      <c r="V168" s="145" t="n"/>
      <c r="W168" s="145" t="n"/>
      <c r="X168" s="145" t="n"/>
      <c r="Y168" s="145" t="n"/>
      <c r="Z168" s="145" t="n"/>
      <c r="AA168" s="145" t="n"/>
      <c r="AB168" s="145" t="n"/>
      <c r="AC168" s="145" t="n"/>
      <c r="AD168" s="145" t="n"/>
      <c r="AE168" s="145" t="n"/>
      <c r="AF168" s="20" t="n"/>
      <c r="AG168" s="20" t="n"/>
      <c r="AH168" s="20" t="n"/>
      <c r="AI168" s="20" t="n"/>
      <c r="AJ168" s="20" t="n"/>
      <c r="AK168" s="20" t="n"/>
      <c r="AL168" s="20" t="n"/>
      <c r="AM168" s="20" t="n"/>
      <c r="AN168" s="20" t="n"/>
      <c r="AO168" s="20" t="n"/>
      <c r="AP168" s="20" t="n"/>
      <c r="AQ168" s="20" t="n"/>
      <c r="AR168" s="20" t="n"/>
      <c r="AS168" s="20" t="n"/>
    </row>
    <row r="169">
      <c r="B169" s="145" t="n"/>
      <c r="C169" s="145" t="n"/>
      <c r="D169" s="145" t="n"/>
      <c r="E169" s="145" t="n"/>
      <c r="F169" s="145" t="n"/>
      <c r="G169" s="145" t="n"/>
      <c r="H169" s="145" t="n"/>
      <c r="I169" s="145" t="n"/>
      <c r="J169" s="145" t="n"/>
      <c r="K169" s="145" t="n"/>
      <c r="L169" s="145" t="n"/>
      <c r="M169" s="145" t="n"/>
      <c r="N169" s="145" t="n"/>
      <c r="O169" s="145" t="n"/>
      <c r="P169" s="145" t="n"/>
      <c r="Q169" s="145" t="n"/>
      <c r="R169" s="145" t="n"/>
      <c r="S169" s="145" t="n"/>
      <c r="T169" s="145" t="n"/>
      <c r="U169" s="145" t="n"/>
      <c r="V169" s="145" t="n"/>
      <c r="W169" s="145" t="n"/>
      <c r="X169" s="145" t="n"/>
      <c r="Y169" s="145" t="n"/>
      <c r="Z169" s="145" t="n"/>
      <c r="AA169" s="145" t="n"/>
      <c r="AB169" s="145" t="n"/>
      <c r="AC169" s="145" t="n"/>
      <c r="AD169" s="145" t="n"/>
      <c r="AE169" s="145" t="n"/>
    </row>
    <row r="170">
      <c r="A170" s="22" t="inlineStr">
        <is>
          <t>CASH FLOWS FROM OPERATING ACTIVITIES:</t>
        </is>
      </c>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c r="AG170" s="22" t="n"/>
      <c r="AH170" s="22" t="n"/>
      <c r="AI170" s="22" t="n"/>
      <c r="AJ170" s="22" t="n"/>
      <c r="AK170" s="22" t="n"/>
      <c r="AL170" s="22" t="n"/>
      <c r="AM170" s="22" t="n"/>
      <c r="AN170" s="22" t="n"/>
      <c r="AO170" s="22" t="n"/>
      <c r="AP170" s="22" t="n"/>
      <c r="AQ170" s="22" t="n"/>
      <c r="AR170" s="22" t="n"/>
      <c r="AS170" s="22" t="n"/>
    </row>
    <row r="171">
      <c r="A171" s="74" t="inlineStr">
        <is>
          <t>Net income</t>
        </is>
      </c>
      <c r="B171" s="145" t="n"/>
      <c r="C171" s="145" t="n"/>
      <c r="D171" s="145" t="n"/>
      <c r="E171" s="145" t="n"/>
      <c r="F171" s="145" t="n"/>
      <c r="G171" s="145" t="n"/>
      <c r="H171" s="145" t="n"/>
      <c r="I171" s="145" t="n"/>
      <c r="J171" s="145" t="n"/>
      <c r="K171" s="145" t="n"/>
      <c r="L171" s="145" t="n"/>
      <c r="M171" s="145" t="n"/>
      <c r="N171" s="145" t="n">
        <v>3424</v>
      </c>
      <c r="O171" s="145" t="n">
        <v>13769</v>
      </c>
      <c r="P171" s="145" t="n">
        <v>27084</v>
      </c>
      <c r="Q171" s="145" t="n">
        <v>54352</v>
      </c>
      <c r="R171" s="145" t="n">
        <v>23378</v>
      </c>
      <c r="S171" s="145" t="n">
        <v>54885</v>
      </c>
      <c r="T171" s="145" t="n">
        <v>89154</v>
      </c>
      <c r="U171" s="145" t="n">
        <v>121009</v>
      </c>
      <c r="V171" s="145" t="n">
        <v>30548</v>
      </c>
      <c r="W171" s="145" t="n">
        <v>70397</v>
      </c>
      <c r="X171" s="145" t="n">
        <v>112832</v>
      </c>
      <c r="Y171" s="145" t="n">
        <v>147744</v>
      </c>
      <c r="Z171" s="145" t="n">
        <v>35127</v>
      </c>
      <c r="AA171" s="145" t="n">
        <v>76847</v>
      </c>
      <c r="AB171" s="145" t="n">
        <v>119185</v>
      </c>
      <c r="AC171" s="145" t="n">
        <v>155780</v>
      </c>
      <c r="AD171" s="145" t="n">
        <v>40531</v>
      </c>
      <c r="AE171" s="145" t="n">
        <v>88814</v>
      </c>
      <c r="AF171" s="145" t="n">
        <v>144014</v>
      </c>
      <c r="AG171" s="145" t="n">
        <v>200445</v>
      </c>
      <c r="AH171" s="145" t="n">
        <v>57346</v>
      </c>
      <c r="AI171" s="145" t="n">
        <v>118590</v>
      </c>
      <c r="AJ171" s="145" t="n">
        <v>181349</v>
      </c>
      <c r="AK171" s="145" t="n">
        <v>242027</v>
      </c>
      <c r="AL171" s="145" t="n">
        <v>49328</v>
      </c>
      <c r="AM171" s="145" t="n">
        <v>116360</v>
      </c>
      <c r="AN171" s="145" t="n">
        <v>185587</v>
      </c>
      <c r="AO171" s="145" t="n">
        <v>260716</v>
      </c>
      <c r="AP171" s="145" t="n">
        <v>74932</v>
      </c>
      <c r="AQ171" s="145" t="n">
        <v>179035</v>
      </c>
      <c r="AR171" s="145" t="n">
        <v>294632</v>
      </c>
      <c r="AS171" s="145" t="n">
        <v>347588</v>
      </c>
      <c r="AT171" s="145" t="n">
        <v>106334</v>
      </c>
      <c r="AU171" s="145" t="n">
        <v>227951</v>
      </c>
      <c r="AV171" s="145" t="n">
        <v>328703</v>
      </c>
      <c r="AW171" s="145" t="n">
        <v>404169</v>
      </c>
      <c r="AX171" s="145" t="n">
        <v>54916</v>
      </c>
      <c r="AY171" s="145" t="n">
        <v>127437</v>
      </c>
      <c r="AZ171" s="145" t="n">
        <v>184564</v>
      </c>
      <c r="BA171" s="145" t="n">
        <v>180261</v>
      </c>
      <c r="BB171" s="145" t="n">
        <v>36766</v>
      </c>
      <c r="BC171" s="145" t="n">
        <v>75132</v>
      </c>
      <c r="BD171" s="145" t="n">
        <v>110662</v>
      </c>
      <c r="BE171" s="145" t="n">
        <v>160338</v>
      </c>
      <c r="BF171" s="145" t="n">
        <v>68222</v>
      </c>
      <c r="BG171" s="145" t="n">
        <v>137899</v>
      </c>
      <c r="BH171" s="145" t="n">
        <v>212598</v>
      </c>
      <c r="BI171" s="145" t="n">
        <v>277866</v>
      </c>
      <c r="BJ171" s="145" t="n">
        <v>69628</v>
      </c>
      <c r="BK171" s="145" t="n">
        <v>126959</v>
      </c>
      <c r="BL171" s="145" t="n">
        <v>203657</v>
      </c>
      <c r="BM171" s="145" t="n">
        <v>110762</v>
      </c>
      <c r="BN171" s="145" t="n">
        <v>60135</v>
      </c>
      <c r="BO171" s="145" t="n">
        <v>122456</v>
      </c>
      <c r="BP171" s="145" t="n">
        <v>177450</v>
      </c>
      <c r="BQ171" s="145" t="n">
        <v>218878</v>
      </c>
      <c r="BR171" s="145" t="n">
        <v>24099</v>
      </c>
      <c r="BS171" t="n">
        <v>20154</v>
      </c>
      <c r="BT171" t="inlineStr">
        <is>
          <t>IPGP-Financial-Data-Workbook-2024-Q2.xlsx|Cash Flows|6|93</t>
        </is>
      </c>
    </row>
    <row r="172">
      <c r="A172" s="74" t="inlineStr">
        <is>
          <t>Adjustments to reconcile net income to net cash provided by operating activities:</t>
        </is>
      </c>
      <c r="B172" s="145" t="n"/>
      <c r="C172" s="145" t="n"/>
      <c r="D172" s="145" t="n"/>
      <c r="E172" s="145" t="n"/>
      <c r="F172" s="145" t="n"/>
      <c r="G172" s="145" t="n"/>
      <c r="H172" s="145" t="n"/>
      <c r="I172" s="145" t="n"/>
      <c r="J172" s="145" t="n"/>
      <c r="K172" s="145" t="n"/>
      <c r="L172" s="145" t="n"/>
      <c r="M172" s="145" t="n"/>
      <c r="N172" s="145" t="n"/>
      <c r="O172" s="145" t="n"/>
      <c r="P172" s="145" t="n"/>
      <c r="Q172" s="145" t="n"/>
      <c r="R172" s="145" t="n"/>
      <c r="S172" s="145" t="n"/>
      <c r="T172" s="145" t="n"/>
      <c r="U172" s="145" t="n"/>
      <c r="V172" s="145" t="n"/>
      <c r="W172" s="145" t="n"/>
      <c r="X172" s="145" t="n"/>
      <c r="Y172" s="145" t="n"/>
      <c r="Z172" s="145" t="n"/>
      <c r="AA172" s="145" t="n"/>
      <c r="AB172" s="145" t="n"/>
      <c r="AC172" s="145" t="n"/>
      <c r="AD172" s="145" t="n"/>
      <c r="AE172" s="145" t="n"/>
      <c r="AF172" s="145" t="n"/>
      <c r="AG172" s="145" t="n"/>
      <c r="AH172" s="145" t="n"/>
      <c r="AI172" s="145" t="n"/>
      <c r="AJ172" s="145" t="n"/>
      <c r="AK172" s="145" t="n"/>
      <c r="AL172" s="145" t="n"/>
      <c r="AM172" s="145" t="n"/>
      <c r="AN172" s="145" t="n"/>
      <c r="AO172" s="145" t="n"/>
      <c r="AP172" s="145" t="n"/>
      <c r="AQ172" s="145" t="n"/>
      <c r="AR172" s="145" t="n"/>
      <c r="AS172" s="145" t="n"/>
      <c r="AT172" s="145" t="n"/>
      <c r="AU172" s="145" t="n"/>
      <c r="AV172" s="145" t="n"/>
      <c r="AW172" s="145" t="n"/>
      <c r="AX172" s="145" t="n"/>
      <c r="AY172" s="145" t="n"/>
      <c r="AZ172" s="145" t="n"/>
      <c r="BA172" s="145" t="n"/>
      <c r="BB172" s="145" t="n"/>
      <c r="BC172" s="145" t="n"/>
      <c r="BD172" s="145" t="n"/>
      <c r="BE172" s="145" t="n"/>
      <c r="BF172" s="145" t="n"/>
      <c r="BG172" s="145" t="n"/>
      <c r="BH172" s="145" t="n"/>
      <c r="BI172" s="145" t="n"/>
      <c r="BJ172" s="145" t="n"/>
      <c r="BK172" s="145" t="n"/>
      <c r="BL172" s="145" t="n"/>
      <c r="BM172" s="145" t="n"/>
      <c r="BN172" s="145" t="n"/>
      <c r="BO172" s="145" t="n"/>
      <c r="BP172" s="145" t="n"/>
      <c r="BQ172" s="145" t="n"/>
      <c r="BR172" s="145" t="n"/>
    </row>
    <row r="173">
      <c r="A173" s="33" t="inlineStr">
        <is>
          <t>Depreciation and amortization</t>
        </is>
      </c>
      <c r="B173" s="145" t="n"/>
      <c r="C173" s="145" t="n"/>
      <c r="D173" s="145" t="n"/>
      <c r="E173" s="145" t="n"/>
      <c r="F173" s="145" t="n"/>
      <c r="G173" s="145" t="n"/>
      <c r="H173" s="145" t="n"/>
      <c r="I173" s="145" t="n"/>
      <c r="J173" s="145" t="n"/>
      <c r="K173" s="145" t="n"/>
      <c r="L173" s="145" t="n"/>
      <c r="M173" s="145" t="n"/>
      <c r="N173" s="145" t="n">
        <v>5226</v>
      </c>
      <c r="O173" s="145" t="n">
        <v>10514</v>
      </c>
      <c r="P173" s="145" t="n">
        <v>16098</v>
      </c>
      <c r="Q173" s="145" t="n">
        <v>21845</v>
      </c>
      <c r="R173" s="145" t="n">
        <v>5658</v>
      </c>
      <c r="S173" s="145" t="n">
        <v>11955</v>
      </c>
      <c r="T173" s="145" t="n">
        <v>18182</v>
      </c>
      <c r="U173" s="145" t="n">
        <v>23962</v>
      </c>
      <c r="V173" s="145" t="n">
        <v>6215</v>
      </c>
      <c r="W173" s="145" t="n">
        <v>12358</v>
      </c>
      <c r="X173" s="145" t="n">
        <v>19168</v>
      </c>
      <c r="Y173" s="145" t="n">
        <v>26144</v>
      </c>
      <c r="Z173" s="145" t="n">
        <v>7217</v>
      </c>
      <c r="AA173" s="145" t="n">
        <v>14885</v>
      </c>
      <c r="AB173" s="145" t="n">
        <v>23414</v>
      </c>
      <c r="AC173" s="145" t="n">
        <v>31524</v>
      </c>
      <c r="AD173" s="145" t="n">
        <v>8102</v>
      </c>
      <c r="AE173" s="145" t="n">
        <v>17088</v>
      </c>
      <c r="AF173" s="145" t="n">
        <v>26409</v>
      </c>
      <c r="AG173" s="145" t="n">
        <v>35612</v>
      </c>
      <c r="AH173" s="145" t="n">
        <v>9743</v>
      </c>
      <c r="AI173" s="145" t="n">
        <v>20176</v>
      </c>
      <c r="AJ173" s="145" t="n">
        <v>31079</v>
      </c>
      <c r="AK173" s="145" t="n">
        <v>42415</v>
      </c>
      <c r="AL173" s="145" t="n">
        <v>11394</v>
      </c>
      <c r="AM173" s="145" t="n">
        <v>23653</v>
      </c>
      <c r="AN173" s="145" t="n">
        <v>37646</v>
      </c>
      <c r="AO173" s="145" t="n">
        <v>51475</v>
      </c>
      <c r="AP173" s="145" t="n">
        <v>14504</v>
      </c>
      <c r="AQ173" s="145" t="n">
        <v>29714</v>
      </c>
      <c r="AR173" s="145" t="n">
        <v>46416</v>
      </c>
      <c r="AS173" s="145" t="n">
        <v>64568</v>
      </c>
      <c r="AT173" s="145" t="n">
        <v>19223</v>
      </c>
      <c r="AU173" s="145" t="n">
        <v>38727</v>
      </c>
      <c r="AV173" s="145" t="n">
        <v>58894</v>
      </c>
      <c r="AW173" s="145" t="n">
        <v>80271</v>
      </c>
      <c r="AX173" s="145" t="n">
        <v>22802</v>
      </c>
      <c r="AY173" s="145" t="n">
        <v>47486</v>
      </c>
      <c r="AZ173" s="145" t="n">
        <v>72531</v>
      </c>
      <c r="BA173" s="145" t="n">
        <v>96268</v>
      </c>
      <c r="BB173" s="145" t="n">
        <v>24099</v>
      </c>
      <c r="BC173" s="145" t="n">
        <v>47350</v>
      </c>
      <c r="BD173" s="145" t="n">
        <v>71188</v>
      </c>
      <c r="BE173" s="145" t="n">
        <v>94554</v>
      </c>
      <c r="BF173" s="145" t="n">
        <v>23819</v>
      </c>
      <c r="BG173" s="145" t="n">
        <v>47976</v>
      </c>
      <c r="BH173" s="145" t="n">
        <v>72127</v>
      </c>
      <c r="BI173" s="145" t="n">
        <v>96330</v>
      </c>
      <c r="BJ173" s="145" t="n">
        <v>23435</v>
      </c>
      <c r="BK173" s="145" t="n">
        <v>47104</v>
      </c>
      <c r="BL173" s="145" t="n">
        <v>69852</v>
      </c>
      <c r="BM173" s="145" t="n">
        <v>90564</v>
      </c>
      <c r="BN173" s="145" t="n">
        <v>17889</v>
      </c>
      <c r="BO173" s="145" t="n">
        <v>35343</v>
      </c>
      <c r="BP173" s="145" t="n">
        <v>52678</v>
      </c>
      <c r="BQ173" s="145" t="n">
        <v>69621</v>
      </c>
      <c r="BR173" s="145" t="n">
        <v>16214</v>
      </c>
      <c r="BS173" t="n">
        <v>15758</v>
      </c>
      <c r="BT173" t="inlineStr">
        <is>
          <t>IPGP-Financial-Data-Workbook-2024-Q2.xlsx|Key Metrics|47|93</t>
        </is>
      </c>
    </row>
    <row r="174">
      <c r="A174" s="33" t="inlineStr">
        <is>
          <t>Deferred income taxes</t>
        </is>
      </c>
      <c r="B174" s="145" t="n"/>
      <c r="C174" s="145" t="n"/>
      <c r="D174" s="145" t="n"/>
      <c r="E174" s="145" t="n"/>
      <c r="F174" s="145" t="n"/>
      <c r="G174" s="145" t="n"/>
      <c r="H174" s="145" t="n"/>
      <c r="I174" s="145" t="n"/>
      <c r="J174" s="145" t="n"/>
      <c r="K174" s="145" t="n"/>
      <c r="L174" s="145" t="n"/>
      <c r="M174" s="145" t="n"/>
      <c r="N174" s="145" t="n">
        <v>-2409</v>
      </c>
      <c r="O174" s="145" t="n">
        <v>-2766</v>
      </c>
      <c r="P174" s="145" t="n">
        <v>-2073</v>
      </c>
      <c r="Q174" s="145" t="n">
        <v>401</v>
      </c>
      <c r="R174" s="145" t="n">
        <v>5201</v>
      </c>
      <c r="S174" s="145" t="n">
        <v>6624</v>
      </c>
      <c r="T174" s="145" t="n">
        <v>564</v>
      </c>
      <c r="U174" s="145" t="n">
        <v>-288</v>
      </c>
      <c r="V174" s="145" t="n">
        <v>2854</v>
      </c>
      <c r="W174" s="145" t="n">
        <v>389</v>
      </c>
      <c r="X174" s="145" t="n">
        <v>2705</v>
      </c>
      <c r="Y174" s="145" t="n">
        <v>5546</v>
      </c>
      <c r="Z174" s="145" t="n">
        <v>4324</v>
      </c>
      <c r="AA174" s="145" t="n">
        <v>-3385</v>
      </c>
      <c r="AB174" s="145" t="n">
        <v>-7591</v>
      </c>
      <c r="AC174" s="145" t="n">
        <v>-6168</v>
      </c>
      <c r="AD174" s="145" t="n">
        <v>-2610</v>
      </c>
      <c r="AE174" s="145" t="n">
        <v>-4893</v>
      </c>
      <c r="AF174" s="145" t="n">
        <v>-5954</v>
      </c>
      <c r="AG174" s="145" t="n">
        <v>-1486</v>
      </c>
      <c r="AH174" s="145" t="n">
        <v>5708</v>
      </c>
      <c r="AI174" s="145" t="n">
        <v>-2118</v>
      </c>
      <c r="AJ174" s="145" t="n">
        <v>-7144</v>
      </c>
      <c r="AK174" s="145" t="n">
        <v>-7153</v>
      </c>
      <c r="AL174" s="145" t="n">
        <v>-2741</v>
      </c>
      <c r="AM174" s="145" t="n">
        <v>-9268</v>
      </c>
      <c r="AN174" s="145" t="n">
        <v>-12054</v>
      </c>
      <c r="AO174" s="145" t="n">
        <v>-12908</v>
      </c>
      <c r="AP174" s="145" t="n">
        <v>4208</v>
      </c>
      <c r="AQ174" s="145" t="n">
        <v>4533</v>
      </c>
      <c r="AR174" s="145" t="n">
        <v>14534</v>
      </c>
      <c r="AS174" s="145" t="n">
        <v>22881</v>
      </c>
      <c r="AT174" s="145" t="n">
        <v>7401</v>
      </c>
      <c r="AU174" s="145" t="n">
        <v>6097</v>
      </c>
      <c r="AV174" s="145" t="n">
        <v>2954</v>
      </c>
      <c r="AW174" s="145" t="n">
        <v>-4576</v>
      </c>
      <c r="AX174" s="145" t="n">
        <v>9199</v>
      </c>
      <c r="AY174" s="145" t="n">
        <v>2628</v>
      </c>
      <c r="AZ174" s="145" t="n">
        <v>-4214</v>
      </c>
      <c r="BA174" s="145" t="n">
        <v>-15489</v>
      </c>
      <c r="BB174" s="145" t="n">
        <v>-935</v>
      </c>
      <c r="BC174" s="145" t="n">
        <v>1591</v>
      </c>
      <c r="BD174" s="145" t="n">
        <v>-10122</v>
      </c>
      <c r="BE174" s="145" t="n">
        <v>-12813</v>
      </c>
      <c r="BF174" s="145" t="n">
        <v>3944</v>
      </c>
      <c r="BG174" s="145" t="n"/>
      <c r="BH174" s="145" t="n"/>
      <c r="BI174" s="145" t="n">
        <v>-6885</v>
      </c>
      <c r="BJ174" s="145" t="n">
        <v>-3397</v>
      </c>
      <c r="BK174" s="145" t="n"/>
      <c r="BL174" s="145" t="n"/>
      <c r="BM174" s="145" t="n">
        <v>-27575</v>
      </c>
      <c r="BN174" s="145" t="n">
        <v>16106</v>
      </c>
      <c r="BO174" s="145" t="n"/>
      <c r="BP174" s="145" t="n"/>
      <c r="BQ174" s="145" t="n"/>
      <c r="BR174" s="145" t="n"/>
      <c r="BS174" t="n">
        <v>-3324</v>
      </c>
      <c r="BT174" t="inlineStr">
        <is>
          <t>IPGP-Financial-Data-Workbook-2024-Q2.xlsx|Cash Flows|11|93</t>
        </is>
      </c>
    </row>
    <row r="175">
      <c r="A175" s="33" t="inlineStr">
        <is>
          <t>Stock-based compensation</t>
        </is>
      </c>
      <c r="B175" s="145" t="n"/>
      <c r="C175" s="145" t="n"/>
      <c r="D175" s="145" t="n"/>
      <c r="E175" s="145" t="n"/>
      <c r="F175" s="145" t="n"/>
      <c r="G175" s="145" t="n"/>
      <c r="H175" s="145" t="n"/>
      <c r="I175" s="145" t="n"/>
      <c r="J175" s="145" t="n"/>
      <c r="K175" s="145" t="n"/>
      <c r="L175" s="145" t="n"/>
      <c r="M175" s="145" t="n"/>
      <c r="N175" s="145" t="n">
        <v>770</v>
      </c>
      <c r="O175" s="145" t="n">
        <v>1563</v>
      </c>
      <c r="P175" s="145" t="n">
        <v>2478</v>
      </c>
      <c r="Q175" s="145" t="n">
        <v>3196</v>
      </c>
      <c r="R175" s="145" t="n">
        <v>2607</v>
      </c>
      <c r="S175" s="145" t="n">
        <v>4301</v>
      </c>
      <c r="T175" s="145" t="n">
        <v>6180</v>
      </c>
      <c r="U175" s="145" t="n">
        <v>8048</v>
      </c>
      <c r="V175" s="145" t="n">
        <v>1998</v>
      </c>
      <c r="W175" s="145" t="n">
        <v>4199</v>
      </c>
      <c r="X175" s="145" t="n">
        <v>6358</v>
      </c>
      <c r="Y175" s="145" t="n">
        <v>8565</v>
      </c>
      <c r="Z175" s="145" t="n">
        <v>2532</v>
      </c>
      <c r="AA175" s="145" t="n">
        <v>5472</v>
      </c>
      <c r="AB175" s="145" t="n">
        <v>8604</v>
      </c>
      <c r="AC175" s="145" t="n">
        <v>11720</v>
      </c>
      <c r="AD175" s="145" t="n">
        <v>3267</v>
      </c>
      <c r="AE175" s="145" t="n">
        <v>7172</v>
      </c>
      <c r="AF175" s="145" t="n">
        <v>11067</v>
      </c>
      <c r="AG175" s="145" t="n">
        <v>15172</v>
      </c>
      <c r="AH175" s="145" t="n">
        <v>4127</v>
      </c>
      <c r="AI175" s="145" t="n">
        <v>8862</v>
      </c>
      <c r="AJ175" s="145" t="n">
        <v>13875</v>
      </c>
      <c r="AK175" s="145" t="n">
        <v>18989</v>
      </c>
      <c r="AL175" s="145" t="n">
        <v>4959</v>
      </c>
      <c r="AM175" s="145" t="n">
        <v>10436</v>
      </c>
      <c r="AN175" s="145" t="n">
        <v>16099</v>
      </c>
      <c r="AO175" s="145" t="n">
        <v>21734</v>
      </c>
      <c r="AP175" s="145" t="n">
        <v>5351</v>
      </c>
      <c r="AQ175" s="145" t="n">
        <v>11059</v>
      </c>
      <c r="AR175" s="145" t="n">
        <v>16989</v>
      </c>
      <c r="AS175" s="145" t="n">
        <v>23021</v>
      </c>
      <c r="AT175" s="145" t="n">
        <v>6415</v>
      </c>
      <c r="AU175" s="145" t="n">
        <v>13724</v>
      </c>
      <c r="AV175" s="145" t="n">
        <v>21443</v>
      </c>
      <c r="AW175" s="145" t="n">
        <v>28027</v>
      </c>
      <c r="AX175" s="145" t="n">
        <v>8138</v>
      </c>
      <c r="AY175" s="145" t="n">
        <v>17031</v>
      </c>
      <c r="AZ175" s="145" t="n">
        <v>25571</v>
      </c>
      <c r="BA175" s="145" t="n">
        <v>33363</v>
      </c>
      <c r="BB175" s="145" t="n">
        <v>8430</v>
      </c>
      <c r="BC175" s="145" t="n">
        <v>17653</v>
      </c>
      <c r="BD175" s="145" t="n">
        <v>26394</v>
      </c>
      <c r="BE175" s="145" t="n">
        <v>35472</v>
      </c>
      <c r="BF175" s="145" t="n">
        <v>8815</v>
      </c>
      <c r="BG175" s="145" t="n"/>
      <c r="BH175" s="145" t="n"/>
      <c r="BI175" s="145" t="n">
        <v>37864</v>
      </c>
      <c r="BJ175" s="145" t="n">
        <v>9994</v>
      </c>
      <c r="BK175" s="145" t="n"/>
      <c r="BL175" s="145" t="n"/>
      <c r="BM175" s="145" t="n">
        <v>38302</v>
      </c>
      <c r="BN175" s="145" t="n">
        <v>9576</v>
      </c>
      <c r="BO175" s="145" t="n"/>
      <c r="BP175" s="145" t="n"/>
      <c r="BQ175" s="145" t="n"/>
      <c r="BR175" s="145" t="n"/>
      <c r="BS175" t="n">
        <v>8544</v>
      </c>
      <c r="BT175" t="inlineStr">
        <is>
          <t>IPGP-Financial-Data-Workbook-2024-Q2.xlsx|Cash Flows|12|93</t>
        </is>
      </c>
    </row>
    <row r="176">
      <c r="A176" s="33" t="inlineStr">
        <is>
          <t>Unrealized losses (gains) on foreign currency transactions</t>
        </is>
      </c>
      <c r="B176" s="145" t="n"/>
      <c r="C176" s="145" t="n"/>
      <c r="D176" s="145" t="n"/>
      <c r="E176" s="145" t="n"/>
      <c r="F176" s="145" t="n"/>
      <c r="G176" s="145" t="n"/>
      <c r="H176" s="145" t="n"/>
      <c r="I176" s="145" t="n"/>
      <c r="J176" s="145" t="n"/>
      <c r="K176" s="145" t="n"/>
      <c r="L176" s="145" t="n"/>
      <c r="M176" s="145" t="n"/>
      <c r="N176" s="145" t="n">
        <v>-106</v>
      </c>
      <c r="O176" s="145" t="n">
        <v>-2403</v>
      </c>
      <c r="P176" s="145" t="n">
        <v>-325</v>
      </c>
      <c r="Q176" s="145" t="n">
        <v>-888</v>
      </c>
      <c r="R176" s="145" t="n">
        <v>744</v>
      </c>
      <c r="S176" s="145" t="n">
        <v>551</v>
      </c>
      <c r="T176" s="145" t="n">
        <v>-182</v>
      </c>
      <c r="U176" s="145" t="n">
        <v>-764</v>
      </c>
      <c r="V176" s="145" t="n">
        <v>1747</v>
      </c>
      <c r="W176" s="145" t="n">
        <v>-865</v>
      </c>
      <c r="X176" s="145" t="n">
        <v>1484</v>
      </c>
      <c r="Y176" s="145" t="n">
        <v>1250</v>
      </c>
      <c r="Z176" s="145" t="n">
        <v>-481</v>
      </c>
      <c r="AA176" s="145" t="n">
        <v>-591</v>
      </c>
      <c r="AB176" s="145" t="n">
        <v>972</v>
      </c>
      <c r="AC176" s="145" t="n">
        <v>-235</v>
      </c>
      <c r="AD176" s="145" t="n">
        <v>-1355</v>
      </c>
      <c r="AE176" s="145" t="n">
        <v>-2225</v>
      </c>
      <c r="AF176" s="145" t="n">
        <v>-4547</v>
      </c>
      <c r="AG176" s="145" t="n">
        <v>-3497</v>
      </c>
      <c r="AH176" s="145" t="n">
        <v>-5415</v>
      </c>
      <c r="AI176" s="145" t="n">
        <v>-3412</v>
      </c>
      <c r="AJ176" s="145" t="n">
        <v>-3893</v>
      </c>
      <c r="AK176" s="145" t="n">
        <v>-5491</v>
      </c>
      <c r="AL176" s="145" t="n">
        <v>4802</v>
      </c>
      <c r="AM176" s="145" t="n">
        <v>2240</v>
      </c>
      <c r="AN176" s="145" t="n">
        <v>6044</v>
      </c>
      <c r="AO176" s="145" t="n">
        <v>2298</v>
      </c>
      <c r="AP176" s="145" t="n">
        <v>3462</v>
      </c>
      <c r="AQ176" s="145" t="n">
        <v>5538</v>
      </c>
      <c r="AR176" s="145" t="n">
        <v>8197</v>
      </c>
      <c r="AS176" s="145" t="n">
        <v>7949</v>
      </c>
      <c r="AT176" s="145" t="n">
        <v>-1991</v>
      </c>
      <c r="AU176" s="145" t="n">
        <v>-1056</v>
      </c>
      <c r="AV176" s="145" t="n">
        <v>-1779</v>
      </c>
      <c r="AW176" s="145" t="n">
        <v>-2670</v>
      </c>
      <c r="AX176" s="145" t="n">
        <v>267</v>
      </c>
      <c r="AY176" s="145" t="n">
        <v>4185</v>
      </c>
      <c r="AZ176" s="145" t="n">
        <v>7033</v>
      </c>
      <c r="BA176" s="145" t="n">
        <v>11004</v>
      </c>
      <c r="BB176" s="145" t="n">
        <v>-19589</v>
      </c>
      <c r="BC176" s="145" t="n">
        <v>-8737</v>
      </c>
      <c r="BD176" s="145" t="n">
        <v>-21759</v>
      </c>
      <c r="BE176" s="145" t="n">
        <v>-19935</v>
      </c>
      <c r="BF176" s="145" t="n">
        <v>-7800</v>
      </c>
      <c r="BG176" s="145" t="n"/>
      <c r="BH176" s="145" t="n"/>
      <c r="BI176" s="145" t="n">
        <v>-8560</v>
      </c>
      <c r="BJ176" s="145" t="n">
        <v>-2393</v>
      </c>
      <c r="BK176" s="145" t="n"/>
      <c r="BL176" s="145" t="n"/>
      <c r="BM176" s="145" t="n">
        <v>-592</v>
      </c>
      <c r="BN176" s="145" t="n">
        <v>-1877</v>
      </c>
      <c r="BO176" s="145" t="n"/>
      <c r="BP176" s="145" t="n"/>
      <c r="BQ176" s="145" t="n"/>
      <c r="BR176" s="145" t="n"/>
    </row>
    <row r="177">
      <c r="A177" s="33" t="inlineStr">
        <is>
          <t>Other</t>
        </is>
      </c>
      <c r="B177" s="145" t="n"/>
      <c r="C177" s="145" t="n"/>
      <c r="D177" s="145" t="n"/>
      <c r="E177" s="145" t="n"/>
      <c r="F177" s="145" t="n"/>
      <c r="G177" s="145" t="n"/>
      <c r="H177" s="145" t="n"/>
      <c r="I177" s="145" t="n"/>
      <c r="J177" s="145" t="n"/>
      <c r="K177" s="145" t="n"/>
      <c r="L177" s="145" t="n"/>
      <c r="M177" s="145" t="n"/>
      <c r="N177" s="145" t="n">
        <v>-10</v>
      </c>
      <c r="O177" s="145" t="n">
        <v>-51</v>
      </c>
      <c r="P177" s="145" t="n">
        <v>142</v>
      </c>
      <c r="Q177" s="145" t="n">
        <v>1184</v>
      </c>
      <c r="R177" s="145" t="n">
        <v>-293</v>
      </c>
      <c r="S177" s="145" t="n">
        <v>530</v>
      </c>
      <c r="T177" s="145" t="n">
        <v>548</v>
      </c>
      <c r="U177" s="145" t="n">
        <v>565</v>
      </c>
      <c r="V177" s="145" t="n">
        <v>12</v>
      </c>
      <c r="W177" s="145" t="n">
        <v>12</v>
      </c>
      <c r="X177" s="145" t="n">
        <v>38</v>
      </c>
      <c r="Y177" s="145" t="n">
        <v>-19</v>
      </c>
      <c r="Z177" s="145" t="n">
        <v>-16</v>
      </c>
      <c r="AA177" s="145" t="n">
        <v>460</v>
      </c>
      <c r="AB177" s="145" t="n">
        <v>369</v>
      </c>
      <c r="AC177" s="145" t="n">
        <v>62</v>
      </c>
      <c r="AD177" s="145" t="n">
        <v>422</v>
      </c>
      <c r="AE177" s="145" t="n">
        <v>335</v>
      </c>
      <c r="AF177" s="145" t="n">
        <v>464</v>
      </c>
      <c r="AG177" s="145" t="n">
        <v>459</v>
      </c>
      <c r="AH177" s="145" t="n">
        <v>50</v>
      </c>
      <c r="AI177" s="145" t="n">
        <v>95</v>
      </c>
      <c r="AJ177" s="145" t="n">
        <v>191</v>
      </c>
      <c r="AK177" s="145" t="n">
        <v>510</v>
      </c>
      <c r="AL177" s="145" t="n">
        <v>175</v>
      </c>
      <c r="AM177" s="145" t="n">
        <v>294</v>
      </c>
      <c r="AN177" s="145" t="n">
        <v>193</v>
      </c>
      <c r="AO177" s="145" t="n">
        <v>2724</v>
      </c>
      <c r="AP177" s="145" t="n">
        <v>842</v>
      </c>
      <c r="AQ177" s="145" t="n">
        <v>688</v>
      </c>
      <c r="AR177" s="145" t="n">
        <v>699</v>
      </c>
      <c r="AS177" s="145" t="n">
        <v>986</v>
      </c>
      <c r="AT177" s="145" t="n">
        <v>4</v>
      </c>
      <c r="AU177" s="145" t="n">
        <v>-181</v>
      </c>
      <c r="AV177" s="145" t="n">
        <v>-1936</v>
      </c>
      <c r="AW177" s="145" t="n">
        <v>-3586</v>
      </c>
      <c r="AX177" s="145" t="n">
        <v>-1392</v>
      </c>
      <c r="AY177" s="145" t="n">
        <v>170</v>
      </c>
      <c r="AZ177" s="145" t="n">
        <v>854</v>
      </c>
      <c r="BA177" s="145">
        <f>3320+37120+5350</f>
        <v/>
      </c>
      <c r="BB177" s="145" t="n">
        <v>1015</v>
      </c>
      <c r="BC177" s="145">
        <f>2635+671</f>
        <v/>
      </c>
      <c r="BD177" s="145">
        <f>6823+671+44589</f>
        <v/>
      </c>
      <c r="BE177" s="145">
        <f>8642+44589+671</f>
        <v/>
      </c>
      <c r="BF177" s="145" t="n">
        <v>1462</v>
      </c>
      <c r="BG177" s="145">
        <f>18665</f>
        <v/>
      </c>
      <c r="BH177" s="145">
        <f>-4757+28536-4313+5828</f>
        <v/>
      </c>
      <c r="BI177" s="145" t="n">
        <v>8618</v>
      </c>
      <c r="BJ177" s="145" t="n">
        <v>2368</v>
      </c>
      <c r="BK177" s="145" t="n">
        <v>25579</v>
      </c>
      <c r="BL177" s="145">
        <f>-21550+919+29201+8355-21748+4195</f>
        <v/>
      </c>
      <c r="BM177" s="145">
        <f>1654+79949-31846</f>
        <v/>
      </c>
      <c r="BN177" s="145">
        <f>-4244</f>
        <v/>
      </c>
      <c r="BO177" s="145" t="n">
        <v>13615</v>
      </c>
      <c r="BP177" s="145">
        <f>-486+5238</f>
        <v/>
      </c>
      <c r="BQ177" s="145">
        <f>-486+1471</f>
        <v/>
      </c>
      <c r="BR177" s="145" t="n">
        <v>143</v>
      </c>
      <c r="BS177" t="n">
        <v>-5592</v>
      </c>
      <c r="BT177" t="inlineStr">
        <is>
          <t>IPGP-Financial-Data-Workbook-2024-Q2.xlsx|Cash Flows|15|93</t>
        </is>
      </c>
    </row>
    <row r="178">
      <c r="A178" s="33" t="inlineStr">
        <is>
          <t>Provisions for inventory, warranty and bad debt</t>
        </is>
      </c>
      <c r="B178" s="145" t="n"/>
      <c r="C178" s="145" t="n"/>
      <c r="D178" s="145" t="n"/>
      <c r="E178" s="145" t="n"/>
      <c r="F178" s="145" t="n"/>
      <c r="G178" s="145" t="n"/>
      <c r="H178" s="145" t="n"/>
      <c r="I178" s="145" t="n"/>
      <c r="J178" s="145" t="n"/>
      <c r="K178" s="145" t="n"/>
      <c r="L178" s="145" t="n"/>
      <c r="M178" s="145" t="n"/>
      <c r="N178" s="145" t="n">
        <v>1718</v>
      </c>
      <c r="O178" s="145" t="n">
        <v>4475</v>
      </c>
      <c r="P178" s="145" t="n">
        <v>8110</v>
      </c>
      <c r="Q178" s="145" t="n">
        <v>11377</v>
      </c>
      <c r="R178" s="145" t="n">
        <v>3806</v>
      </c>
      <c r="S178" s="145" t="n">
        <v>7056</v>
      </c>
      <c r="T178" s="145" t="n">
        <v>11859</v>
      </c>
      <c r="U178" s="145" t="n">
        <v>15346</v>
      </c>
      <c r="V178" s="145" t="n">
        <v>3799</v>
      </c>
      <c r="W178" s="145" t="n">
        <v>8502</v>
      </c>
      <c r="X178" s="145" t="n">
        <v>14762</v>
      </c>
      <c r="Y178" s="145" t="n">
        <v>19967</v>
      </c>
      <c r="Z178" s="145" t="n">
        <v>3705</v>
      </c>
      <c r="AA178" s="145" t="n">
        <v>10255</v>
      </c>
      <c r="AB178" s="145" t="n">
        <v>18203</v>
      </c>
      <c r="AC178" s="145" t="n">
        <v>29975</v>
      </c>
      <c r="AD178" s="145" t="n">
        <v>5284</v>
      </c>
      <c r="AE178" s="145" t="n">
        <v>12207</v>
      </c>
      <c r="AF178" s="145" t="n">
        <v>19906</v>
      </c>
      <c r="AG178" s="145" t="n">
        <v>28036</v>
      </c>
      <c r="AH178" s="145" t="n">
        <v>8017</v>
      </c>
      <c r="AI178" s="145" t="n">
        <v>18804</v>
      </c>
      <c r="AJ178" s="145" t="n">
        <v>29414</v>
      </c>
      <c r="AK178" s="145" t="n">
        <v>39985</v>
      </c>
      <c r="AL178" s="145" t="n">
        <v>8927</v>
      </c>
      <c r="AM178" s="145" t="n">
        <v>20459</v>
      </c>
      <c r="AN178" s="145" t="n">
        <v>33506</v>
      </c>
      <c r="AO178" s="145" t="n">
        <v>46469</v>
      </c>
      <c r="AP178" s="145" t="n">
        <v>9002</v>
      </c>
      <c r="AQ178" s="145" t="n">
        <v>22754</v>
      </c>
      <c r="AR178" s="145" t="n">
        <v>34690</v>
      </c>
      <c r="AS178" s="145" t="n">
        <v>44978</v>
      </c>
      <c r="AT178" s="145" t="n">
        <v>9318</v>
      </c>
      <c r="AU178" s="145" t="n">
        <v>20092</v>
      </c>
      <c r="AV178" s="145" t="n">
        <v>30582</v>
      </c>
      <c r="AW178" s="145" t="n">
        <v>38862</v>
      </c>
      <c r="AX178" s="145" t="n">
        <v>9912</v>
      </c>
      <c r="AY178" s="145" t="n">
        <v>22697</v>
      </c>
      <c r="AZ178" s="145" t="n">
        <v>38748</v>
      </c>
      <c r="BA178" s="145" t="n">
        <v>63752</v>
      </c>
      <c r="BB178" s="145" t="n">
        <v>13486</v>
      </c>
      <c r="BC178" s="145" t="n">
        <v>24484</v>
      </c>
      <c r="BD178" s="145" t="n">
        <v>42559</v>
      </c>
      <c r="BE178" s="145" t="n">
        <v>70572</v>
      </c>
      <c r="BF178" s="145" t="n">
        <v>16685</v>
      </c>
      <c r="BG178" s="145" t="n">
        <v>32654</v>
      </c>
      <c r="BH178" s="145" t="n">
        <v>50364</v>
      </c>
      <c r="BI178" s="145" t="n">
        <v>68441</v>
      </c>
      <c r="BJ178" s="145" t="n">
        <v>16142</v>
      </c>
      <c r="BK178" s="145" t="n">
        <v>38644</v>
      </c>
      <c r="BL178" s="145" t="n">
        <v>58990</v>
      </c>
      <c r="BM178" s="145" t="n">
        <v>153652</v>
      </c>
      <c r="BN178" s="145" t="n">
        <v>17214</v>
      </c>
      <c r="BO178" s="145" t="n">
        <v>31846</v>
      </c>
      <c r="BP178" s="145" t="n">
        <v>43889</v>
      </c>
      <c r="BQ178" s="145" t="n">
        <v>61058</v>
      </c>
      <c r="BR178" s="145" t="n">
        <v>14761</v>
      </c>
      <c r="BS178" t="n">
        <v>15604</v>
      </c>
      <c r="BT178" t="inlineStr">
        <is>
          <t>IPGP-Financial-Data-Workbook-2024-Q2.xlsx|Cash Flows|16|93</t>
        </is>
      </c>
    </row>
    <row r="179">
      <c r="A179" s="74" t="inlineStr">
        <is>
          <t>Changes in assets and liabilities that (used) provided cash, net of acquisitions:</t>
        </is>
      </c>
      <c r="B179" s="145" t="n"/>
      <c r="C179" s="145" t="n"/>
      <c r="D179" s="145" t="n"/>
      <c r="E179" s="145" t="n"/>
      <c r="F179" s="145" t="n"/>
      <c r="G179" s="145" t="n"/>
      <c r="H179" s="145" t="n"/>
      <c r="I179" s="145" t="n"/>
      <c r="J179" s="145" t="n"/>
      <c r="K179" s="145" t="n"/>
      <c r="L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c r="AG179" s="145" t="n"/>
      <c r="AH179" s="145" t="n"/>
      <c r="AI179" s="145" t="n"/>
      <c r="AJ179" s="145" t="n"/>
      <c r="AK179" s="145" t="n"/>
      <c r="AL179" s="145" t="n"/>
      <c r="AM179" s="145" t="n"/>
      <c r="AN179" s="145" t="n"/>
      <c r="AO179" s="145" t="n"/>
      <c r="AP179" s="145" t="n"/>
      <c r="AQ179" s="145" t="n"/>
      <c r="AR179" s="145" t="n"/>
      <c r="AS179" s="145" t="n"/>
      <c r="AT179" s="145" t="n"/>
      <c r="AU179" s="145" t="n"/>
      <c r="AV179" s="145" t="n"/>
      <c r="AW179" s="145" t="n"/>
      <c r="AX179" s="145" t="n"/>
      <c r="AY179" s="145" t="n"/>
      <c r="AZ179" s="145" t="n"/>
      <c r="BA179" s="145" t="n"/>
      <c r="BB179" s="145" t="n"/>
      <c r="BC179" s="145" t="n"/>
      <c r="BD179" s="145" t="n"/>
      <c r="BE179" s="145" t="n"/>
      <c r="BF179" s="145" t="n"/>
      <c r="BG179" s="145" t="n"/>
      <c r="BH179" s="145" t="n"/>
      <c r="BI179" s="145" t="n"/>
      <c r="BJ179" s="145" t="n"/>
      <c r="BK179" s="145" t="n"/>
      <c r="BL179" s="145" t="n"/>
      <c r="BM179" s="145" t="n"/>
      <c r="BN179" s="145" t="n"/>
      <c r="BO179" s="145" t="n"/>
      <c r="BP179" s="145" t="n"/>
      <c r="BQ179" s="145" t="n"/>
      <c r="BR179" s="145" t="n"/>
    </row>
    <row r="180">
      <c r="A180" s="33" t="inlineStr">
        <is>
          <t>Accounts receivable</t>
        </is>
      </c>
      <c r="B180" s="145" t="n"/>
      <c r="C180" s="145" t="n"/>
      <c r="D180" s="145" t="n"/>
      <c r="E180" s="145" t="n"/>
      <c r="F180" s="145" t="n"/>
      <c r="G180" s="145" t="n"/>
      <c r="H180" s="145" t="n"/>
      <c r="I180" s="145" t="n"/>
      <c r="J180" s="145" t="n"/>
      <c r="K180" s="145" t="n"/>
      <c r="L180" s="145" t="n"/>
      <c r="M180" s="145" t="n"/>
      <c r="N180" s="145" t="n">
        <v>-897</v>
      </c>
      <c r="O180" s="145" t="n">
        <v>-12740</v>
      </c>
      <c r="P180" s="145" t="n">
        <v>-24105</v>
      </c>
      <c r="Q180" s="145" t="n">
        <v>-27308</v>
      </c>
      <c r="R180" s="145" t="n">
        <v>-2086</v>
      </c>
      <c r="S180" s="145" t="n">
        <v>-16928</v>
      </c>
      <c r="T180" s="145" t="n">
        <v>-26221</v>
      </c>
      <c r="U180" s="145" t="n">
        <v>-23688</v>
      </c>
      <c r="V180" s="145" t="n">
        <v>-12203</v>
      </c>
      <c r="W180" s="145" t="n">
        <v>-13301</v>
      </c>
      <c r="X180" s="145" t="n">
        <v>-36514</v>
      </c>
      <c r="Y180" s="145" t="n">
        <v>-22706</v>
      </c>
      <c r="Z180" s="145" t="n">
        <v>-8250</v>
      </c>
      <c r="AA180" s="145" t="n">
        <v>-21212</v>
      </c>
      <c r="AB180" s="145" t="n">
        <v>-26942</v>
      </c>
      <c r="AC180" s="145" t="n">
        <v>-9991</v>
      </c>
      <c r="AD180" s="145" t="n">
        <v>-4373</v>
      </c>
      <c r="AE180" s="145" t="n">
        <v>-20720</v>
      </c>
      <c r="AF180" s="145" t="n">
        <v>-37926</v>
      </c>
      <c r="AG180" s="145" t="n">
        <v>-48518</v>
      </c>
      <c r="AH180" s="145" t="n">
        <v>-11885</v>
      </c>
      <c r="AI180" s="145" t="n">
        <v>-31748</v>
      </c>
      <c r="AJ180" s="145" t="n">
        <v>-20004</v>
      </c>
      <c r="AK180" s="145" t="n">
        <v>-19036</v>
      </c>
      <c r="AL180" s="145" t="n">
        <v>8140</v>
      </c>
      <c r="AM180" s="145" t="n">
        <v>2885</v>
      </c>
      <c r="AN180" s="145" t="n">
        <v>-10853</v>
      </c>
      <c r="AO180" s="145" t="n">
        <v>-11444</v>
      </c>
      <c r="AP180" s="145" t="n">
        <v>-22801</v>
      </c>
      <c r="AQ180" s="145" t="n">
        <v>-73634</v>
      </c>
      <c r="AR180" s="145" t="n">
        <v>-56416</v>
      </c>
      <c r="AS180" s="145" t="n">
        <v>-63225</v>
      </c>
      <c r="AT180" s="145" t="n">
        <v>7942</v>
      </c>
      <c r="AU180" s="145" t="n">
        <v>-9491</v>
      </c>
      <c r="AV180" s="145" t="n">
        <v>-26058</v>
      </c>
      <c r="AW180" s="145" t="n">
        <v>-18814</v>
      </c>
      <c r="AX180" s="145" t="n">
        <v>22853</v>
      </c>
      <c r="AY180" s="145" t="n">
        <v>-21056</v>
      </c>
      <c r="AZ180" s="145" t="n">
        <v>-7562</v>
      </c>
      <c r="BA180" s="145" t="n">
        <v>9776</v>
      </c>
      <c r="BB180" s="145" t="n">
        <v>34492</v>
      </c>
      <c r="BC180" s="145" t="n">
        <v>33011</v>
      </c>
      <c r="BD180" s="145" t="n">
        <v>2308</v>
      </c>
      <c r="BE180" s="145" t="n">
        <v>-13022</v>
      </c>
      <c r="BF180" s="145" t="n">
        <v>7360</v>
      </c>
      <c r="BG180" s="145" t="n">
        <v>37404</v>
      </c>
      <c r="BH180" s="145">
        <f>26296-12281</f>
        <v/>
      </c>
      <c r="BI180" s="145" t="n">
        <v>-2091</v>
      </c>
      <c r="BJ180" s="145" t="n">
        <v>2621</v>
      </c>
      <c r="BK180" s="145" t="n">
        <v>4691</v>
      </c>
      <c r="BL180" s="145">
        <f>-2837+42517</f>
        <v/>
      </c>
      <c r="BM180" s="145" t="n">
        <v>34100</v>
      </c>
      <c r="BN180" s="145" t="n">
        <v>-24642</v>
      </c>
      <c r="BO180" s="145" t="n">
        <v>-31348</v>
      </c>
      <c r="BP180" s="145" t="n">
        <v>-35257</v>
      </c>
      <c r="BQ180" s="145" t="n">
        <v>-26714</v>
      </c>
      <c r="BR180" s="145" t="n">
        <v>32579</v>
      </c>
      <c r="BS180" t="n">
        <v>6155</v>
      </c>
      <c r="BT180" t="inlineStr">
        <is>
          <t>IPGP-Financial-Data-Workbook-2024-Q2.xlsx|Cash Flows|18|93</t>
        </is>
      </c>
    </row>
    <row r="181">
      <c r="A181" s="33" t="inlineStr">
        <is>
          <t>Inventories</t>
        </is>
      </c>
      <c r="B181" s="145" t="n"/>
      <c r="C181" s="145" t="n"/>
      <c r="D181" s="145" t="n"/>
      <c r="E181" s="145" t="n"/>
      <c r="F181" s="145" t="n"/>
      <c r="G181" s="145" t="n"/>
      <c r="H181" s="145" t="n"/>
      <c r="I181" s="145" t="n"/>
      <c r="J181" s="145" t="n"/>
      <c r="K181" s="145" t="n"/>
      <c r="L181" s="145" t="n"/>
      <c r="M181" s="145" t="n"/>
      <c r="N181" s="145" t="n">
        <v>-3349</v>
      </c>
      <c r="O181" s="145" t="n">
        <v>-9515</v>
      </c>
      <c r="P181" s="145" t="n">
        <v>-18005</v>
      </c>
      <c r="Q181" s="145" t="n">
        <v>-27018</v>
      </c>
      <c r="R181" s="145" t="n">
        <v>-13720</v>
      </c>
      <c r="S181" s="145" t="n">
        <v>-35193</v>
      </c>
      <c r="T181" s="145" t="n">
        <v>-52261</v>
      </c>
      <c r="U181" s="145" t="n">
        <v>-56139</v>
      </c>
      <c r="V181" s="145" t="n">
        <v>-4027</v>
      </c>
      <c r="W181" s="145" t="n">
        <v>-10148</v>
      </c>
      <c r="X181" s="145" t="n">
        <v>-17050</v>
      </c>
      <c r="Y181" s="145" t="n">
        <v>-22975</v>
      </c>
      <c r="Z181" s="145" t="n">
        <v>-6984</v>
      </c>
      <c r="AA181" s="145" t="n">
        <v>-23814</v>
      </c>
      <c r="AB181" s="145" t="n">
        <v>-43705</v>
      </c>
      <c r="AC181" s="145" t="n">
        <v>-50355</v>
      </c>
      <c r="AD181" s="145" t="n">
        <v>-3856</v>
      </c>
      <c r="AE181" s="145" t="n">
        <v>-14988</v>
      </c>
      <c r="AF181" s="145" t="n">
        <v>-30220</v>
      </c>
      <c r="AG181" s="145" t="n">
        <v>-42246</v>
      </c>
      <c r="AH181" s="145" t="n">
        <v>-13898</v>
      </c>
      <c r="AI181" s="145" t="n">
        <v>-33211</v>
      </c>
      <c r="AJ181" s="145" t="n">
        <v>-52172</v>
      </c>
      <c r="AK181" s="145" t="n">
        <v>-70565</v>
      </c>
      <c r="AL181" s="145" t="n">
        <v>-19365</v>
      </c>
      <c r="AM181" s="145" t="n">
        <v>-34668</v>
      </c>
      <c r="AN181" s="145" t="n">
        <v>-42814</v>
      </c>
      <c r="AO181" s="145" t="n">
        <v>-53626</v>
      </c>
      <c r="AP181" s="145" t="n">
        <v>-22408</v>
      </c>
      <c r="AQ181" s="145" t="n">
        <v>-25820</v>
      </c>
      <c r="AR181" s="145" t="n">
        <v>-39697</v>
      </c>
      <c r="AS181" s="145" t="n">
        <v>-71080</v>
      </c>
      <c r="AT181" s="145" t="n">
        <v>-49744</v>
      </c>
      <c r="AU181" s="145" t="n">
        <v>-91014</v>
      </c>
      <c r="AV181" s="145" t="n">
        <v>-122051</v>
      </c>
      <c r="AW181" s="145" t="n">
        <v>-135440</v>
      </c>
      <c r="AX181" s="145" t="n">
        <v>-19719</v>
      </c>
      <c r="AY181" s="145" t="n">
        <v>-40789</v>
      </c>
      <c r="AZ181" s="145" t="n">
        <v>-51032</v>
      </c>
      <c r="BA181" s="145" t="n">
        <v>-28105</v>
      </c>
      <c r="BB181" s="145" t="n">
        <v>-10429</v>
      </c>
      <c r="BC181" s="145" t="n">
        <v>-15160</v>
      </c>
      <c r="BD181" s="145" t="n">
        <v>-34213</v>
      </c>
      <c r="BE181" s="145" t="n">
        <v>-39900</v>
      </c>
      <c r="BF181" s="145" t="n">
        <v>-20084</v>
      </c>
      <c r="BG181" s="145" t="n">
        <v>-61220</v>
      </c>
      <c r="BH181" s="145" t="n">
        <v>-105384</v>
      </c>
      <c r="BI181" s="145" t="n">
        <v>-149754</v>
      </c>
      <c r="BJ181" s="145" t="n">
        <v>-50951</v>
      </c>
      <c r="BK181" s="145" t="n">
        <v>-99233</v>
      </c>
      <c r="BL181" s="145" t="n">
        <v>-148959</v>
      </c>
      <c r="BM181" s="145" t="n">
        <v>-189013</v>
      </c>
      <c r="BN181" s="145" t="n">
        <v>-8989</v>
      </c>
      <c r="BO181" s="145" t="n">
        <v>-12103</v>
      </c>
      <c r="BP181" s="145" t="n">
        <v>-20736</v>
      </c>
      <c r="BQ181" s="145" t="n">
        <v>1823</v>
      </c>
      <c r="BR181" s="145" t="n">
        <v>1498</v>
      </c>
      <c r="BS181" t="n">
        <v>15543</v>
      </c>
      <c r="BT181" t="inlineStr">
        <is>
          <t>IPGP-Financial-Data-Workbook-2024-Q2.xlsx|Cash Flows|19|93</t>
        </is>
      </c>
    </row>
    <row r="182">
      <c r="A182" s="33" t="inlineStr">
        <is>
          <t>Prepaid expenses and other current assets</t>
        </is>
      </c>
      <c r="B182" s="145" t="n"/>
      <c r="C182" s="145" t="n"/>
      <c r="D182" s="145" t="n"/>
      <c r="E182" s="145" t="n"/>
      <c r="F182" s="145" t="n"/>
      <c r="G182" s="145" t="n"/>
      <c r="H182" s="145" t="n"/>
      <c r="I182" s="145" t="n"/>
      <c r="J182" s="145" t="n"/>
      <c r="K182" s="145" t="n"/>
      <c r="L182" s="145" t="n"/>
      <c r="M182" s="145" t="n"/>
      <c r="N182" s="145" t="n">
        <v>38</v>
      </c>
      <c r="O182" s="145" t="n">
        <v>391</v>
      </c>
      <c r="P182" s="145" t="n">
        <v>-969</v>
      </c>
      <c r="Q182" s="145" t="n">
        <v>-4707</v>
      </c>
      <c r="R182" s="145" t="n">
        <v>-4610</v>
      </c>
      <c r="S182" s="145" t="n">
        <v>-4555</v>
      </c>
      <c r="T182" s="145" t="n">
        <v>-1748</v>
      </c>
      <c r="U182" s="145" t="n">
        <v>-770</v>
      </c>
      <c r="V182" s="145" t="n">
        <v>-2395</v>
      </c>
      <c r="W182" s="145" t="n">
        <v>-1296</v>
      </c>
      <c r="X182" s="145" t="n">
        <v>-3335</v>
      </c>
      <c r="Y182" s="145" t="n">
        <v>-899</v>
      </c>
      <c r="Z182" s="145" t="n">
        <v>-2212</v>
      </c>
      <c r="AA182" s="145" t="n">
        <v>-1503</v>
      </c>
      <c r="AB182" s="145" t="n">
        <v>-3478</v>
      </c>
      <c r="AC182" s="145" t="n">
        <v>-3980</v>
      </c>
      <c r="AD182" s="145" t="n">
        <v>-4731</v>
      </c>
      <c r="AE182" s="145" t="n">
        <v>436</v>
      </c>
      <c r="AF182" s="145" t="n">
        <v>202</v>
      </c>
      <c r="AG182" s="145" t="n">
        <v>-5351</v>
      </c>
      <c r="AH182" s="145" t="n">
        <v>-723</v>
      </c>
      <c r="AI182" s="145" t="n">
        <v>1945</v>
      </c>
      <c r="AJ182" s="145" t="n">
        <v>2062</v>
      </c>
      <c r="AK182" s="145" t="n">
        <v>1853</v>
      </c>
      <c r="AL182" s="145" t="n">
        <v>-178</v>
      </c>
      <c r="AM182" s="145" t="n">
        <v>-652</v>
      </c>
      <c r="AN182" s="145" t="n">
        <v>-4102</v>
      </c>
      <c r="AO182" s="145" t="n">
        <v>-4069</v>
      </c>
      <c r="AP182" s="145" t="n">
        <v>-3972</v>
      </c>
      <c r="AQ182" s="145" t="n">
        <v>-2768</v>
      </c>
      <c r="AR182" s="145" t="n">
        <v>-1560</v>
      </c>
      <c r="AS182" s="145" t="n">
        <v>-911</v>
      </c>
      <c r="AT182" s="145" t="n">
        <v>-2138</v>
      </c>
      <c r="AU182" s="145" t="n">
        <v>-1991</v>
      </c>
      <c r="AV182" s="145" t="n">
        <v>-4925</v>
      </c>
      <c r="AW182" s="145" t="n">
        <v>-7062</v>
      </c>
      <c r="AX182" s="145" t="n">
        <v>-3624</v>
      </c>
      <c r="AY182" s="145" t="n">
        <v>8616</v>
      </c>
      <c r="AZ182" s="145" t="n">
        <v>11087</v>
      </c>
      <c r="BA182" s="145" t="n">
        <v>18405</v>
      </c>
      <c r="BB182" s="145" t="n">
        <v>-9119</v>
      </c>
      <c r="BC182" s="145" t="n">
        <v>-2193</v>
      </c>
      <c r="BD182" s="145" t="n">
        <v>-2065</v>
      </c>
      <c r="BE182" s="145" t="n">
        <v>-3802</v>
      </c>
      <c r="BF182" s="145" t="n">
        <v>-1052</v>
      </c>
      <c r="BG182" s="145" t="n"/>
      <c r="BH182" s="145" t="n"/>
      <c r="BI182" s="145" t="n">
        <v>-23697</v>
      </c>
      <c r="BJ182" s="145" t="n">
        <v>3052</v>
      </c>
      <c r="BK182" s="145" t="n"/>
      <c r="BL182" s="145" t="n"/>
      <c r="BM182" s="145" t="n">
        <v>22545</v>
      </c>
      <c r="BN182" s="145" t="n">
        <v>-10419</v>
      </c>
      <c r="BO182" s="145" t="n"/>
      <c r="BP182" s="145" t="n"/>
      <c r="BQ182" s="145" t="n"/>
      <c r="BR182" s="145" t="n"/>
      <c r="BS182" t="n">
        <v>200</v>
      </c>
      <c r="BT182" t="inlineStr">
        <is>
          <t>IPGP-Financial-Data-Workbook-2024-Q2.xlsx|Cash Flows|20|93</t>
        </is>
      </c>
    </row>
    <row r="183">
      <c r="A183" s="33" t="inlineStr">
        <is>
          <t>Accounts payable</t>
        </is>
      </c>
      <c r="B183" s="145" t="n"/>
      <c r="C183" s="145" t="n"/>
      <c r="D183" s="145" t="n"/>
      <c r="E183" s="145" t="n"/>
      <c r="F183" s="145" t="n"/>
      <c r="G183" s="145" t="n"/>
      <c r="H183" s="145" t="n"/>
      <c r="I183" s="145" t="n"/>
      <c r="J183" s="145" t="n"/>
      <c r="K183" s="145" t="n"/>
      <c r="L183" s="145" t="n"/>
      <c r="M183" s="145" t="n"/>
      <c r="N183" s="145" t="n">
        <v>-399</v>
      </c>
      <c r="O183" s="145" t="n">
        <v>4191</v>
      </c>
      <c r="P183" s="145" t="n">
        <v>3470</v>
      </c>
      <c r="Q183" s="145" t="n">
        <v>3411</v>
      </c>
      <c r="R183" s="145" t="n">
        <v>3129</v>
      </c>
      <c r="S183" s="145" t="n">
        <v>4888</v>
      </c>
      <c r="T183" s="145" t="n">
        <v>5475</v>
      </c>
      <c r="U183" s="145" t="n">
        <v>1985</v>
      </c>
      <c r="V183" s="145" t="n">
        <v>702</v>
      </c>
      <c r="W183" s="145" t="n">
        <v>2184</v>
      </c>
      <c r="X183" s="145" t="n">
        <v>2170</v>
      </c>
      <c r="Y183" s="145" t="n">
        <v>4375</v>
      </c>
      <c r="Z183" s="145" t="n">
        <v>-1936</v>
      </c>
      <c r="AA183" s="145" t="n">
        <v>2508</v>
      </c>
      <c r="AB183" s="145" t="n">
        <v>-2008</v>
      </c>
      <c r="AC183" s="145" t="n">
        <v>974</v>
      </c>
      <c r="AD183" s="145" t="n">
        <v>516</v>
      </c>
      <c r="AE183" s="145" t="n">
        <v>-2684</v>
      </c>
      <c r="AF183" s="145" t="n">
        <v>1324</v>
      </c>
      <c r="AG183" s="145" t="n">
        <v>3262</v>
      </c>
      <c r="AH183" s="145" t="n">
        <v>-1231</v>
      </c>
      <c r="AI183" s="145" t="n">
        <v>4422</v>
      </c>
      <c r="AJ183" s="145" t="n">
        <v>4519</v>
      </c>
      <c r="AK183" s="145" t="n">
        <v>9806</v>
      </c>
      <c r="AL183" s="145" t="n">
        <v>-6749</v>
      </c>
      <c r="AM183" s="145" t="n">
        <v>-8441</v>
      </c>
      <c r="AN183" s="145" t="n">
        <v>-9816</v>
      </c>
      <c r="AO183" s="145" t="n">
        <v>-407</v>
      </c>
      <c r="AP183" s="145" t="n">
        <v>-1560</v>
      </c>
      <c r="AQ183" s="145" t="n">
        <v>1914</v>
      </c>
      <c r="AR183" s="145" t="n">
        <v>3423</v>
      </c>
      <c r="AS183" s="145" t="n">
        <v>2309</v>
      </c>
      <c r="AT183" s="145" t="n">
        <v>1134</v>
      </c>
      <c r="AU183" s="145" t="n">
        <v>9527</v>
      </c>
      <c r="AV183" s="145" t="n">
        <v>-1319</v>
      </c>
      <c r="AW183" s="145" t="n">
        <v>-1426</v>
      </c>
      <c r="AX183" s="145" t="n">
        <v>1955</v>
      </c>
      <c r="AY183" s="145" t="n">
        <v>-445</v>
      </c>
      <c r="AZ183" s="145" t="n">
        <v>-8137</v>
      </c>
      <c r="BA183" s="145" t="n">
        <v>-10257</v>
      </c>
      <c r="BB183" s="145" t="n">
        <v>6054</v>
      </c>
      <c r="BC183" s="145" t="n">
        <v>13245</v>
      </c>
      <c r="BD183" s="145" t="n">
        <v>8819</v>
      </c>
      <c r="BE183" s="145" t="n">
        <v>-1942</v>
      </c>
      <c r="BF183" s="145" t="n">
        <v>18980</v>
      </c>
      <c r="BG183" s="145" t="n"/>
      <c r="BH183" s="145" t="n"/>
      <c r="BI183" s="145" t="n">
        <v>30997</v>
      </c>
      <c r="BJ183" s="145" t="n">
        <v>-8448</v>
      </c>
      <c r="BK183" s="145" t="n"/>
      <c r="BL183" s="145" t="n"/>
      <c r="BM183" s="145" t="n">
        <v>-12174</v>
      </c>
      <c r="BN183" s="145" t="n">
        <v>-4600</v>
      </c>
      <c r="BO183" s="145" t="n"/>
      <c r="BP183" s="145" t="n"/>
      <c r="BQ183" s="145" t="n"/>
      <c r="BR183" s="145" t="n"/>
      <c r="BS183" t="n">
        <v>1002</v>
      </c>
      <c r="BT183" t="inlineStr">
        <is>
          <t>IPGP-Financial-Data-Workbook-2024-Q2.xlsx|Cash Flows|21|93</t>
        </is>
      </c>
    </row>
    <row r="184">
      <c r="A184" s="33" t="inlineStr">
        <is>
          <t>Accrued expenses and other liabilities</t>
        </is>
      </c>
      <c r="B184" s="145" t="n"/>
      <c r="C184" s="145" t="n"/>
      <c r="D184" s="145" t="n"/>
      <c r="E184" s="145" t="n"/>
      <c r="F184" s="145" t="n"/>
      <c r="G184" s="145" t="n"/>
      <c r="H184" s="145" t="n"/>
      <c r="I184" s="145" t="n"/>
      <c r="J184" s="145" t="n"/>
      <c r="K184" s="145" t="n"/>
      <c r="L184" s="145" t="n"/>
      <c r="M184" s="145" t="n"/>
      <c r="N184" s="145" t="n">
        <v>3634</v>
      </c>
      <c r="O184" s="145" t="n">
        <v>13237</v>
      </c>
      <c r="P184" s="145" t="n">
        <v>15962</v>
      </c>
      <c r="Q184" s="145" t="n">
        <v>22119</v>
      </c>
      <c r="R184" s="145" t="n">
        <v>-5975</v>
      </c>
      <c r="S184" s="145" t="n">
        <v>-2693</v>
      </c>
      <c r="T184" s="145" t="n">
        <v>-2473</v>
      </c>
      <c r="U184" s="145" t="n">
        <v>-6811</v>
      </c>
      <c r="V184" s="145" t="n">
        <v>-6383</v>
      </c>
      <c r="W184" s="145" t="n">
        <v>-3922</v>
      </c>
      <c r="X184" s="145" t="n">
        <v>-1281</v>
      </c>
      <c r="Y184" s="145" t="n">
        <v>-8155</v>
      </c>
      <c r="Z184" s="145" t="n">
        <v>-2658</v>
      </c>
      <c r="AA184" s="145" t="n">
        <v>-880</v>
      </c>
      <c r="AB184" s="145" t="n">
        <v>2734</v>
      </c>
      <c r="AC184" s="145" t="n">
        <v>-281</v>
      </c>
      <c r="AD184" s="145" t="n">
        <v>3934</v>
      </c>
      <c r="AE184" s="145" t="n">
        <v>-170</v>
      </c>
      <c r="AF184" s="145" t="n">
        <v>2653</v>
      </c>
      <c r="AG184" s="145" t="n">
        <v>-1567</v>
      </c>
      <c r="AH184" s="145" t="n">
        <v>-2774</v>
      </c>
      <c r="AI184" s="145" t="n">
        <v>-2397</v>
      </c>
      <c r="AJ184" s="145" t="n">
        <v>3656</v>
      </c>
      <c r="AK184" s="145" t="n">
        <v>613</v>
      </c>
      <c r="AL184" s="145" t="n">
        <v>-8378</v>
      </c>
      <c r="AM184" s="145" t="n">
        <v>-4341</v>
      </c>
      <c r="AN184" s="145" t="n">
        <v>3848</v>
      </c>
      <c r="AO184" s="145" t="n">
        <v>5480</v>
      </c>
      <c r="AP184" s="145" t="n">
        <v>-659</v>
      </c>
      <c r="AQ184" s="145" t="n">
        <v>2102</v>
      </c>
      <c r="AR184" s="145" t="n">
        <v>1809</v>
      </c>
      <c r="AS184" s="145" t="n">
        <v>9612</v>
      </c>
      <c r="AT184" s="145" t="n">
        <v>-9509</v>
      </c>
      <c r="AU184" s="145" t="n">
        <v>-17860</v>
      </c>
      <c r="AV184" s="145" t="n">
        <v>-20095</v>
      </c>
      <c r="AW184" s="145" t="n">
        <v>-19666</v>
      </c>
      <c r="AX184" s="145" t="n">
        <v>-1956</v>
      </c>
      <c r="AY184" s="145" t="n">
        <v>-9320</v>
      </c>
      <c r="AZ184" s="145" t="n">
        <v>-26113</v>
      </c>
      <c r="BA184" s="145" t="n">
        <v>-37310</v>
      </c>
      <c r="BB184" s="145" t="n">
        <v>-6477</v>
      </c>
      <c r="BC184" s="145" t="n">
        <v>-15590</v>
      </c>
      <c r="BD184" s="145" t="n">
        <v>-17492</v>
      </c>
      <c r="BE184" s="145" t="n">
        <v>-14752</v>
      </c>
      <c r="BF184" s="145" t="n">
        <v>-17961</v>
      </c>
      <c r="BG184" s="145" t="n"/>
      <c r="BH184" s="145" t="n"/>
      <c r="BI184" s="145" t="n">
        <v>24715</v>
      </c>
      <c r="BJ184" s="145" t="n">
        <v>-31448</v>
      </c>
      <c r="BK184" s="145" t="n"/>
      <c r="BL184" s="145" t="n"/>
      <c r="BM184" s="145" t="n">
        <v>-43547</v>
      </c>
      <c r="BN184" s="145" t="n">
        <v>-19120</v>
      </c>
      <c r="BO184" s="145" t="n"/>
      <c r="BP184" s="145" t="n"/>
      <c r="BQ184" s="145" t="n"/>
      <c r="BR184" s="145" t="n"/>
      <c r="BS184" t="n">
        <v>-2035</v>
      </c>
      <c r="BT184" t="inlineStr">
        <is>
          <t>IPGP-Financial-Data-Workbook-2024-Q2.xlsx|Cash Flows|22|93</t>
        </is>
      </c>
    </row>
    <row r="185">
      <c r="A185" s="33" t="inlineStr">
        <is>
          <t>Income and other taxes payable</t>
        </is>
      </c>
      <c r="B185" s="145" t="n"/>
      <c r="C185" s="145" t="n"/>
      <c r="D185" s="145" t="n"/>
      <c r="E185" s="145" t="n"/>
      <c r="F185" s="145" t="n"/>
      <c r="G185" s="145" t="n"/>
      <c r="H185" s="145" t="n"/>
      <c r="I185" s="145" t="n"/>
      <c r="J185" s="145" t="n"/>
      <c r="K185" s="145" t="n"/>
      <c r="L185" s="145" t="n"/>
      <c r="M185" s="145" t="n"/>
      <c r="N185" s="145" t="n">
        <v>236</v>
      </c>
      <c r="O185" s="145" t="n">
        <v>2773</v>
      </c>
      <c r="P185" s="145" t="n">
        <v>1540</v>
      </c>
      <c r="Q185" s="145" t="n">
        <v>12911</v>
      </c>
      <c r="R185" s="145" t="n">
        <v>-4577</v>
      </c>
      <c r="S185" s="145" t="n">
        <v>1829</v>
      </c>
      <c r="T185" s="145" t="n">
        <v>14428</v>
      </c>
      <c r="U185" s="145" t="n">
        <v>12929</v>
      </c>
      <c r="V185" s="145" t="n">
        <v>5186</v>
      </c>
      <c r="W185" s="145" t="n">
        <v>11041</v>
      </c>
      <c r="X185" s="145" t="n">
        <v>19038</v>
      </c>
      <c r="Y185" s="145" t="n">
        <v>21118</v>
      </c>
      <c r="Z185" s="145" t="n">
        <v>-40243</v>
      </c>
      <c r="AA185" s="145" t="n">
        <v>-32412</v>
      </c>
      <c r="AB185" s="145" t="n">
        <v>-25186</v>
      </c>
      <c r="AC185" s="145" t="n">
        <v>-30784</v>
      </c>
      <c r="AD185" s="145" t="n">
        <v>-175</v>
      </c>
      <c r="AE185" s="145" t="n">
        <v>-1071</v>
      </c>
      <c r="AF185" s="145" t="n">
        <v>-609</v>
      </c>
      <c r="AG185" s="145" t="n">
        <v>5763</v>
      </c>
      <c r="AH185" s="145" t="n">
        <v>7716</v>
      </c>
      <c r="AI185" s="145" t="n">
        <v>7067</v>
      </c>
      <c r="AJ185" s="145" t="n">
        <v>17501</v>
      </c>
      <c r="AK185" s="145" t="n">
        <v>9529</v>
      </c>
      <c r="AL185" s="145" t="n">
        <v>14583</v>
      </c>
      <c r="AM185" s="145" t="n">
        <v>-10653</v>
      </c>
      <c r="AN185" s="145" t="n">
        <v>-7439</v>
      </c>
      <c r="AO185" s="145" t="n">
        <v>-10746</v>
      </c>
      <c r="AP185" s="145" t="n">
        <v>-10081</v>
      </c>
      <c r="AQ185" s="145" t="n">
        <v>-22013</v>
      </c>
      <c r="AR185" s="145" t="n">
        <v>-26866</v>
      </c>
      <c r="AS185" s="145" t="n">
        <v>16719</v>
      </c>
      <c r="AT185" s="145" t="n">
        <v>5264</v>
      </c>
      <c r="AU185" s="145" t="n">
        <v>14026</v>
      </c>
      <c r="AV185" s="145" t="n">
        <v>15838</v>
      </c>
      <c r="AW185" s="145" t="n">
        <v>35212</v>
      </c>
      <c r="AX185" s="145" t="n">
        <v>-57801</v>
      </c>
      <c r="AY185" s="145" t="n">
        <v>-56861</v>
      </c>
      <c r="AZ185" s="145" t="n">
        <v>-49748</v>
      </c>
      <c r="BA185" s="145" t="n">
        <v>-43937</v>
      </c>
      <c r="BB185" s="145" t="n">
        <v>-21012</v>
      </c>
      <c r="BC185" s="145" t="n">
        <v>-43836</v>
      </c>
      <c r="BD185" s="145" t="n">
        <v>-28345</v>
      </c>
      <c r="BE185" s="145" t="n">
        <v>-23337</v>
      </c>
      <c r="BF185" s="145" t="n">
        <v>-14847</v>
      </c>
      <c r="BG185" s="145" t="n">
        <v>-10188</v>
      </c>
      <c r="BH185" s="145">
        <f>-8823+7963+37002</f>
        <v/>
      </c>
      <c r="BI185" s="145" t="n">
        <v>35856</v>
      </c>
      <c r="BJ185" s="145" t="n">
        <v>-14180</v>
      </c>
      <c r="BK185" s="145" t="n">
        <v>-48583</v>
      </c>
      <c r="BL185" s="145">
        <f>6584-40327-17823</f>
        <v/>
      </c>
      <c r="BM185" s="145" t="n">
        <v>-14132</v>
      </c>
      <c r="BN185" s="145" t="n">
        <v>-9749</v>
      </c>
      <c r="BO185" s="145" t="n">
        <v>-55863</v>
      </c>
      <c r="BP185" s="145" t="n">
        <v>-32852</v>
      </c>
      <c r="BQ185" s="145" t="n">
        <v>-29665</v>
      </c>
      <c r="BR185" s="145" t="n">
        <v>-34698</v>
      </c>
      <c r="BS185" t="n">
        <v>-18306</v>
      </c>
      <c r="BT185" t="inlineStr">
        <is>
          <t>IPGP-Financial-Data-Workbook-2024-Q2.xlsx|Cash Flows|23|93</t>
        </is>
      </c>
    </row>
    <row r="186">
      <c r="A186" s="33" t="inlineStr">
        <is>
          <t>Tax benefit from exercise of employee stock options</t>
        </is>
      </c>
      <c r="B186" s="145" t="n"/>
      <c r="C186" s="145" t="n"/>
      <c r="D186" s="145" t="n"/>
      <c r="E186" s="145" t="n"/>
      <c r="F186" s="145" t="n"/>
      <c r="G186" s="145" t="n"/>
      <c r="H186" s="145" t="n"/>
      <c r="I186" s="145" t="n"/>
      <c r="J186" s="145" t="n"/>
      <c r="K186" s="145" t="n"/>
      <c r="L186" s="145" t="n"/>
      <c r="M186" s="145" t="n"/>
      <c r="N186" s="145" t="n">
        <v>0</v>
      </c>
      <c r="O186" s="145" t="n">
        <v>0</v>
      </c>
      <c r="P186" s="145" t="n">
        <v>0</v>
      </c>
      <c r="Q186" s="145" t="n">
        <v>-7443</v>
      </c>
      <c r="R186" s="145" t="n">
        <v>0</v>
      </c>
      <c r="S186" s="145" t="n">
        <v>-6258</v>
      </c>
      <c r="T186" s="145" t="n">
        <v>-7510</v>
      </c>
      <c r="U186" s="145" t="n">
        <v>-8033</v>
      </c>
      <c r="V186" s="145" t="n">
        <v>-1048</v>
      </c>
      <c r="W186" s="145" t="n">
        <v>-1095</v>
      </c>
      <c r="X186" s="145" t="n">
        <v>-3870</v>
      </c>
      <c r="Y186" s="145" t="n">
        <v>-4679</v>
      </c>
      <c r="Z186" s="145" t="n">
        <v>-1464</v>
      </c>
      <c r="AA186" s="145" t="n">
        <v>-2356</v>
      </c>
      <c r="AB186" s="145" t="n">
        <v>-3610</v>
      </c>
      <c r="AC186" s="145" t="n">
        <v>-8874</v>
      </c>
      <c r="AD186" s="145" t="n">
        <v>-1565</v>
      </c>
      <c r="AE186" s="145" t="n">
        <v>-2426</v>
      </c>
      <c r="AF186" s="145" t="n">
        <v>-2696</v>
      </c>
      <c r="AG186" s="145" t="n">
        <v>-5979</v>
      </c>
      <c r="AH186" s="145" t="n">
        <v>-4773</v>
      </c>
      <c r="AI186" s="145" t="n">
        <v>-5665</v>
      </c>
      <c r="AJ186" s="145" t="n">
        <v>-5822</v>
      </c>
      <c r="AK186" s="145" t="n">
        <v>-6911</v>
      </c>
      <c r="AL186" s="145" t="n">
        <v>0</v>
      </c>
      <c r="AM186" s="145" t="n">
        <v>0</v>
      </c>
      <c r="AN186" s="145" t="n">
        <v>0</v>
      </c>
      <c r="AO186" s="145" t="n">
        <v>-5408</v>
      </c>
      <c r="AP186" s="145" t="n">
        <v>0</v>
      </c>
      <c r="AQ186" s="145" t="n">
        <v>0</v>
      </c>
      <c r="AR186" s="145" t="n">
        <v>0</v>
      </c>
      <c r="AS186" s="145" t="n">
        <v>0</v>
      </c>
      <c r="AT186" s="145" t="n">
        <v>0</v>
      </c>
      <c r="AU186" s="145" t="n">
        <v>0</v>
      </c>
      <c r="AV186" s="145" t="n">
        <v>0</v>
      </c>
      <c r="AW186" s="145" t="n">
        <v>0</v>
      </c>
      <c r="AX186" s="145" t="n">
        <v>0</v>
      </c>
      <c r="AY186" s="145" t="n">
        <v>0</v>
      </c>
      <c r="AZ186" s="145" t="n">
        <v>0</v>
      </c>
      <c r="BA186" s="145" t="n">
        <v>0</v>
      </c>
      <c r="BB186" s="145" t="n"/>
      <c r="BC186" s="145" t="n"/>
      <c r="BD186" s="145" t="n"/>
      <c r="BE186" s="145" t="n">
        <v>0</v>
      </c>
      <c r="BF186" s="145" t="n"/>
      <c r="BG186" s="145" t="n"/>
      <c r="BH186" s="145" t="n"/>
      <c r="BI186" s="145" t="n"/>
      <c r="BJ186" s="145" t="n"/>
      <c r="BK186" s="145" t="n"/>
      <c r="BL186" s="145" t="n"/>
      <c r="BM186" s="145" t="n"/>
      <c r="BN186" s="145" t="n"/>
      <c r="BO186" s="145" t="n"/>
      <c r="BP186" s="145" t="n"/>
      <c r="BQ186" s="145" t="n"/>
      <c r="BR186" s="145" t="n"/>
    </row>
    <row r="187">
      <c r="A187" s="22" t="inlineStr">
        <is>
          <t>Net cash provided by operating activities</t>
        </is>
      </c>
      <c r="B187" s="133" t="n"/>
      <c r="C187" s="133" t="n"/>
      <c r="D187" s="133" t="n"/>
      <c r="E187" s="133" t="n"/>
      <c r="F187" s="133" t="n"/>
      <c r="G187" s="133" t="n"/>
      <c r="H187" s="133" t="n"/>
      <c r="I187" s="133" t="n"/>
      <c r="J187" s="133" t="n"/>
      <c r="K187" s="133" t="n"/>
      <c r="L187" s="133" t="n"/>
      <c r="M187" s="133" t="n"/>
      <c r="N187" s="133" t="n">
        <v>7876</v>
      </c>
      <c r="O187" s="133" t="n">
        <v>23438</v>
      </c>
      <c r="P187" s="133" t="n">
        <v>29407</v>
      </c>
      <c r="Q187" s="133" t="n">
        <v>63432</v>
      </c>
      <c r="R187" s="133" t="n">
        <v>13262</v>
      </c>
      <c r="S187" s="133" t="n">
        <v>26992</v>
      </c>
      <c r="T187" s="133" t="n">
        <v>55995</v>
      </c>
      <c r="U187" s="133" t="n">
        <v>87351</v>
      </c>
      <c r="V187" s="133" t="n">
        <v>27005</v>
      </c>
      <c r="W187" s="133" t="n">
        <v>78455</v>
      </c>
      <c r="X187" s="133" t="n">
        <v>116505</v>
      </c>
      <c r="Y187" s="133" t="n">
        <v>175276</v>
      </c>
      <c r="Z187" s="133" t="n">
        <v>-11339</v>
      </c>
      <c r="AA187" s="133" t="n">
        <v>24274</v>
      </c>
      <c r="AB187" s="133" t="n">
        <v>60961</v>
      </c>
      <c r="AC187" s="133" t="n">
        <v>119367</v>
      </c>
      <c r="AD187" s="133" t="n">
        <v>43391</v>
      </c>
      <c r="AE187" s="133" t="n">
        <v>76875</v>
      </c>
      <c r="AF187" s="133" t="n">
        <v>124087</v>
      </c>
      <c r="AG187" s="133" t="n">
        <v>180105</v>
      </c>
      <c r="AH187" s="133" t="n">
        <v>52008</v>
      </c>
      <c r="AI187" s="133" t="n">
        <v>101410</v>
      </c>
      <c r="AJ187" s="133" t="n">
        <v>194611</v>
      </c>
      <c r="AK187" s="133" t="n">
        <v>256571</v>
      </c>
      <c r="AL187" s="133" t="n">
        <v>64897</v>
      </c>
      <c r="AM187" s="133" t="n">
        <v>108304</v>
      </c>
      <c r="AN187" s="133" t="n">
        <v>195845</v>
      </c>
      <c r="AO187" s="133" t="n">
        <v>292288</v>
      </c>
      <c r="AP187" s="133" t="n">
        <v>50820</v>
      </c>
      <c r="AQ187" s="133" t="n">
        <v>133102</v>
      </c>
      <c r="AR187" s="133" t="n">
        <v>296850</v>
      </c>
      <c r="AS187" s="133" t="n">
        <v>405395</v>
      </c>
      <c r="AT187" s="133" t="n">
        <v>99653</v>
      </c>
      <c r="AU187" s="133" t="n">
        <v>208551</v>
      </c>
      <c r="AV187" s="133" t="n">
        <v>280251</v>
      </c>
      <c r="AW187" s="133" t="n">
        <v>393301</v>
      </c>
      <c r="AX187" s="133" t="n">
        <v>45550</v>
      </c>
      <c r="AY187" s="133" t="n">
        <v>101779</v>
      </c>
      <c r="AZ187" s="133" t="n">
        <v>193582</v>
      </c>
      <c r="BA187" s="133" t="n">
        <v>323521</v>
      </c>
      <c r="BB187" s="133" t="n">
        <v>56781</v>
      </c>
      <c r="BC187" s="133" t="n">
        <v>130256</v>
      </c>
      <c r="BD187" s="133" t="n">
        <v>200017</v>
      </c>
      <c r="BE187" s="133" t="n">
        <v>285335</v>
      </c>
      <c r="BF187" s="133">
        <f>SUM(BF170:BF186)</f>
        <v/>
      </c>
      <c r="BG187" s="133" t="n">
        <v>203190</v>
      </c>
      <c r="BH187" s="133" t="n">
        <v>305156</v>
      </c>
      <c r="BI187" s="133" t="n">
        <v>389700</v>
      </c>
      <c r="BJ187" s="133" t="n">
        <v>16423</v>
      </c>
      <c r="BK187" s="133" t="n">
        <v>95161</v>
      </c>
      <c r="BL187" s="133">
        <f>SUM(BL169:BL186)</f>
        <v/>
      </c>
      <c r="BM187" s="133" t="n">
        <v>212649</v>
      </c>
      <c r="BN187" s="133" t="n">
        <v>37280</v>
      </c>
      <c r="BO187" s="133" t="n">
        <v>103946</v>
      </c>
      <c r="BP187" s="133" t="n">
        <v>189924</v>
      </c>
      <c r="BQ187" s="133" t="n">
        <v>295986</v>
      </c>
      <c r="BR187" s="133" t="n">
        <v>54596</v>
      </c>
      <c r="BS187" t="n">
        <v>53458</v>
      </c>
      <c r="BT187" t="inlineStr">
        <is>
          <t>IPGP-Financial-Data-Workbook-2024-Q2.xlsx|Cash Flows|24|93</t>
        </is>
      </c>
    </row>
    <row r="188">
      <c r="B188" s="145" t="n"/>
      <c r="C188" s="145" t="n"/>
      <c r="D188" s="145" t="n"/>
      <c r="E188" s="145" t="n"/>
      <c r="F188" s="145" t="n"/>
      <c r="G188" s="145" t="n"/>
      <c r="H188" s="145" t="n"/>
      <c r="I188" s="145" t="n"/>
      <c r="J188" s="145" t="n"/>
      <c r="K188" s="145" t="n"/>
      <c r="L188" s="145" t="n"/>
      <c r="M188" s="145" t="n"/>
      <c r="N188" s="145" t="n"/>
      <c r="O188" s="145" t="n"/>
      <c r="P188" s="145" t="n"/>
      <c r="Q188" s="145" t="n"/>
      <c r="R188" s="145" t="n"/>
      <c r="S188" s="145" t="n"/>
      <c r="T188" s="145" t="n"/>
      <c r="U188" s="145" t="n"/>
      <c r="V188" s="145" t="n"/>
      <c r="W188" s="145" t="n"/>
      <c r="X188" s="145" t="n"/>
      <c r="Y188" s="145" t="n"/>
      <c r="Z188" s="145" t="n"/>
      <c r="AA188" s="145" t="n"/>
      <c r="AB188" s="145" t="n"/>
      <c r="AC188" s="145" t="n"/>
      <c r="AD188" s="145" t="n"/>
      <c r="AE188" s="145" t="n"/>
      <c r="AF188" s="145" t="n"/>
      <c r="AG188" s="145" t="n"/>
      <c r="AH188" s="145" t="n"/>
      <c r="AI188" s="145" t="n"/>
      <c r="AJ188" s="145" t="n"/>
      <c r="AK188" s="145" t="n"/>
      <c r="AL188" s="145" t="n"/>
      <c r="AM188" s="145" t="n"/>
      <c r="AN188" s="145" t="n"/>
      <c r="AO188" s="145" t="n"/>
      <c r="AP188" s="145" t="n"/>
      <c r="AQ188" s="145" t="n"/>
      <c r="AR188" s="145" t="n"/>
      <c r="AS188" s="145" t="n"/>
      <c r="AT188" s="145" t="n"/>
      <c r="AU188" s="145" t="n"/>
      <c r="AV188" s="145" t="n"/>
      <c r="AW188" s="145" t="n"/>
      <c r="AX188" s="145" t="n"/>
      <c r="AY188" s="145" t="n"/>
      <c r="AZ188" s="145" t="n"/>
      <c r="BA188" s="145" t="n"/>
      <c r="BB188" s="145" t="n"/>
      <c r="BC188" s="145" t="n"/>
      <c r="BD188" s="145" t="n"/>
      <c r="BE188" s="145" t="n"/>
      <c r="BF188" s="145" t="n"/>
      <c r="BG188" s="145" t="n"/>
      <c r="BH188" s="145" t="n"/>
      <c r="BJ188" s="145" t="n"/>
      <c r="BN188" s="145" t="n"/>
      <c r="BO188" s="145" t="n"/>
      <c r="BP188" s="145" t="n"/>
      <c r="BQ188" s="145" t="n"/>
      <c r="BR188" s="145" t="n"/>
    </row>
    <row r="189">
      <c r="A189" s="22" t="inlineStr">
        <is>
          <t>CASH FLOWS FROM INVESTING ACTIVITIES:</t>
        </is>
      </c>
      <c r="B189" s="145" t="n"/>
      <c r="C189" s="145" t="n"/>
      <c r="D189" s="145" t="n"/>
      <c r="E189" s="145" t="n"/>
      <c r="F189" s="145" t="n"/>
      <c r="G189" s="145" t="n"/>
      <c r="H189" s="145" t="n"/>
      <c r="I189" s="145" t="n"/>
      <c r="J189" s="145" t="n"/>
      <c r="K189" s="145" t="n"/>
      <c r="L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c r="AG189" s="145" t="n"/>
      <c r="AH189" s="145" t="n"/>
      <c r="AI189" s="145" t="n"/>
      <c r="AJ189" s="145" t="n"/>
      <c r="AK189" s="145" t="n"/>
      <c r="AL189" s="145" t="n"/>
      <c r="AM189" s="145" t="n"/>
      <c r="AN189" s="145" t="n"/>
      <c r="AO189" s="145" t="n"/>
      <c r="AP189" s="145" t="n"/>
      <c r="AQ189" s="145" t="n"/>
      <c r="AR189" s="145" t="n"/>
      <c r="AS189" s="145" t="n"/>
      <c r="AT189" s="145" t="n"/>
      <c r="AU189" s="145" t="n"/>
      <c r="AV189" s="145" t="n"/>
      <c r="AW189" s="145" t="n"/>
      <c r="AX189" s="145" t="n"/>
      <c r="AY189" s="145" t="n"/>
      <c r="AZ189" s="145" t="n"/>
      <c r="BA189" s="145" t="n"/>
      <c r="BB189" s="145" t="n"/>
      <c r="BC189" s="145" t="n"/>
      <c r="BD189" s="145" t="n"/>
      <c r="BE189" s="145" t="n"/>
      <c r="BF189" s="145" t="n"/>
      <c r="BG189" s="145" t="n"/>
      <c r="BH189" s="145" t="n"/>
      <c r="BJ189" s="145" t="n"/>
      <c r="BN189" s="145" t="n"/>
      <c r="BO189" s="145" t="n"/>
      <c r="BP189" s="145" t="n"/>
      <c r="BQ189" s="145" t="n"/>
      <c r="BR189" s="145" t="n"/>
    </row>
    <row r="190">
      <c r="A190" s="74" t="inlineStr">
        <is>
          <t>Purchases of property, plant and equipment</t>
        </is>
      </c>
      <c r="B190" s="145" t="n"/>
      <c r="C190" s="145" t="n"/>
      <c r="D190" s="145" t="n"/>
      <c r="E190" s="145" t="n"/>
      <c r="F190" s="145" t="n"/>
      <c r="G190" s="145" t="n"/>
      <c r="H190" s="145" t="n"/>
      <c r="I190" s="145" t="n"/>
      <c r="J190" s="145" t="n"/>
      <c r="K190" s="145" t="n"/>
      <c r="L190" s="145" t="n"/>
      <c r="M190" s="145" t="n"/>
      <c r="N190" s="145" t="n">
        <v>-4953</v>
      </c>
      <c r="O190" s="145" t="n">
        <v>-8701</v>
      </c>
      <c r="P190" s="145" t="n">
        <v>-14201</v>
      </c>
      <c r="Q190" s="145" t="n">
        <v>-28374</v>
      </c>
      <c r="R190" s="145" t="n">
        <v>-9587</v>
      </c>
      <c r="S190" s="145" t="n">
        <v>-22786</v>
      </c>
      <c r="T190" s="145" t="n">
        <v>-34750</v>
      </c>
      <c r="U190" s="145" t="n">
        <v>-53007</v>
      </c>
      <c r="V190" s="145" t="n">
        <v>-13779</v>
      </c>
      <c r="W190" s="145" t="n">
        <v>-35966</v>
      </c>
      <c r="X190" s="145" t="n">
        <v>-51715</v>
      </c>
      <c r="Y190" s="145" t="n">
        <v>-68184</v>
      </c>
      <c r="Z190" s="145" t="n">
        <v>-17746</v>
      </c>
      <c r="AA190" s="145" t="n">
        <v>-34263</v>
      </c>
      <c r="AB190" s="145" t="n">
        <v>-48333</v>
      </c>
      <c r="AC190" s="145" t="n">
        <v>-70919</v>
      </c>
      <c r="AD190" s="145" t="n">
        <v>-11456</v>
      </c>
      <c r="AE190" s="145" t="n">
        <v>-45781</v>
      </c>
      <c r="AF190" s="145" t="n">
        <v>-72723</v>
      </c>
      <c r="AG190" s="145" t="n">
        <v>-88601</v>
      </c>
      <c r="AH190" s="145" t="n">
        <v>-14027</v>
      </c>
      <c r="AI190" s="145" t="n">
        <v>-32606</v>
      </c>
      <c r="AJ190" s="145" t="n">
        <v>-50759</v>
      </c>
      <c r="AK190" s="145" t="n">
        <v>-70119</v>
      </c>
      <c r="AL190" s="145" t="n">
        <v>-24960</v>
      </c>
      <c r="AM190" s="145" t="n">
        <v>-70863</v>
      </c>
      <c r="AN190" s="145" t="n">
        <v>-100047</v>
      </c>
      <c r="AO190" s="145" t="n">
        <v>-127042</v>
      </c>
      <c r="AP190" s="145" t="n">
        <v>-21875</v>
      </c>
      <c r="AQ190" s="145" t="n">
        <v>-43632</v>
      </c>
      <c r="AR190" s="145" t="n">
        <v>-99221</v>
      </c>
      <c r="AS190" s="145" t="n">
        <v>-126535</v>
      </c>
      <c r="AT190" s="145" t="n">
        <v>-39113</v>
      </c>
      <c r="AU190" s="145" t="n">
        <v>-96516</v>
      </c>
      <c r="AV190" s="145" t="n">
        <v>-133355</v>
      </c>
      <c r="AW190" s="145" t="n">
        <v>-160343</v>
      </c>
      <c r="AX190" s="145" t="n">
        <v>-32839</v>
      </c>
      <c r="AY190" s="145" t="n">
        <v>-86492</v>
      </c>
      <c r="AZ190" s="145" t="n">
        <v>-107540</v>
      </c>
      <c r="BA190" s="145" t="n">
        <v>-133536</v>
      </c>
      <c r="BB190" s="145" t="n">
        <v>-17801</v>
      </c>
      <c r="BC190" s="145" t="n">
        <v>-37370</v>
      </c>
      <c r="BD190" s="145" t="n">
        <v>-61871</v>
      </c>
      <c r="BE190" s="145" t="n">
        <v>-87696</v>
      </c>
      <c r="BF190" s="145" t="n">
        <v>-27421</v>
      </c>
      <c r="BG190" s="145" t="n">
        <v>-54344</v>
      </c>
      <c r="BH190" s="145" t="n">
        <v>-93857</v>
      </c>
      <c r="BI190" s="145" t="n">
        <v>-123108</v>
      </c>
      <c r="BJ190" s="145" t="n">
        <v>-25177</v>
      </c>
      <c r="BK190" s="145" t="n">
        <v>-59903</v>
      </c>
      <c r="BL190" s="145" t="n">
        <v>-84552</v>
      </c>
      <c r="BM190" s="145" t="n">
        <v>-110141</v>
      </c>
      <c r="BN190" s="145" t="n">
        <v>-33404</v>
      </c>
      <c r="BO190" s="145" t="n">
        <v>-59139</v>
      </c>
      <c r="BP190" s="145" t="n">
        <v>-85256</v>
      </c>
      <c r="BQ190" s="145" t="n">
        <v>-110483</v>
      </c>
      <c r="BR190" s="145" t="n">
        <v>-28052</v>
      </c>
      <c r="BS190" t="n">
        <v>-24218</v>
      </c>
      <c r="BT190" t="inlineStr">
        <is>
          <t>IPGP-Financial-Data-Workbook-2024-Q2.xlsx|Cash Flows|27|93</t>
        </is>
      </c>
    </row>
    <row r="191">
      <c r="A191" s="74" t="inlineStr">
        <is>
          <t>Purchase of intangible assets</t>
        </is>
      </c>
      <c r="B191" s="145" t="n"/>
      <c r="C191" s="145" t="n"/>
      <c r="D191" s="145" t="n"/>
      <c r="E191" s="145" t="n"/>
      <c r="F191" s="145" t="n"/>
      <c r="G191" s="145" t="n"/>
      <c r="H191" s="145" t="n"/>
      <c r="I191" s="145" t="n"/>
      <c r="J191" s="145" t="n"/>
      <c r="K191" s="145" t="n"/>
      <c r="L191" s="145" t="n"/>
      <c r="M191" s="145" t="n">
        <v>0</v>
      </c>
      <c r="N191" s="145" t="n">
        <v>0</v>
      </c>
      <c r="O191" s="145" t="n">
        <v>0</v>
      </c>
      <c r="P191" s="145" t="n">
        <v>0</v>
      </c>
      <c r="Q191" s="145" t="n">
        <v>0</v>
      </c>
      <c r="R191" s="145" t="n">
        <v>0</v>
      </c>
      <c r="S191" s="145" t="n">
        <v>0</v>
      </c>
      <c r="T191" s="145" t="n">
        <v>0</v>
      </c>
      <c r="U191" s="145" t="n">
        <v>0</v>
      </c>
      <c r="V191" s="145" t="n">
        <v>0</v>
      </c>
      <c r="W191" s="145" t="n">
        <v>0</v>
      </c>
      <c r="X191" s="145" t="n">
        <v>0</v>
      </c>
      <c r="Y191" s="145" t="n">
        <v>0</v>
      </c>
      <c r="Z191" s="145" t="n">
        <v>0</v>
      </c>
      <c r="AA191" s="145" t="n">
        <v>0</v>
      </c>
      <c r="AB191" s="145" t="n">
        <v>0</v>
      </c>
      <c r="AC191" s="145" t="n">
        <v>0</v>
      </c>
      <c r="AD191" s="145" t="n">
        <v>0</v>
      </c>
      <c r="AE191" s="145" t="n">
        <v>0</v>
      </c>
      <c r="AF191" s="145" t="n">
        <v>-2000</v>
      </c>
      <c r="AG191" s="145" t="n">
        <v>-2000</v>
      </c>
      <c r="AH191" s="145" t="n">
        <v>0</v>
      </c>
      <c r="AI191" s="145" t="n">
        <v>0</v>
      </c>
      <c r="AJ191" s="145" t="n">
        <v>0</v>
      </c>
      <c r="AK191" s="145" t="n">
        <v>0</v>
      </c>
      <c r="AL191" s="145" t="n">
        <v>0</v>
      </c>
      <c r="AM191" s="145" t="n">
        <v>0</v>
      </c>
      <c r="AN191" s="145" t="n">
        <v>0</v>
      </c>
      <c r="AO191" s="145" t="n">
        <v>0</v>
      </c>
      <c r="AP191" s="145" t="n">
        <v>0</v>
      </c>
      <c r="AQ191" s="145" t="n">
        <v>0</v>
      </c>
      <c r="AR191" s="145" t="n">
        <v>0</v>
      </c>
      <c r="AS191" s="145" t="n">
        <v>0</v>
      </c>
      <c r="AT191" s="145" t="n">
        <v>0</v>
      </c>
      <c r="AU191" s="145" t="n">
        <v>0</v>
      </c>
      <c r="AV191" s="145" t="n">
        <v>0</v>
      </c>
      <c r="AW191" s="145" t="n">
        <v>0</v>
      </c>
      <c r="AX191" s="145" t="n">
        <v>0</v>
      </c>
      <c r="AY191" s="145" t="n">
        <v>0</v>
      </c>
      <c r="AZ191" s="145" t="n">
        <v>0</v>
      </c>
      <c r="BA191" s="145" t="n">
        <v>0</v>
      </c>
      <c r="BB191" s="145" t="n">
        <v>0</v>
      </c>
      <c r="BC191" s="145" t="n">
        <v>0</v>
      </c>
      <c r="BD191" s="145" t="n">
        <v>0</v>
      </c>
      <c r="BE191" s="145" t="n">
        <v>0</v>
      </c>
      <c r="BF191" s="145" t="n">
        <v>0</v>
      </c>
      <c r="BG191" s="145" t="n">
        <v>0</v>
      </c>
      <c r="BH191" s="145" t="n">
        <v>0</v>
      </c>
      <c r="BI191" s="145" t="n">
        <v>0</v>
      </c>
      <c r="BJ191" s="145" t="n">
        <v>0</v>
      </c>
      <c r="BK191" s="145" t="n">
        <v>0</v>
      </c>
      <c r="BL191" s="145" t="n">
        <v>0</v>
      </c>
      <c r="BM191" s="145" t="n">
        <v>0</v>
      </c>
      <c r="BN191" s="145" t="n">
        <v>0</v>
      </c>
      <c r="BO191" s="145" t="n">
        <v>0</v>
      </c>
      <c r="BP191" s="145" t="n"/>
      <c r="BQ191" s="145" t="n"/>
      <c r="BR191" s="145" t="n"/>
    </row>
    <row r="192">
      <c r="A192" s="74" t="inlineStr">
        <is>
          <t>Proceeds from sales of property, plant and equipment</t>
        </is>
      </c>
      <c r="B192" s="145" t="n"/>
      <c r="C192" s="145" t="n"/>
      <c r="D192" s="145" t="n"/>
      <c r="E192" s="145" t="n"/>
      <c r="F192" s="145" t="n"/>
      <c r="G192" s="145" t="n"/>
      <c r="H192" s="145" t="n"/>
      <c r="I192" s="145" t="n"/>
      <c r="J192" s="145" t="n"/>
      <c r="K192" s="145" t="n"/>
      <c r="L192" s="145" t="n"/>
      <c r="M192" s="145" t="n">
        <v>0</v>
      </c>
      <c r="N192" s="145" t="n">
        <v>0</v>
      </c>
      <c r="O192" s="145" t="n">
        <v>0</v>
      </c>
      <c r="P192" s="145" t="n">
        <v>0</v>
      </c>
      <c r="Q192" s="145" t="n">
        <v>0</v>
      </c>
      <c r="R192" s="145" t="n">
        <v>0</v>
      </c>
      <c r="S192" s="145" t="n">
        <v>0</v>
      </c>
      <c r="T192" s="145" t="n">
        <v>0</v>
      </c>
      <c r="U192" s="145" t="n">
        <v>0</v>
      </c>
      <c r="V192" s="145" t="n">
        <v>0</v>
      </c>
      <c r="W192" s="145" t="n">
        <v>0</v>
      </c>
      <c r="X192" s="145" t="n">
        <v>0</v>
      </c>
      <c r="Y192" s="145" t="n">
        <v>0</v>
      </c>
      <c r="Z192" s="145" t="n">
        <v>89</v>
      </c>
      <c r="AA192" s="145" t="n">
        <v>166</v>
      </c>
      <c r="AB192" s="145" t="n">
        <v>202</v>
      </c>
      <c r="AC192" s="145" t="n">
        <v>236</v>
      </c>
      <c r="AD192" s="145" t="n">
        <v>119</v>
      </c>
      <c r="AE192" s="145" t="n">
        <v>254</v>
      </c>
      <c r="AF192" s="145" t="n">
        <v>418</v>
      </c>
      <c r="AG192" s="145" t="n">
        <v>434</v>
      </c>
      <c r="AH192" s="145" t="n">
        <v>131</v>
      </c>
      <c r="AI192" s="145" t="n">
        <v>139</v>
      </c>
      <c r="AJ192" s="145" t="n">
        <v>231</v>
      </c>
      <c r="AK192" s="145" t="n">
        <v>164</v>
      </c>
      <c r="AL192" s="145" t="n">
        <v>129</v>
      </c>
      <c r="AM192" s="145" t="n">
        <v>184</v>
      </c>
      <c r="AN192" s="145" t="n">
        <v>220</v>
      </c>
      <c r="AO192" s="145" t="n">
        <v>658</v>
      </c>
      <c r="AP192" s="145" t="n">
        <v>99</v>
      </c>
      <c r="AQ192" s="145" t="n">
        <v>15284</v>
      </c>
      <c r="AR192" s="145" t="n">
        <v>15437</v>
      </c>
      <c r="AS192" s="145" t="n">
        <v>15882</v>
      </c>
      <c r="AT192" s="145" t="n">
        <v>210</v>
      </c>
      <c r="AU192" s="145" t="n">
        <v>641</v>
      </c>
      <c r="AV192" s="145" t="n">
        <v>755</v>
      </c>
      <c r="AW192" s="145" t="n">
        <v>1026</v>
      </c>
      <c r="AX192" s="145" t="n">
        <v>181</v>
      </c>
      <c r="AY192" s="145" t="n">
        <v>288</v>
      </c>
      <c r="AZ192" s="145" t="n">
        <v>348</v>
      </c>
      <c r="BA192" s="145" t="n">
        <v>661</v>
      </c>
      <c r="BB192" s="145" t="n">
        <v>139</v>
      </c>
      <c r="BC192" s="145" t="n">
        <v>460</v>
      </c>
      <c r="BD192" s="145" t="n">
        <v>689</v>
      </c>
      <c r="BE192" s="145" t="n">
        <v>889</v>
      </c>
      <c r="BF192" s="145" t="n">
        <v>130</v>
      </c>
      <c r="BG192" s="145" t="n">
        <v>258</v>
      </c>
      <c r="BH192" s="145" t="n">
        <v>859</v>
      </c>
      <c r="BI192" s="145" t="n">
        <v>1409</v>
      </c>
      <c r="BJ192" s="145" t="n">
        <v>428</v>
      </c>
      <c r="BK192" s="145" t="n">
        <v>645</v>
      </c>
      <c r="BL192" s="145" t="n">
        <v>837</v>
      </c>
      <c r="BM192" s="145" t="n">
        <v>26862</v>
      </c>
      <c r="BN192" s="145" t="n">
        <v>1600</v>
      </c>
      <c r="BO192" s="145" t="n">
        <v>1740</v>
      </c>
      <c r="BP192" s="145" t="n">
        <v>30425</v>
      </c>
      <c r="BQ192" s="145" t="n">
        <v>31241</v>
      </c>
      <c r="BR192" s="145" t="n">
        <v>25262</v>
      </c>
      <c r="BS192" t="n">
        <v>3012</v>
      </c>
      <c r="BT192" t="inlineStr">
        <is>
          <t>IPGP-Financial-Data-Workbook-2024-Q2.xlsx|Cash Flows|29|93</t>
        </is>
      </c>
    </row>
    <row r="193">
      <c r="A193" s="74" t="inlineStr">
        <is>
          <t>Proceeds from short-term investments</t>
        </is>
      </c>
      <c r="B193" s="145" t="n"/>
      <c r="C193" s="145" t="n"/>
      <c r="D193" s="145" t="n"/>
      <c r="E193" s="145" t="n"/>
      <c r="F193" s="145" t="n"/>
      <c r="G193" s="145" t="n"/>
      <c r="H193" s="145" t="n"/>
      <c r="I193" s="145" t="n"/>
      <c r="J193" s="145" t="n"/>
      <c r="K193" s="145" t="n"/>
      <c r="L193" s="145" t="n"/>
      <c r="M193" s="145" t="n">
        <v>0</v>
      </c>
      <c r="N193" s="145" t="n">
        <v>0</v>
      </c>
      <c r="O193" s="145" t="n">
        <v>0</v>
      </c>
      <c r="P193" s="145" t="n">
        <v>0</v>
      </c>
      <c r="Q193" s="145" t="n">
        <v>0</v>
      </c>
      <c r="R193" s="145" t="n">
        <v>0</v>
      </c>
      <c r="S193" s="145" t="n">
        <v>0</v>
      </c>
      <c r="T193" s="145" t="n">
        <v>0</v>
      </c>
      <c r="U193" s="145" t="n">
        <v>0</v>
      </c>
      <c r="V193" s="145" t="n">
        <v>7001</v>
      </c>
      <c r="W193" s="145" t="n">
        <v>15687</v>
      </c>
      <c r="X193" s="145" t="n">
        <v>25452</v>
      </c>
      <c r="Y193" s="145" t="n">
        <v>25451</v>
      </c>
      <c r="Z193" s="145" t="n">
        <v>0</v>
      </c>
      <c r="AA193" s="145" t="n">
        <v>0</v>
      </c>
      <c r="AB193" s="145" t="n">
        <v>0</v>
      </c>
      <c r="AC193" s="145" t="n">
        <v>495</v>
      </c>
      <c r="AD193" s="145" t="n">
        <v>0</v>
      </c>
      <c r="AE193" s="145" t="n">
        <v>0</v>
      </c>
      <c r="AF193" s="145" t="n">
        <v>0</v>
      </c>
      <c r="AG193" s="145" t="n">
        <v>0</v>
      </c>
      <c r="AH193" s="145" t="n">
        <v>0</v>
      </c>
      <c r="AI193" s="145" t="n">
        <v>0</v>
      </c>
      <c r="AJ193" s="145" t="n">
        <v>0</v>
      </c>
      <c r="AK193" s="145" t="n">
        <v>0</v>
      </c>
      <c r="AL193" s="145" t="n">
        <v>10000</v>
      </c>
      <c r="AM193" s="145" t="n">
        <v>41720</v>
      </c>
      <c r="AN193" s="145" t="n">
        <v>158808</v>
      </c>
      <c r="AO193" s="145" t="n">
        <v>198808</v>
      </c>
      <c r="AP193" s="145" t="n">
        <v>70370</v>
      </c>
      <c r="AQ193" s="145" t="n">
        <v>156171</v>
      </c>
      <c r="AR193" s="145" t="n">
        <v>188143</v>
      </c>
      <c r="AS193" s="145" t="n">
        <v>212515</v>
      </c>
      <c r="AT193" s="145" t="n">
        <v>70161</v>
      </c>
      <c r="AU193" s="145" t="n">
        <v>-289830</v>
      </c>
      <c r="AV193" s="145" t="n">
        <v>-566498</v>
      </c>
      <c r="AW193" s="145" t="n">
        <v>-765310</v>
      </c>
      <c r="AX193" s="145" t="n">
        <v>-178101</v>
      </c>
      <c r="AY193" s="145" t="n">
        <v>-339828</v>
      </c>
      <c r="AZ193" s="145" t="n">
        <v>-557674</v>
      </c>
      <c r="BA193" s="145" t="n">
        <v>768078</v>
      </c>
      <c r="BB193" s="145" t="n">
        <v>-308195</v>
      </c>
      <c r="BC193" s="145" t="n">
        <v>-421321</v>
      </c>
      <c r="BD193" s="145" t="n">
        <v>-732729</v>
      </c>
      <c r="BE193" s="145" t="n">
        <v>-1111555</v>
      </c>
      <c r="BF193" s="145" t="n">
        <v>-513564</v>
      </c>
      <c r="BG193" s="145" t="n">
        <v>-1014033</v>
      </c>
      <c r="BH193" s="145" t="n">
        <v>-1437193</v>
      </c>
      <c r="BI193" s="145" t="n">
        <v>-1940605</v>
      </c>
      <c r="BJ193" s="145" t="n">
        <v>-475435</v>
      </c>
      <c r="BK193" s="145" t="n">
        <v>-583828</v>
      </c>
      <c r="BL193" s="145" t="n">
        <v>-914598</v>
      </c>
      <c r="BM193" s="145" t="n">
        <v>-1117022</v>
      </c>
      <c r="BN193" s="145" t="n">
        <v>-343820</v>
      </c>
      <c r="BO193" s="145" t="n">
        <v>-583347</v>
      </c>
      <c r="BP193" s="145" t="n">
        <v>-898455</v>
      </c>
      <c r="BQ193" s="145" t="n">
        <v>-1232863</v>
      </c>
      <c r="BR193" s="145" t="n">
        <v>-226521</v>
      </c>
      <c r="BS193" t="n">
        <v>-75020</v>
      </c>
      <c r="BT193" t="inlineStr">
        <is>
          <t>IPGP-Financial-Data-Workbook-2024-Q2.xlsx|Cash Flows|30|93</t>
        </is>
      </c>
    </row>
    <row r="194">
      <c r="A194" s="74" t="inlineStr">
        <is>
          <t>Purchases of short-term investments</t>
        </is>
      </c>
      <c r="B194" s="145" t="n"/>
      <c r="C194" s="145" t="n"/>
      <c r="D194" s="145" t="n"/>
      <c r="E194" s="145" t="n"/>
      <c r="F194" s="145" t="n"/>
      <c r="G194" s="145" t="n"/>
      <c r="H194" s="145" t="n"/>
      <c r="I194" s="145" t="n"/>
      <c r="J194" s="145" t="n"/>
      <c r="K194" s="145" t="n"/>
      <c r="L194" s="145" t="n"/>
      <c r="M194" s="145" t="n">
        <v>0</v>
      </c>
      <c r="N194" s="145" t="n">
        <v>0</v>
      </c>
      <c r="O194" s="145" t="n">
        <v>0</v>
      </c>
      <c r="P194" s="145" t="n">
        <v>0</v>
      </c>
      <c r="Q194" s="145" t="n">
        <v>0</v>
      </c>
      <c r="R194" s="145" t="n">
        <v>0</v>
      </c>
      <c r="S194" s="145" t="n">
        <v>0</v>
      </c>
      <c r="T194" s="145" t="n">
        <v>0</v>
      </c>
      <c r="U194" s="145" t="n">
        <v>-25451</v>
      </c>
      <c r="V194" s="145" t="n">
        <v>0</v>
      </c>
      <c r="W194" s="145" t="n">
        <v>0</v>
      </c>
      <c r="X194" s="145" t="n">
        <v>0</v>
      </c>
      <c r="Y194" s="145" t="n">
        <v>0</v>
      </c>
      <c r="Z194" s="145" t="n">
        <v>0</v>
      </c>
      <c r="AA194" s="145" t="n">
        <v>0</v>
      </c>
      <c r="AB194" s="145" t="n">
        <v>0</v>
      </c>
      <c r="AC194" s="145" t="n">
        <v>0</v>
      </c>
      <c r="AD194" s="145" t="n">
        <v>0</v>
      </c>
      <c r="AE194" s="145" t="n">
        <v>0</v>
      </c>
      <c r="AF194" s="145" t="n">
        <v>0</v>
      </c>
      <c r="AG194" s="145" t="n">
        <v>0</v>
      </c>
      <c r="AH194" s="145" t="n">
        <v>0</v>
      </c>
      <c r="AI194" s="145" t="n">
        <v>0</v>
      </c>
      <c r="AJ194" s="145" t="n">
        <v>0</v>
      </c>
      <c r="AK194" s="145" t="n">
        <v>-106747</v>
      </c>
      <c r="AL194" s="145" t="n">
        <v>-29899</v>
      </c>
      <c r="AM194" s="145" t="n">
        <v>-62211</v>
      </c>
      <c r="AN194" s="145" t="n">
        <v>-179374</v>
      </c>
      <c r="AO194" s="145" t="n">
        <v>-299508</v>
      </c>
      <c r="AP194" s="145" t="n">
        <v>-28173</v>
      </c>
      <c r="AQ194" s="145" t="n">
        <v>-71244</v>
      </c>
      <c r="AR194" s="145" t="n">
        <v>-146585</v>
      </c>
      <c r="AS194" s="145" t="n">
        <v>-211832</v>
      </c>
      <c r="AT194" s="145" t="n">
        <v>-70777</v>
      </c>
      <c r="AU194" s="145" t="n">
        <v>161618</v>
      </c>
      <c r="AV194" s="145" t="n">
        <v>286346</v>
      </c>
      <c r="AW194" s="145" t="n">
        <v>470328</v>
      </c>
      <c r="AX194" s="145" t="n">
        <v>202856</v>
      </c>
      <c r="AY194" s="145" t="n">
        <v>334680</v>
      </c>
      <c r="AZ194" s="145" t="n">
        <v>568501</v>
      </c>
      <c r="BA194" s="145" t="n">
        <v>-760300</v>
      </c>
      <c r="BB194" s="145" t="n">
        <v>186024</v>
      </c>
      <c r="BC194" s="145" t="n">
        <v>422912</v>
      </c>
      <c r="BD194" s="145" t="n">
        <v>697816</v>
      </c>
      <c r="BE194" s="145" t="n">
        <v>1099224</v>
      </c>
      <c r="BF194" s="145" t="n">
        <v>480163</v>
      </c>
      <c r="BG194" s="145" t="n">
        <v>785023</v>
      </c>
      <c r="BH194" s="145" t="n">
        <v>1226445</v>
      </c>
      <c r="BI194" s="145" t="n">
        <v>1647537</v>
      </c>
      <c r="BJ194" s="145" t="n">
        <v>505818</v>
      </c>
      <c r="BK194" s="145" t="n">
        <v>925657</v>
      </c>
      <c r="BL194" s="145" t="n">
        <v>1355883</v>
      </c>
      <c r="BM194" s="145" t="n">
        <v>1446355</v>
      </c>
      <c r="BN194" s="145" t="n">
        <v>279499</v>
      </c>
      <c r="BO194" s="145" t="n">
        <v>549879</v>
      </c>
      <c r="BP194" s="145" t="n">
        <v>789844</v>
      </c>
      <c r="BQ194" s="145" t="n">
        <v>1073993</v>
      </c>
      <c r="BR194" s="145" t="n">
        <v>252890</v>
      </c>
      <c r="BS194" t="n">
        <v>381103</v>
      </c>
      <c r="BT194" t="inlineStr">
        <is>
          <t>IPGP-Financial-Data-Workbook-2024-Q2.xlsx|Cash Flows|31|93</t>
        </is>
      </c>
    </row>
    <row r="195">
      <c r="A195" s="74" t="inlineStr">
        <is>
          <t>Acquisition of businesses</t>
        </is>
      </c>
      <c r="B195" s="145" t="n"/>
      <c r="C195" s="145" t="n"/>
      <c r="D195" s="145" t="n"/>
      <c r="E195" s="145" t="n"/>
      <c r="F195" s="145" t="n"/>
      <c r="G195" s="145" t="n"/>
      <c r="H195" s="145" t="n"/>
      <c r="I195" s="145" t="n"/>
      <c r="J195" s="145" t="n"/>
      <c r="K195" s="145" t="n"/>
      <c r="L195" s="145" t="n"/>
      <c r="M195" s="145" t="n"/>
      <c r="N195" s="145" t="n">
        <v>-748</v>
      </c>
      <c r="O195" s="145" t="n">
        <v>-4108</v>
      </c>
      <c r="P195" s="145" t="n">
        <v>-4108</v>
      </c>
      <c r="Q195" s="145" t="n">
        <v>-4108</v>
      </c>
      <c r="R195" s="145" t="n">
        <v>-450</v>
      </c>
      <c r="S195" s="145" t="n">
        <v>-450</v>
      </c>
      <c r="T195" s="145" t="n">
        <v>-450</v>
      </c>
      <c r="U195" s="145" t="n">
        <v>-750</v>
      </c>
      <c r="V195" s="145" t="n">
        <v>0</v>
      </c>
      <c r="W195" s="145" t="n">
        <v>0</v>
      </c>
      <c r="X195" s="145" t="n">
        <v>-11596</v>
      </c>
      <c r="Y195" s="145" t="n">
        <v>-11596</v>
      </c>
      <c r="Z195" s="145" t="n">
        <v>-5555</v>
      </c>
      <c r="AA195" s="145" t="n">
        <v>-5555</v>
      </c>
      <c r="AB195" s="145" t="n">
        <v>-5555</v>
      </c>
      <c r="AC195" s="145" t="n">
        <v>-5555</v>
      </c>
      <c r="AD195" s="145" t="n">
        <v>0</v>
      </c>
      <c r="AE195" s="145" t="n">
        <v>0</v>
      </c>
      <c r="AF195" s="145" t="n">
        <v>0</v>
      </c>
      <c r="AG195" s="145" t="n">
        <v>0</v>
      </c>
      <c r="AH195" s="145" t="n">
        <v>-4958</v>
      </c>
      <c r="AI195" s="145" t="n">
        <v>-4958</v>
      </c>
      <c r="AJ195" s="145" t="n">
        <v>-4958</v>
      </c>
      <c r="AK195" s="145" t="n">
        <v>-4958</v>
      </c>
      <c r="AL195" s="145" t="n">
        <v>0</v>
      </c>
      <c r="AM195" s="145" t="n">
        <v>-46527</v>
      </c>
      <c r="AN195" s="145" t="n">
        <v>-46527</v>
      </c>
      <c r="AO195" s="145" t="n">
        <v>-47792</v>
      </c>
      <c r="AP195" s="145" t="n">
        <v>0</v>
      </c>
      <c r="AQ195" s="145" t="n">
        <v>-11307</v>
      </c>
      <c r="AR195" s="145" t="n">
        <v>-50594</v>
      </c>
      <c r="AS195" s="145" t="n">
        <v>-60483</v>
      </c>
      <c r="AT195" s="145" t="n">
        <v>0</v>
      </c>
      <c r="AU195" s="145" t="n">
        <v>-4422</v>
      </c>
      <c r="AV195" s="145" t="n">
        <v>-4423</v>
      </c>
      <c r="AW195" s="145" t="n">
        <v>-109115</v>
      </c>
      <c r="AX195" s="145" t="n">
        <v>-20005</v>
      </c>
      <c r="AY195" s="145" t="n">
        <v>-15115</v>
      </c>
      <c r="AZ195" s="145" t="n">
        <v>-15115</v>
      </c>
      <c r="BA195" s="145" t="n">
        <v>-15115</v>
      </c>
      <c r="BB195" s="145" t="n">
        <v>0</v>
      </c>
      <c r="BC195" s="145" t="n">
        <v>0</v>
      </c>
      <c r="BD195" s="145" t="n">
        <v>0</v>
      </c>
      <c r="BE195" s="145" t="n">
        <v>-429</v>
      </c>
      <c r="BF195" s="145" t="n">
        <v>0</v>
      </c>
      <c r="BG195" s="145" t="n">
        <v>0</v>
      </c>
      <c r="BH195" s="145" t="n">
        <v>0</v>
      </c>
      <c r="BI195" s="145" t="n">
        <v>0</v>
      </c>
      <c r="BJ195" s="145" t="n">
        <v>-2000</v>
      </c>
      <c r="BK195" s="145" t="n">
        <v>-2000</v>
      </c>
      <c r="BL195" s="145" t="n">
        <v>-2000</v>
      </c>
      <c r="BM195" s="145" t="n">
        <v>-2000</v>
      </c>
      <c r="BN195" s="145" t="n">
        <v>0</v>
      </c>
      <c r="BO195" s="145" t="n"/>
      <c r="BP195" s="145" t="n"/>
      <c r="BQ195" s="145" t="n"/>
      <c r="BR195" s="145" t="n"/>
    </row>
    <row r="196">
      <c r="A196" s="74" t="inlineStr">
        <is>
          <t>Others</t>
        </is>
      </c>
      <c r="B196" s="145" t="n"/>
      <c r="C196" s="145" t="n"/>
      <c r="D196" s="145" t="n"/>
      <c r="E196" s="145" t="n"/>
      <c r="F196" s="145" t="n"/>
      <c r="G196" s="145" t="n"/>
      <c r="H196" s="145" t="n"/>
      <c r="I196" s="145" t="n"/>
      <c r="J196" s="145" t="n"/>
      <c r="K196" s="145" t="n"/>
      <c r="L196" s="145" t="n"/>
      <c r="M196" s="145" t="n"/>
      <c r="N196" s="145" t="n">
        <v>181</v>
      </c>
      <c r="O196" s="145" t="n">
        <v>117</v>
      </c>
      <c r="P196" s="145" t="n">
        <v>171</v>
      </c>
      <c r="Q196" s="145" t="n">
        <v>-77</v>
      </c>
      <c r="R196" s="145" t="n">
        <v>149</v>
      </c>
      <c r="S196" s="145" t="n">
        <v>112</v>
      </c>
      <c r="T196" s="145" t="n">
        <v>189</v>
      </c>
      <c r="U196" s="145" t="n">
        <v>109</v>
      </c>
      <c r="V196" s="145" t="n">
        <v>149</v>
      </c>
      <c r="W196" s="145" t="n">
        <v>-39</v>
      </c>
      <c r="X196" s="145" t="n">
        <v>-313</v>
      </c>
      <c r="Y196" s="145" t="n">
        <v>-928</v>
      </c>
      <c r="Z196" s="145" t="n">
        <v>375</v>
      </c>
      <c r="AA196" s="145" t="n">
        <v>407</v>
      </c>
      <c r="AB196" s="145" t="n">
        <v>442</v>
      </c>
      <c r="AC196" s="145" t="n">
        <v>-143</v>
      </c>
      <c r="AD196" s="145" t="n">
        <v>32</v>
      </c>
      <c r="AE196" s="145" t="n">
        <v>42</v>
      </c>
      <c r="AF196" s="145" t="n">
        <v>66</v>
      </c>
      <c r="AG196" s="145" t="n">
        <v>87</v>
      </c>
      <c r="AH196" s="145" t="n">
        <v>60</v>
      </c>
      <c r="AI196" s="145" t="n">
        <v>86</v>
      </c>
      <c r="AJ196" s="145" t="n">
        <v>63</v>
      </c>
      <c r="AK196" s="145" t="n">
        <v>93</v>
      </c>
      <c r="AL196" s="145" t="n">
        <v>46</v>
      </c>
      <c r="AM196" s="145" t="n">
        <v>72</v>
      </c>
      <c r="AN196" s="145" t="n">
        <v>16</v>
      </c>
      <c r="AO196" s="145" t="n">
        <v>468</v>
      </c>
      <c r="AP196" s="145" t="n">
        <v>-47</v>
      </c>
      <c r="AQ196" s="145" t="n">
        <v>-568</v>
      </c>
      <c r="AR196" s="145" t="n">
        <v>-496</v>
      </c>
      <c r="AS196" s="145" t="n">
        <v>-352</v>
      </c>
      <c r="AT196" s="145" t="n">
        <v>76</v>
      </c>
      <c r="AU196" s="145" t="n">
        <v>188</v>
      </c>
      <c r="AV196" s="145" t="n">
        <v>307</v>
      </c>
      <c r="AW196" s="145" t="n">
        <v>415</v>
      </c>
      <c r="AX196" s="145" t="n">
        <v>-134</v>
      </c>
      <c r="AY196" s="145" t="n">
        <v>209</v>
      </c>
      <c r="AZ196" s="145" t="n">
        <v>243</v>
      </c>
      <c r="BA196" s="145" t="n">
        <v>237</v>
      </c>
      <c r="BB196" s="145" t="n">
        <v>79</v>
      </c>
      <c r="BC196" s="145" t="n">
        <v>115</v>
      </c>
      <c r="BD196" s="145" t="n">
        <v>17</v>
      </c>
      <c r="BE196" s="145" t="n">
        <v>-7</v>
      </c>
      <c r="BF196" s="145" t="n">
        <v>-2</v>
      </c>
      <c r="BG196" s="145" t="n">
        <v>-547</v>
      </c>
      <c r="BH196" s="145" t="n">
        <v>-1078</v>
      </c>
      <c r="BI196" s="145" t="n">
        <v>-1515</v>
      </c>
      <c r="BJ196" s="145" t="n">
        <v>-1164</v>
      </c>
      <c r="BK196" s="145" t="n">
        <v>-350</v>
      </c>
      <c r="BL196" s="145">
        <f>-246+52141</f>
        <v/>
      </c>
      <c r="BM196" s="145">
        <f>52941-43</f>
        <v/>
      </c>
      <c r="BN196" s="145" t="n">
        <v>107</v>
      </c>
      <c r="BO196" s="145" t="n">
        <v>326</v>
      </c>
      <c r="BP196" s="145" t="n">
        <v>446</v>
      </c>
      <c r="BQ196" s="145" t="n">
        <v>558</v>
      </c>
      <c r="BR196" s="145" t="n">
        <v>157</v>
      </c>
      <c r="BS196" t="n">
        <v>31</v>
      </c>
      <c r="BT196" t="inlineStr">
        <is>
          <t>IPGP-Financial-Data-Workbook-2024-Q2.xlsx|Cash Flows|34|93</t>
        </is>
      </c>
    </row>
    <row r="197">
      <c r="A197" s="22" t="inlineStr">
        <is>
          <t>Net cash used in investing activities</t>
        </is>
      </c>
      <c r="B197" s="133" t="n"/>
      <c r="C197" s="133" t="n"/>
      <c r="D197" s="133" t="n"/>
      <c r="E197" s="133" t="n"/>
      <c r="F197" s="133" t="n"/>
      <c r="G197" s="133" t="n"/>
      <c r="H197" s="133" t="n"/>
      <c r="I197" s="133" t="n"/>
      <c r="J197" s="133" t="n"/>
      <c r="K197" s="133" t="n"/>
      <c r="L197" s="133" t="n"/>
      <c r="M197" s="133" t="n"/>
      <c r="N197" s="133" t="n">
        <v>-5520</v>
      </c>
      <c r="O197" s="133" t="n">
        <v>-12692</v>
      </c>
      <c r="P197" s="133" t="n">
        <v>-18138</v>
      </c>
      <c r="Q197" s="133" t="n">
        <v>-32559</v>
      </c>
      <c r="R197" s="133" t="n">
        <v>-9888</v>
      </c>
      <c r="S197" s="133" t="n">
        <v>-23124</v>
      </c>
      <c r="T197" s="133" t="n">
        <v>-35011</v>
      </c>
      <c r="U197" s="133" t="n">
        <v>-79099</v>
      </c>
      <c r="V197" s="133" t="n">
        <v>-6629</v>
      </c>
      <c r="W197" s="133" t="n">
        <v>-20318</v>
      </c>
      <c r="X197" s="133" t="n">
        <v>-38172</v>
      </c>
      <c r="Y197" s="133" t="n">
        <v>-55257</v>
      </c>
      <c r="Z197" s="133" t="n">
        <v>-22837</v>
      </c>
      <c r="AA197" s="133" t="n">
        <v>-39245</v>
      </c>
      <c r="AB197" s="133" t="n">
        <v>-53244</v>
      </c>
      <c r="AC197" s="133" t="n">
        <v>-75886</v>
      </c>
      <c r="AD197" s="133" t="n">
        <v>-11305</v>
      </c>
      <c r="AE197" s="133" t="n">
        <v>-45485</v>
      </c>
      <c r="AF197" s="133" t="n">
        <v>-74239</v>
      </c>
      <c r="AG197" s="133" t="n">
        <v>-90080</v>
      </c>
      <c r="AH197" s="133" t="n">
        <v>-18794</v>
      </c>
      <c r="AI197" s="133" t="n">
        <v>-37339</v>
      </c>
      <c r="AJ197" s="133" t="n">
        <v>-55423</v>
      </c>
      <c r="AK197" s="133" t="n">
        <v>-181567</v>
      </c>
      <c r="AL197" s="133" t="n">
        <v>-44684</v>
      </c>
      <c r="AM197" s="133" t="n">
        <v>-137625</v>
      </c>
      <c r="AN197" s="133" t="n">
        <v>-166904</v>
      </c>
      <c r="AO197" s="133" t="n">
        <v>-274408</v>
      </c>
      <c r="AP197" s="133" t="n">
        <v>20374</v>
      </c>
      <c r="AQ197" s="133" t="n">
        <v>44704</v>
      </c>
      <c r="AR197" s="133" t="n">
        <v>-93316</v>
      </c>
      <c r="AS197" s="133" t="n">
        <v>-170805</v>
      </c>
      <c r="AT197" s="133" t="n">
        <v>-39443</v>
      </c>
      <c r="AU197" s="133" t="n">
        <v>-228321</v>
      </c>
      <c r="AV197" s="133" t="n">
        <v>-416868</v>
      </c>
      <c r="AW197" s="133" t="n">
        <v>-562999</v>
      </c>
      <c r="AX197" s="133" t="n">
        <v>-28042</v>
      </c>
      <c r="AY197" s="133" t="n">
        <v>-106258</v>
      </c>
      <c r="AZ197" s="133" t="n">
        <v>-111237</v>
      </c>
      <c r="BA197" s="133" t="n">
        <v>-139975</v>
      </c>
      <c r="BB197" s="133" t="n">
        <v>-139754</v>
      </c>
      <c r="BC197" s="133" t="n">
        <v>-35204</v>
      </c>
      <c r="BD197" s="133" t="n">
        <v>-96078</v>
      </c>
      <c r="BE197" s="133" t="n">
        <v>-99574</v>
      </c>
      <c r="BF197" s="133">
        <f>SUM(BF190:BF196)</f>
        <v/>
      </c>
      <c r="BG197" s="133" t="n">
        <v>-283643</v>
      </c>
      <c r="BH197" s="133" t="n">
        <v>-304824</v>
      </c>
      <c r="BI197" s="133" t="n">
        <v>-416282</v>
      </c>
      <c r="BJ197" s="133" t="n">
        <v>2470</v>
      </c>
      <c r="BK197" s="133" t="n">
        <v>280221</v>
      </c>
      <c r="BL197" s="133">
        <f>SUM(BL189:BL196)</f>
        <v/>
      </c>
      <c r="BM197" s="133" t="n">
        <v>296952</v>
      </c>
      <c r="BN197" s="133" t="n">
        <v>-96018</v>
      </c>
      <c r="BO197" s="133" t="n">
        <v>-90541</v>
      </c>
      <c r="BP197" s="133" t="n">
        <v>-162996</v>
      </c>
      <c r="BQ197" s="133" t="n">
        <v>-237554</v>
      </c>
      <c r="BR197" s="133" t="n">
        <v>23736</v>
      </c>
      <c r="BS197" t="n">
        <v>284908</v>
      </c>
      <c r="BT197" t="inlineStr">
        <is>
          <t>IPGP-Financial-Data-Workbook-2024-Q2.xlsx|Cash Flows|35|93</t>
        </is>
      </c>
    </row>
    <row r="198">
      <c r="B198" s="145" t="n"/>
      <c r="C198" s="145" t="n"/>
      <c r="D198" s="145" t="n"/>
      <c r="E198" s="145" t="n"/>
      <c r="F198" s="145" t="n"/>
      <c r="G198" s="145" t="n"/>
      <c r="H198" s="145" t="n"/>
      <c r="I198" s="145" t="n"/>
      <c r="J198" s="145" t="n"/>
      <c r="K198" s="145" t="n"/>
      <c r="L198" s="145" t="n"/>
      <c r="M198" s="145" t="n"/>
      <c r="N198" s="145" t="n"/>
      <c r="O198" s="145" t="n"/>
      <c r="P198" s="145" t="n"/>
      <c r="Q198" s="145" t="n"/>
      <c r="R198" s="145" t="n"/>
      <c r="S198" s="145" t="n"/>
      <c r="T198" s="145" t="n"/>
      <c r="U198" s="145" t="n"/>
      <c r="V198" s="145" t="n"/>
      <c r="W198" s="145" t="n"/>
      <c r="X198" s="145" t="n"/>
      <c r="Y198" s="145" t="n"/>
      <c r="Z198" s="145" t="n"/>
      <c r="AA198" s="145" t="n"/>
      <c r="AB198" s="145" t="n"/>
      <c r="AC198" s="145" t="n"/>
      <c r="AD198" s="145" t="n"/>
      <c r="AE198" s="145" t="n"/>
      <c r="AF198" s="145" t="n"/>
      <c r="AG198" s="145" t="n"/>
      <c r="AH198" s="145" t="n"/>
      <c r="AI198" s="145" t="n"/>
      <c r="AJ198" s="145" t="n"/>
      <c r="AK198" s="145" t="n"/>
      <c r="AL198" s="145" t="n"/>
      <c r="AM198" s="145" t="n"/>
      <c r="AN198" s="145" t="n"/>
      <c r="AO198" s="145" t="n"/>
      <c r="AP198" s="145" t="n"/>
      <c r="AQ198" s="145" t="n"/>
      <c r="AR198" s="145" t="n"/>
      <c r="AS198" s="145" t="n"/>
      <c r="AT198" s="145" t="n"/>
      <c r="AU198" s="145" t="n"/>
      <c r="AV198" s="145" t="n"/>
      <c r="AW198" s="145" t="n"/>
      <c r="AX198" s="145" t="n"/>
      <c r="AY198" s="145" t="n"/>
      <c r="AZ198" s="145" t="n"/>
      <c r="BA198" s="145" t="n"/>
      <c r="BB198" s="145" t="n"/>
      <c r="BC198" s="145" t="n"/>
      <c r="BD198" s="145" t="n"/>
      <c r="BE198" s="145" t="n"/>
      <c r="BF198" s="145" t="n"/>
      <c r="BG198" s="145" t="n"/>
      <c r="BH198" s="145" t="n"/>
      <c r="BJ198" s="145" t="n"/>
      <c r="BN198" s="145" t="n"/>
      <c r="BO198" s="145" t="n"/>
      <c r="BP198" s="145" t="n"/>
    </row>
    <row r="199">
      <c r="A199" s="22" t="inlineStr">
        <is>
          <t>CASH FLOWS FROM FINANCING ACTIVITIES:</t>
        </is>
      </c>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c r="AG199" s="22" t="n"/>
      <c r="AH199" s="22" t="n"/>
      <c r="AI199" s="22" t="n"/>
      <c r="AJ199" s="22" t="n"/>
      <c r="AK199" s="22" t="n"/>
      <c r="AL199" s="22" t="n"/>
      <c r="AM199" s="22" t="n"/>
      <c r="AN199" s="22" t="n"/>
      <c r="AO199" s="22" t="n"/>
      <c r="AP199" s="22" t="n"/>
      <c r="AQ199" s="22" t="n"/>
      <c r="AR199" s="22" t="n"/>
      <c r="AS199" s="22" t="n"/>
      <c r="AT199" s="22" t="n"/>
      <c r="AU199" s="22" t="n"/>
      <c r="AV199" s="22" t="n"/>
      <c r="AW199" s="22" t="n"/>
      <c r="AX199" s="22" t="n"/>
      <c r="AY199" s="22" t="n"/>
      <c r="AZ199" s="22" t="n"/>
      <c r="BA199" s="22" t="n"/>
      <c r="BB199" s="22" t="n"/>
      <c r="BC199" s="22" t="n"/>
      <c r="BD199" s="22" t="n"/>
      <c r="BE199" s="22" t="n"/>
      <c r="BF199" s="22" t="n"/>
      <c r="BG199" s="22" t="n"/>
      <c r="BH199" s="22" t="n"/>
      <c r="BJ199" s="22" t="n"/>
      <c r="BN199" s="22" t="n"/>
      <c r="BO199" s="22" t="n"/>
      <c r="BP199" s="22" t="n"/>
    </row>
    <row r="200">
      <c r="A200" s="74" t="inlineStr">
        <is>
          <t>Proceeds from line-of-credit facilities</t>
        </is>
      </c>
      <c r="B200" s="145" t="n"/>
      <c r="C200" s="145" t="n"/>
      <c r="D200" s="145" t="n"/>
      <c r="E200" s="145" t="n"/>
      <c r="F200" s="145" t="n"/>
      <c r="G200" s="145" t="n"/>
      <c r="H200" s="145" t="n"/>
      <c r="I200" s="145" t="n"/>
      <c r="J200" s="145" t="n"/>
      <c r="K200" s="145" t="n"/>
      <c r="L200" s="145" t="n"/>
      <c r="M200" s="145" t="n"/>
      <c r="N200" s="145" t="n">
        <v>4274</v>
      </c>
      <c r="O200" s="145" t="n">
        <v>5543</v>
      </c>
      <c r="P200" s="145" t="n">
        <v>9147</v>
      </c>
      <c r="Q200" s="145" t="n">
        <v>13828</v>
      </c>
      <c r="R200" s="145" t="n">
        <v>3629</v>
      </c>
      <c r="S200" s="145" t="n">
        <v>6951</v>
      </c>
      <c r="T200" s="145" t="n">
        <v>8683</v>
      </c>
      <c r="U200" s="145" t="n">
        <v>10673</v>
      </c>
      <c r="V200" s="145" t="n">
        <v>5027</v>
      </c>
      <c r="W200" s="145" t="n">
        <v>6949</v>
      </c>
      <c r="X200" s="145" t="n">
        <v>9647</v>
      </c>
      <c r="Y200" s="145" t="n">
        <v>12760</v>
      </c>
      <c r="Z200" s="145" t="n">
        <v>8897</v>
      </c>
      <c r="AA200" s="145" t="n">
        <v>11971</v>
      </c>
      <c r="AB200" s="145" t="n">
        <v>14124</v>
      </c>
      <c r="AC200" s="145" t="n">
        <v>16843</v>
      </c>
      <c r="AD200" s="145" t="n">
        <v>10889</v>
      </c>
      <c r="AE200" s="145" t="n">
        <v>15376</v>
      </c>
      <c r="AF200" s="145" t="n">
        <v>26051</v>
      </c>
      <c r="AG200" s="145" t="n">
        <v>33282</v>
      </c>
      <c r="AH200" s="145" t="n">
        <v>3616</v>
      </c>
      <c r="AI200" s="145" t="n">
        <v>9432</v>
      </c>
      <c r="AJ200" s="145" t="n">
        <v>7506</v>
      </c>
      <c r="AK200" s="145" t="n">
        <v>12887</v>
      </c>
      <c r="AL200" s="145" t="n">
        <v>2214</v>
      </c>
      <c r="AM200" s="145" t="n">
        <v>4002</v>
      </c>
      <c r="AN200" s="145" t="n">
        <v>6030</v>
      </c>
      <c r="AO200" s="145" t="n">
        <v>7992</v>
      </c>
      <c r="AP200" s="145" t="n">
        <v>1934</v>
      </c>
      <c r="AQ200" s="145" t="n">
        <v>6761</v>
      </c>
      <c r="AR200" s="145" t="n">
        <v>6761</v>
      </c>
      <c r="AS200" s="145" t="n">
        <v>6761</v>
      </c>
      <c r="AT200" s="145" t="n">
        <v>255</v>
      </c>
      <c r="AU200" s="145" t="n">
        <v>255</v>
      </c>
      <c r="AV200" s="145" t="n">
        <v>255</v>
      </c>
      <c r="AW200" s="145" t="n">
        <v>255</v>
      </c>
      <c r="AX200" s="145" t="n"/>
      <c r="AY200" s="145" t="n"/>
      <c r="AZ200" s="145" t="n">
        <v>15</v>
      </c>
      <c r="BA200" s="145" t="n">
        <v>15</v>
      </c>
      <c r="BB200" s="145" t="n">
        <v>0</v>
      </c>
      <c r="BC200" s="145" t="n">
        <v>0</v>
      </c>
      <c r="BD200" s="145" t="n">
        <v>0</v>
      </c>
      <c r="BE200" s="145" t="n"/>
      <c r="BF200" s="145" t="n">
        <v>0</v>
      </c>
      <c r="BG200" s="145" t="n">
        <v>0</v>
      </c>
      <c r="BH200" s="145" t="n">
        <v>0</v>
      </c>
      <c r="BI200" s="145" t="n">
        <v>0</v>
      </c>
      <c r="BJ200" s="145" t="n">
        <v>0</v>
      </c>
      <c r="BK200" s="145" t="n">
        <v>0</v>
      </c>
      <c r="BL200" s="145" t="n">
        <v>0</v>
      </c>
      <c r="BM200" s="145" t="n">
        <v>0</v>
      </c>
      <c r="BN200" s="145" t="n">
        <v>0</v>
      </c>
      <c r="BO200" s="145" t="n">
        <v>0</v>
      </c>
      <c r="BP200" s="145" t="n">
        <v>0</v>
      </c>
      <c r="BQ200" s="145" t="n">
        <v>0</v>
      </c>
    </row>
    <row r="201">
      <c r="A201" s="74" t="inlineStr">
        <is>
          <t>Payments on line-of-credit facilities</t>
        </is>
      </c>
      <c r="B201" s="145" t="n"/>
      <c r="C201" s="145" t="n"/>
      <c r="D201" s="145" t="n"/>
      <c r="E201" s="145" t="n"/>
      <c r="F201" s="145" t="n"/>
      <c r="G201" s="145" t="n"/>
      <c r="H201" s="145" t="n"/>
      <c r="I201" s="145" t="n"/>
      <c r="J201" s="145" t="n"/>
      <c r="K201" s="145" t="n"/>
      <c r="L201" s="145" t="n"/>
      <c r="M201" s="145" t="n"/>
      <c r="N201" s="145" t="n">
        <v>-3112</v>
      </c>
      <c r="O201" s="145" t="n">
        <v>-5033</v>
      </c>
      <c r="P201" s="145" t="n">
        <v>-10629</v>
      </c>
      <c r="Q201" s="145" t="n">
        <v>-13086</v>
      </c>
      <c r="R201" s="145" t="n">
        <v>-4044</v>
      </c>
      <c r="S201" s="145" t="n">
        <v>-6817</v>
      </c>
      <c r="T201" s="145" t="n">
        <v>-8098</v>
      </c>
      <c r="U201" s="145" t="n">
        <v>-10630</v>
      </c>
      <c r="V201" s="145" t="n">
        <v>-2333</v>
      </c>
      <c r="W201" s="145" t="n">
        <v>-9692</v>
      </c>
      <c r="X201" s="145" t="n">
        <v>-11605</v>
      </c>
      <c r="Y201" s="145" t="n">
        <v>-17190</v>
      </c>
      <c r="Z201" s="145" t="n">
        <v>-1415</v>
      </c>
      <c r="AA201" s="145" t="n">
        <v>-12591</v>
      </c>
      <c r="AB201" s="145" t="n">
        <v>-15019</v>
      </c>
      <c r="AC201" s="145" t="n">
        <v>-15990</v>
      </c>
      <c r="AD201" s="145" t="n">
        <v>-11861</v>
      </c>
      <c r="AE201" s="145" t="n">
        <v>-15911</v>
      </c>
      <c r="AF201" s="145" t="n">
        <v>-26836</v>
      </c>
      <c r="AG201" s="145" t="n">
        <v>-33623</v>
      </c>
      <c r="AH201" s="145" t="n">
        <v>-5488</v>
      </c>
      <c r="AI201" s="145" t="n">
        <v>-10209</v>
      </c>
      <c r="AJ201" s="145" t="n">
        <v>-9780</v>
      </c>
      <c r="AK201" s="145" t="n">
        <v>-15227</v>
      </c>
      <c r="AL201" s="145" t="n">
        <v>-2223</v>
      </c>
      <c r="AM201" s="145" t="n">
        <v>-4002</v>
      </c>
      <c r="AN201" s="145" t="n">
        <v>-6030</v>
      </c>
      <c r="AO201" s="145" t="n">
        <v>-7992</v>
      </c>
      <c r="AP201" s="145" t="n">
        <v>-1934</v>
      </c>
      <c r="AQ201" s="145" t="n">
        <v>-6761</v>
      </c>
      <c r="AR201" s="145" t="n">
        <v>-6761</v>
      </c>
      <c r="AS201" s="145" t="n">
        <v>-6761</v>
      </c>
      <c r="AT201" s="145" t="n">
        <v>-255</v>
      </c>
      <c r="AU201" s="145" t="n">
        <v>-255</v>
      </c>
      <c r="AV201" s="145" t="n">
        <v>-255</v>
      </c>
      <c r="AW201" s="145" t="n">
        <v>-255</v>
      </c>
      <c r="AX201" s="145" t="n"/>
      <c r="AY201" s="145" t="n"/>
      <c r="AZ201" s="145" t="n">
        <v>-15</v>
      </c>
      <c r="BA201" s="145" t="n">
        <v>-15</v>
      </c>
      <c r="BB201" s="145" t="n">
        <v>0</v>
      </c>
      <c r="BC201" s="145" t="n">
        <v>0</v>
      </c>
      <c r="BD201" s="145" t="n">
        <v>0</v>
      </c>
      <c r="BE201" s="145" t="n"/>
      <c r="BF201" s="145" t="n">
        <v>0</v>
      </c>
      <c r="BG201" s="145" t="n">
        <v>0</v>
      </c>
      <c r="BH201" s="145" t="n">
        <v>0</v>
      </c>
      <c r="BI201" s="145" t="n">
        <v>0</v>
      </c>
      <c r="BJ201" s="145" t="n">
        <v>0</v>
      </c>
      <c r="BK201" s="145" t="n">
        <v>0</v>
      </c>
      <c r="BL201" s="145" t="n">
        <v>0</v>
      </c>
      <c r="BM201" s="145" t="n">
        <v>0</v>
      </c>
      <c r="BN201" s="145" t="n">
        <v>0</v>
      </c>
      <c r="BO201" s="145" t="n">
        <v>0</v>
      </c>
      <c r="BP201" s="145" t="n">
        <v>0</v>
      </c>
      <c r="BQ201" s="145" t="n">
        <v>0</v>
      </c>
    </row>
    <row r="202">
      <c r="A202" s="74" t="inlineStr">
        <is>
          <t>Purchase of noncontrolling interests</t>
        </is>
      </c>
      <c r="B202" s="145" t="n"/>
      <c r="C202" s="145" t="n"/>
      <c r="D202" s="145" t="n"/>
      <c r="E202" s="145" t="n"/>
      <c r="F202" s="145" t="n"/>
      <c r="G202" s="145" t="n"/>
      <c r="H202" s="145" t="n"/>
      <c r="I202" s="145" t="n"/>
      <c r="J202" s="145" t="n"/>
      <c r="K202" s="145" t="n"/>
      <c r="L202" s="145" t="n"/>
      <c r="M202" s="145" t="n"/>
      <c r="N202" s="145" t="n">
        <v>0</v>
      </c>
      <c r="O202" s="145" t="n">
        <v>0</v>
      </c>
      <c r="P202" s="145" t="n">
        <v>0</v>
      </c>
      <c r="Q202" s="145" t="n">
        <v>-92</v>
      </c>
      <c r="R202" s="145" t="n">
        <v>0</v>
      </c>
      <c r="S202" s="145" t="n">
        <v>0</v>
      </c>
      <c r="T202" s="145" t="n">
        <v>0</v>
      </c>
      <c r="U202" s="145" t="n">
        <v>0</v>
      </c>
      <c r="V202" s="145" t="n">
        <v>-700</v>
      </c>
      <c r="W202" s="145" t="n">
        <v>-700</v>
      </c>
      <c r="X202" s="145" t="n">
        <v>-700</v>
      </c>
      <c r="Y202" s="145" t="n">
        <v>-700</v>
      </c>
      <c r="Z202" s="145" t="n">
        <v>0</v>
      </c>
      <c r="AA202" s="145" t="n">
        <v>0</v>
      </c>
      <c r="AB202" s="145" t="n">
        <v>0</v>
      </c>
      <c r="AC202" s="145" t="n">
        <v>0</v>
      </c>
      <c r="AD202" s="145" t="n">
        <v>0</v>
      </c>
      <c r="AE202" s="145" t="n">
        <v>0</v>
      </c>
      <c r="AF202" s="145" t="n">
        <v>0</v>
      </c>
      <c r="AG202" s="145" t="n">
        <v>0</v>
      </c>
      <c r="AH202" s="145" t="n">
        <v>0</v>
      </c>
      <c r="AI202" s="145" t="n">
        <v>0</v>
      </c>
      <c r="AJ202" s="145" t="n">
        <v>0</v>
      </c>
      <c r="AK202" s="145" t="n">
        <v>0</v>
      </c>
      <c r="AL202" s="145" t="n">
        <v>0</v>
      </c>
      <c r="AM202" s="145" t="n">
        <v>-950</v>
      </c>
      <c r="AN202" s="145" t="n">
        <v>-950</v>
      </c>
      <c r="AO202" s="145" t="n">
        <v>-950</v>
      </c>
      <c r="AP202" s="145" t="n">
        <v>0</v>
      </c>
      <c r="AQ202" s="145" t="n">
        <v>-197</v>
      </c>
      <c r="AR202" s="145" t="n">
        <v>-197</v>
      </c>
      <c r="AS202" s="145" t="n">
        <v>-197</v>
      </c>
      <c r="AT202" s="145" t="n">
        <v>0</v>
      </c>
      <c r="AU202" s="145" t="n">
        <v>0</v>
      </c>
      <c r="AV202" s="145" t="n">
        <v>378</v>
      </c>
      <c r="AW202" s="145" t="n">
        <v>839</v>
      </c>
      <c r="AX202" s="145" t="n"/>
      <c r="AY202" s="145" t="n"/>
      <c r="AZ202" s="145" t="n"/>
      <c r="BA202" s="145" t="n"/>
      <c r="BB202" s="145" t="n"/>
      <c r="BC202" s="145" t="n"/>
      <c r="BD202" s="145" t="n"/>
      <c r="BE202" s="145" t="n"/>
      <c r="BF202" s="145" t="n"/>
      <c r="BG202" s="145" t="n"/>
      <c r="BH202" s="145" t="n"/>
      <c r="BJ202" s="145" t="n"/>
      <c r="BN202" s="145" t="n"/>
      <c r="BO202" s="145" t="n"/>
      <c r="BP202" s="145" t="n"/>
    </row>
    <row r="203">
      <c r="A203" s="74" t="inlineStr">
        <is>
          <t>(Purchase) sale of redeemable noncontrolling interests</t>
        </is>
      </c>
      <c r="B203" s="145" t="n"/>
      <c r="C203" s="145" t="n"/>
      <c r="D203" s="145" t="n"/>
      <c r="E203" s="145" t="n"/>
      <c r="F203" s="145" t="n"/>
      <c r="G203" s="145" t="n"/>
      <c r="H203" s="145" t="n"/>
      <c r="I203" s="145" t="n"/>
      <c r="J203" s="145" t="n"/>
      <c r="K203" s="145" t="n"/>
      <c r="L203" s="145" t="n"/>
      <c r="M203" s="145" t="n"/>
      <c r="N203" s="145" t="n">
        <v>0</v>
      </c>
      <c r="O203" s="145" t="n">
        <v>0</v>
      </c>
      <c r="P203" s="145" t="n">
        <v>0</v>
      </c>
      <c r="Q203" s="145" t="n">
        <v>24806</v>
      </c>
      <c r="R203" s="145" t="n">
        <v>0</v>
      </c>
      <c r="S203" s="145" t="n">
        <v>19973</v>
      </c>
      <c r="T203" s="145" t="n">
        <v>19973</v>
      </c>
      <c r="U203" s="145" t="n">
        <v>19972</v>
      </c>
      <c r="V203" s="145" t="n">
        <v>-360</v>
      </c>
      <c r="W203" s="145" t="n">
        <v>-55400</v>
      </c>
      <c r="X203" s="145" t="n">
        <v>-55400</v>
      </c>
      <c r="Y203" s="145" t="n">
        <v>-55400</v>
      </c>
      <c r="Z203" s="145" t="n">
        <v>0</v>
      </c>
      <c r="AA203" s="145" t="n">
        <v>0</v>
      </c>
      <c r="AB203" s="145" t="n">
        <v>0</v>
      </c>
      <c r="AC203" s="145" t="n">
        <v>0</v>
      </c>
      <c r="AD203" s="145" t="n">
        <v>0</v>
      </c>
      <c r="AE203" s="145" t="n">
        <v>0</v>
      </c>
      <c r="AF203" s="145" t="n">
        <v>0</v>
      </c>
      <c r="AG203" s="145" t="n">
        <v>0</v>
      </c>
      <c r="AH203" s="145" t="n">
        <v>0</v>
      </c>
      <c r="AI203" s="145" t="n">
        <v>0</v>
      </c>
      <c r="AJ203" s="145" t="n">
        <v>0</v>
      </c>
      <c r="AK203" s="145" t="n">
        <v>0</v>
      </c>
      <c r="AL203" s="145" t="n">
        <v>0</v>
      </c>
      <c r="AM203" s="145" t="n">
        <v>0</v>
      </c>
      <c r="AN203" s="145" t="n">
        <v>0</v>
      </c>
      <c r="AO203" s="145" t="n">
        <v>0</v>
      </c>
      <c r="AP203" s="145" t="n">
        <v>0</v>
      </c>
      <c r="AQ203" s="145" t="n">
        <v>0</v>
      </c>
      <c r="AR203" s="145" t="n">
        <v>0</v>
      </c>
      <c r="AS203" s="145" t="n">
        <v>0</v>
      </c>
      <c r="AT203" s="145" t="n">
        <v>0</v>
      </c>
      <c r="AU203" s="145" t="n">
        <v>0</v>
      </c>
      <c r="AV203" s="145" t="n">
        <v>0</v>
      </c>
      <c r="AW203" s="145" t="n"/>
      <c r="AX203" s="145" t="n"/>
      <c r="AY203" s="145" t="n"/>
      <c r="AZ203" s="145" t="n"/>
      <c r="BA203" s="145" t="n"/>
      <c r="BB203" s="145" t="n"/>
      <c r="BC203" s="145" t="n"/>
      <c r="BD203" s="145" t="n"/>
      <c r="BE203" s="145" t="n"/>
      <c r="BF203" s="145" t="n"/>
      <c r="BG203" s="145" t="n"/>
      <c r="BH203" s="145" t="n"/>
      <c r="BJ203" s="145" t="n"/>
      <c r="BN203" s="145" t="n"/>
      <c r="BO203" s="145" t="n"/>
      <c r="BP203" s="145" t="n"/>
    </row>
    <row r="204">
      <c r="A204" s="74" t="inlineStr">
        <is>
          <t>Proceeds on long-term borrowings</t>
        </is>
      </c>
      <c r="B204" s="145" t="n"/>
      <c r="C204" s="145" t="n"/>
      <c r="D204" s="145" t="n"/>
      <c r="E204" s="145" t="n"/>
      <c r="F204" s="145" t="n"/>
      <c r="G204" s="145" t="n"/>
      <c r="H204" s="145" t="n"/>
      <c r="I204" s="145" t="n"/>
      <c r="J204" s="145" t="n"/>
      <c r="K204" s="145" t="n"/>
      <c r="L204" s="145" t="n"/>
      <c r="M204" s="145" t="n"/>
      <c r="N204" s="145" t="n">
        <v>0</v>
      </c>
      <c r="O204" s="145" t="n">
        <v>0</v>
      </c>
      <c r="P204" s="145" t="n">
        <v>0</v>
      </c>
      <c r="Q204" s="145" t="n">
        <v>0</v>
      </c>
      <c r="R204" s="145" t="n">
        <v>0</v>
      </c>
      <c r="S204" s="145" t="n">
        <v>0</v>
      </c>
      <c r="T204" s="145" t="n">
        <v>0</v>
      </c>
      <c r="U204" s="145" t="n">
        <v>0</v>
      </c>
      <c r="V204" s="145" t="n">
        <v>0</v>
      </c>
      <c r="W204" s="145" t="n">
        <v>0</v>
      </c>
      <c r="X204" s="145" t="n">
        <v>0</v>
      </c>
      <c r="Y204" s="145" t="n">
        <v>0</v>
      </c>
      <c r="Z204" s="145" t="n">
        <v>0</v>
      </c>
      <c r="AA204" s="145" t="n">
        <v>0</v>
      </c>
      <c r="AB204" s="145" t="n">
        <v>0</v>
      </c>
      <c r="AC204" s="145" t="n">
        <v>0</v>
      </c>
      <c r="AD204" s="145" t="n">
        <v>0</v>
      </c>
      <c r="AE204" s="145" t="n">
        <v>0</v>
      </c>
      <c r="AF204" s="145" t="n">
        <v>0</v>
      </c>
      <c r="AG204" s="145" t="n">
        <v>0</v>
      </c>
      <c r="AH204" s="145" t="n">
        <v>0</v>
      </c>
      <c r="AI204" s="145" t="n">
        <v>0</v>
      </c>
      <c r="AJ204" s="145" t="n">
        <v>0</v>
      </c>
      <c r="AK204" s="145" t="n">
        <v>0</v>
      </c>
      <c r="AL204" s="145" t="n">
        <v>0</v>
      </c>
      <c r="AM204" s="145" t="n">
        <v>23750</v>
      </c>
      <c r="AN204" s="145" t="n">
        <v>23750</v>
      </c>
      <c r="AO204" s="145" t="n">
        <v>23750</v>
      </c>
      <c r="AP204" s="145" t="n">
        <v>0</v>
      </c>
      <c r="AQ204" s="145" t="n">
        <v>0</v>
      </c>
      <c r="AR204" s="145" t="n">
        <v>28000</v>
      </c>
      <c r="AS204" s="145" t="n">
        <v>28000</v>
      </c>
      <c r="AT204" s="145" t="n">
        <v>0</v>
      </c>
      <c r="AU204" s="145" t="n">
        <v>0</v>
      </c>
      <c r="AV204" s="145" t="n">
        <v>0</v>
      </c>
      <c r="AW204" s="145" t="n"/>
      <c r="AX204" s="145" t="n"/>
      <c r="AY204" s="145" t="n"/>
      <c r="AZ204" s="145" t="n"/>
      <c r="BA204" s="145" t="n"/>
      <c r="BB204" s="145" t="n"/>
      <c r="BC204" s="145" t="n"/>
      <c r="BD204" s="145" t="n"/>
      <c r="BE204" s="145" t="n"/>
      <c r="BF204" s="145" t="n"/>
      <c r="BG204" s="145" t="n"/>
      <c r="BH204" s="145" t="n"/>
      <c r="BJ204" s="145" t="n"/>
      <c r="BN204" s="145" t="n"/>
      <c r="BO204" s="145" t="n"/>
      <c r="BP204" s="145" t="n"/>
    </row>
    <row r="205">
      <c r="A205" s="74" t="inlineStr">
        <is>
          <t>Principal payments on long-term borrowings</t>
        </is>
      </c>
      <c r="B205" s="145" t="n"/>
      <c r="C205" s="145" t="n"/>
      <c r="D205" s="145" t="n"/>
      <c r="E205" s="145" t="n"/>
      <c r="F205" s="145" t="n"/>
      <c r="G205" s="145" t="n"/>
      <c r="H205" s="145" t="n"/>
      <c r="I205" s="145" t="n"/>
      <c r="J205" s="145" t="n"/>
      <c r="K205" s="145" t="n"/>
      <c r="L205" s="145" t="n"/>
      <c r="M205" s="145" t="n"/>
      <c r="N205" s="145" t="n">
        <v>-333</v>
      </c>
      <c r="O205" s="145" t="n">
        <v>-667</v>
      </c>
      <c r="P205" s="145" t="n">
        <v>-1000</v>
      </c>
      <c r="Q205" s="145" t="n">
        <v>-1333</v>
      </c>
      <c r="R205" s="145" t="n">
        <v>-333</v>
      </c>
      <c r="S205" s="145" t="n">
        <v>-666</v>
      </c>
      <c r="T205" s="145" t="n">
        <v>-1046</v>
      </c>
      <c r="U205" s="145" t="n">
        <v>-1432</v>
      </c>
      <c r="V205" s="145" t="n">
        <v>749</v>
      </c>
      <c r="W205" s="145" t="n">
        <v>-1476</v>
      </c>
      <c r="X205" s="145" t="n">
        <v>-1848</v>
      </c>
      <c r="Y205" s="145" t="n">
        <v>-2117</v>
      </c>
      <c r="Z205" s="145" t="n">
        <v>-1640</v>
      </c>
      <c r="AA205" s="145" t="n">
        <v>-2186</v>
      </c>
      <c r="AB205" s="145" t="n">
        <v>-2519</v>
      </c>
      <c r="AC205" s="145" t="n">
        <v>-2853</v>
      </c>
      <c r="AD205" s="145" t="n">
        <v>-333</v>
      </c>
      <c r="AE205" s="145" t="n">
        <v>-667</v>
      </c>
      <c r="AF205" s="145" t="n">
        <v>-1000</v>
      </c>
      <c r="AG205" s="145" t="n">
        <v>-1667</v>
      </c>
      <c r="AH205" s="145" t="n">
        <v>-833</v>
      </c>
      <c r="AI205" s="145" t="n">
        <v>-12333</v>
      </c>
      <c r="AJ205" s="145" t="n">
        <v>-12833</v>
      </c>
      <c r="AK205" s="145" t="n">
        <v>-13333</v>
      </c>
      <c r="AL205" s="145" t="n">
        <v>-500</v>
      </c>
      <c r="AM205" s="145" t="n">
        <v>-1000</v>
      </c>
      <c r="AN205" s="145" t="n">
        <v>-1797</v>
      </c>
      <c r="AO205" s="145" t="n">
        <v>-2594</v>
      </c>
      <c r="AP205" s="145" t="n">
        <v>-797</v>
      </c>
      <c r="AQ205" s="145" t="n">
        <v>-18260</v>
      </c>
      <c r="AR205" s="145" t="n">
        <v>-18951</v>
      </c>
      <c r="AS205" s="145" t="n">
        <v>-19842</v>
      </c>
      <c r="AT205" s="145" t="n">
        <v>-895</v>
      </c>
      <c r="AU205" s="145" t="n">
        <v>-1794</v>
      </c>
      <c r="AV205" s="145" t="n">
        <v>-2696</v>
      </c>
      <c r="AW205" s="145" t="n">
        <v>-3604</v>
      </c>
      <c r="AX205" s="145" t="n">
        <v>-911</v>
      </c>
      <c r="AY205" s="145" t="n">
        <v>-1827</v>
      </c>
      <c r="AZ205" s="145" t="n">
        <v>-2747</v>
      </c>
      <c r="BA205" s="145" t="n">
        <v>-3671</v>
      </c>
      <c r="BB205" s="145" t="n">
        <v>-928</v>
      </c>
      <c r="BC205" s="145" t="n">
        <v>-1862</v>
      </c>
      <c r="BD205" s="145" t="n">
        <v>-2798</v>
      </c>
      <c r="BE205" s="145" t="n">
        <v>-3740</v>
      </c>
      <c r="BF205" s="145" t="n">
        <v>-946</v>
      </c>
      <c r="BG205" s="145" t="n">
        <v>-1896</v>
      </c>
      <c r="BH205" s="145" t="n">
        <v>-2851</v>
      </c>
      <c r="BI205" s="145" t="n">
        <v>-3810</v>
      </c>
      <c r="BJ205" s="145" t="n">
        <v>-964</v>
      </c>
      <c r="BK205" s="145" t="n">
        <v>-1932</v>
      </c>
      <c r="BL205" s="145" t="n">
        <v>-17829</v>
      </c>
      <c r="BM205" s="145" t="n">
        <v>-18126</v>
      </c>
      <c r="BN205" s="145" t="n">
        <v>-298</v>
      </c>
      <c r="BO205" s="145" t="n">
        <v>-16031</v>
      </c>
      <c r="BP205" s="145" t="n">
        <v>-16031</v>
      </c>
      <c r="BQ205" s="145" t="n">
        <v>-16031</v>
      </c>
      <c r="BS205" t="n">
        <v>0</v>
      </c>
      <c r="BT205" t="inlineStr">
        <is>
          <t>IPGP-Financial-Data-Workbook-2024-Q2.xlsx|Cash Flows|42|93</t>
        </is>
      </c>
    </row>
    <row r="206">
      <c r="A206" s="74" t="inlineStr">
        <is>
          <t>Exercise of employee stock options and issuances under employee stock purchase plan</t>
        </is>
      </c>
      <c r="B206" s="145" t="n"/>
      <c r="C206" s="145" t="n"/>
      <c r="D206" s="145" t="n"/>
      <c r="E206" s="145" t="n"/>
      <c r="F206" s="145" t="n"/>
      <c r="G206" s="145" t="n"/>
      <c r="H206" s="145" t="n"/>
      <c r="I206" s="145" t="n"/>
      <c r="J206" s="145" t="n"/>
      <c r="K206" s="145" t="n"/>
      <c r="L206" s="145" t="n"/>
      <c r="M206" s="145" t="n"/>
      <c r="N206" s="145" t="n">
        <v>211</v>
      </c>
      <c r="O206" s="145" t="n">
        <v>1266</v>
      </c>
      <c r="P206" s="145" t="n">
        <v>6714</v>
      </c>
      <c r="Q206" s="145" t="n">
        <v>6298</v>
      </c>
      <c r="R206" s="145" t="n">
        <v>4884</v>
      </c>
      <c r="S206" s="145" t="n">
        <v>3989</v>
      </c>
      <c r="T206" s="145" t="n">
        <v>4491</v>
      </c>
      <c r="U206" s="145" t="n">
        <v>5268</v>
      </c>
      <c r="V206" s="145" t="n"/>
      <c r="W206" s="145" t="n">
        <v>2249</v>
      </c>
      <c r="X206" s="145" t="n">
        <v>4275</v>
      </c>
      <c r="Y206" s="145" t="n">
        <v>5480</v>
      </c>
      <c r="Z206" s="145" t="n">
        <v>720</v>
      </c>
      <c r="AA206" s="145" t="n">
        <v>2177</v>
      </c>
      <c r="AB206" s="145" t="n">
        <v>3228</v>
      </c>
      <c r="AC206" s="145" t="n">
        <v>7275</v>
      </c>
      <c r="AD206" s="145" t="n">
        <v>611</v>
      </c>
      <c r="AE206" s="145" t="n">
        <v>3379</v>
      </c>
      <c r="AF206" s="145" t="n">
        <v>3730</v>
      </c>
      <c r="AG206" s="145" t="n">
        <v>7558</v>
      </c>
      <c r="AH206" s="145" t="n">
        <v>4409</v>
      </c>
      <c r="AI206" s="145" t="n">
        <v>9574</v>
      </c>
      <c r="AJ206" s="145" t="n">
        <v>10489</v>
      </c>
      <c r="AK206" s="145" t="n">
        <v>14132</v>
      </c>
      <c r="AL206" s="145" t="n">
        <v>2644</v>
      </c>
      <c r="AM206" s="145" t="n">
        <v>8579</v>
      </c>
      <c r="AN206" s="145" t="n">
        <v>9186</v>
      </c>
      <c r="AO206" s="145" t="n">
        <v>16183</v>
      </c>
      <c r="AP206" s="145" t="n">
        <v>9600</v>
      </c>
      <c r="AQ206" s="145" t="n">
        <v>17152</v>
      </c>
      <c r="AR206" s="145" t="n">
        <v>23296</v>
      </c>
      <c r="AS206" s="145" t="n">
        <v>28654</v>
      </c>
      <c r="AT206" s="145" t="n">
        <v>3113</v>
      </c>
      <c r="AU206" s="145" t="n">
        <v>10631</v>
      </c>
      <c r="AV206" s="145" t="n">
        <v>12115</v>
      </c>
      <c r="AW206" s="145" t="n">
        <v>12183</v>
      </c>
      <c r="AX206" s="145" t="n">
        <v>-6149</v>
      </c>
      <c r="AY206" s="145" t="n">
        <v>-32</v>
      </c>
      <c r="AZ206" s="145" t="n">
        <v>1644</v>
      </c>
      <c r="BA206" s="145" t="n">
        <v>7336</v>
      </c>
      <c r="BB206" s="145" t="n">
        <v>-5498</v>
      </c>
      <c r="BC206" s="145" t="n">
        <v>8271</v>
      </c>
      <c r="BD206" s="145" t="n">
        <v>16767</v>
      </c>
      <c r="BE206" s="145" t="n">
        <v>33194</v>
      </c>
      <c r="BF206" s="145" t="n">
        <v>4981</v>
      </c>
      <c r="BG206" s="145" t="n">
        <v>10567</v>
      </c>
      <c r="BH206" s="145" t="n">
        <v>11427</v>
      </c>
      <c r="BI206" s="145" t="n">
        <v>16258</v>
      </c>
      <c r="BJ206" s="145" t="n">
        <v>-724</v>
      </c>
      <c r="BK206" s="145" t="n">
        <v>2088</v>
      </c>
      <c r="BL206" s="145" t="n">
        <v>2353</v>
      </c>
      <c r="BM206" s="145" t="n">
        <v>5583</v>
      </c>
      <c r="BN206" s="145" t="n">
        <v>-3844</v>
      </c>
      <c r="BO206" s="145" t="n">
        <v>-731</v>
      </c>
      <c r="BP206" s="145" t="n">
        <v>-432</v>
      </c>
      <c r="BQ206" s="145" t="n">
        <v>3147</v>
      </c>
      <c r="BR206" s="145" t="n">
        <v>-1158</v>
      </c>
      <c r="BS206" t="n">
        <v>2950</v>
      </c>
      <c r="BT206" t="inlineStr">
        <is>
          <t>IPGP-Financial-Data-Workbook-2024-Q2.xlsx|Cash Flows|43|93</t>
        </is>
      </c>
    </row>
    <row r="207">
      <c r="A207" s="74" t="inlineStr">
        <is>
          <t>Tax benefit from exercise of employee stock options</t>
        </is>
      </c>
      <c r="B207" s="145" t="n"/>
      <c r="C207" s="145" t="n"/>
      <c r="D207" s="145" t="n"/>
      <c r="E207" s="145" t="n"/>
      <c r="F207" s="145" t="n"/>
      <c r="G207" s="145" t="n"/>
      <c r="H207" s="145" t="n"/>
      <c r="I207" s="145" t="n"/>
      <c r="J207" s="145" t="n"/>
      <c r="K207" s="145" t="n"/>
      <c r="L207" s="145" t="n"/>
      <c r="M207" s="145" t="n"/>
      <c r="N207" s="145" t="n">
        <v>0</v>
      </c>
      <c r="O207" s="145" t="n">
        <v>0</v>
      </c>
      <c r="P207" s="145" t="n">
        <v>0</v>
      </c>
      <c r="Q207" s="145" t="n">
        <v>7443</v>
      </c>
      <c r="R207" s="145" t="n">
        <v>0</v>
      </c>
      <c r="S207" s="145" t="n">
        <v>6258</v>
      </c>
      <c r="T207" s="145" t="n">
        <v>7510</v>
      </c>
      <c r="U207" s="145" t="n">
        <v>8034</v>
      </c>
      <c r="V207" s="145" t="n">
        <v>1048</v>
      </c>
      <c r="W207" s="145" t="n">
        <v>1095</v>
      </c>
      <c r="X207" s="145" t="n">
        <v>3870</v>
      </c>
      <c r="Y207" s="145" t="n">
        <v>4679</v>
      </c>
      <c r="Z207" s="145" t="n">
        <v>1464</v>
      </c>
      <c r="AA207" s="145" t="n">
        <v>2356</v>
      </c>
      <c r="AB207" s="145" t="n">
        <v>3610</v>
      </c>
      <c r="AC207" s="145" t="n">
        <v>8874</v>
      </c>
      <c r="AD207" s="145" t="n">
        <v>1565</v>
      </c>
      <c r="AE207" s="145" t="n">
        <v>2426</v>
      </c>
      <c r="AF207" s="145" t="n">
        <v>2696</v>
      </c>
      <c r="AG207" s="145" t="n">
        <v>5979</v>
      </c>
      <c r="AH207" s="145" t="n">
        <v>4773</v>
      </c>
      <c r="AI207" s="145" t="n">
        <v>5665</v>
      </c>
      <c r="AJ207" s="145" t="n">
        <v>5822</v>
      </c>
      <c r="AK207" s="145" t="n">
        <v>6911</v>
      </c>
      <c r="AL207" s="145" t="n">
        <v>0</v>
      </c>
      <c r="AM207" s="145" t="n">
        <v>0</v>
      </c>
      <c r="AN207" s="145" t="n">
        <v>0</v>
      </c>
      <c r="AO207" s="145" t="n">
        <v>5408</v>
      </c>
      <c r="AP207" s="145" t="n">
        <v>0</v>
      </c>
      <c r="AQ207" s="145" t="n">
        <v>0</v>
      </c>
      <c r="AR207" s="145" t="n">
        <v>0</v>
      </c>
      <c r="AS207" s="145" t="n">
        <v>0</v>
      </c>
      <c r="AT207" s="145" t="n">
        <v>0</v>
      </c>
      <c r="AU207" s="145" t="n">
        <v>0</v>
      </c>
      <c r="AV207" s="145" t="n">
        <v>0</v>
      </c>
      <c r="AW207" s="145" t="n"/>
      <c r="AX207" s="145" t="n"/>
      <c r="AY207" s="145" t="n">
        <v>-2284</v>
      </c>
      <c r="AZ207" s="145" t="n">
        <v>-25921</v>
      </c>
      <c r="BA207" s="145" t="n">
        <v>-40732</v>
      </c>
      <c r="BB207" s="145" t="n">
        <v>-12716</v>
      </c>
      <c r="BC207" s="145" t="n">
        <v>-28230</v>
      </c>
      <c r="BD207" s="145" t="n">
        <v>-37884</v>
      </c>
      <c r="BE207" s="145" t="n">
        <v>-37884</v>
      </c>
      <c r="BF207" s="145" t="n">
        <v>-3048</v>
      </c>
      <c r="BG207" s="145" t="n">
        <v>-41731</v>
      </c>
      <c r="BH207" s="145" t="n">
        <v>-78071</v>
      </c>
      <c r="BI207" s="145" t="n">
        <v>-134889</v>
      </c>
      <c r="BJ207" s="145" t="n">
        <v>-78757</v>
      </c>
      <c r="BK207" s="145" t="n">
        <v>-311606</v>
      </c>
      <c r="BL207" s="145" t="n">
        <v>-382885</v>
      </c>
      <c r="BM207" s="145" t="n">
        <v>-499506</v>
      </c>
      <c r="BN207" s="145" t="n">
        <v>-113094</v>
      </c>
      <c r="BO207" s="145" t="n">
        <v>-113031</v>
      </c>
      <c r="BP207" s="145" t="n">
        <v>-159528</v>
      </c>
      <c r="BQ207" s="145" t="n">
        <v>-223496</v>
      </c>
      <c r="BR207" s="145" t="n">
        <v>-89616</v>
      </c>
      <c r="BS207" t="n">
        <v>-122404</v>
      </c>
      <c r="BT207" t="inlineStr">
        <is>
          <t>IPGP-Financial-Data-Workbook-2024-Q2.xlsx|Cash Flows|44|93</t>
        </is>
      </c>
    </row>
    <row r="208">
      <c r="A208" s="74" t="inlineStr">
        <is>
          <t>Proceeds from follow-on public offering, net of offering expenses</t>
        </is>
      </c>
      <c r="B208" s="145" t="n"/>
      <c r="C208" s="145" t="n"/>
      <c r="D208" s="145" t="n"/>
      <c r="E208" s="145" t="n"/>
      <c r="F208" s="145" t="n"/>
      <c r="G208" s="145" t="n"/>
      <c r="H208" s="145" t="n"/>
      <c r="I208" s="145" t="n"/>
      <c r="J208" s="145" t="n"/>
      <c r="K208" s="145" t="n"/>
      <c r="L208" s="145" t="n"/>
      <c r="M208" s="145" t="n"/>
      <c r="N208" s="145" t="n">
        <v>0</v>
      </c>
      <c r="O208" s="145" t="n">
        <v>0</v>
      </c>
      <c r="P208" s="145" t="n">
        <v>0</v>
      </c>
      <c r="Q208" s="145" t="n">
        <v>0</v>
      </c>
      <c r="R208" s="145" t="n">
        <v>0</v>
      </c>
      <c r="S208" s="145" t="n">
        <v>0</v>
      </c>
      <c r="T208" s="145" t="n">
        <v>0</v>
      </c>
      <c r="U208" s="145" t="n">
        <v>0</v>
      </c>
      <c r="V208" s="145" t="n">
        <v>168268</v>
      </c>
      <c r="W208" s="145" t="n">
        <v>168022</v>
      </c>
      <c r="X208" s="145" t="n">
        <v>167963</v>
      </c>
      <c r="Y208" s="145" t="n">
        <v>167928</v>
      </c>
      <c r="Z208" s="145" t="n">
        <v>0</v>
      </c>
      <c r="AA208" s="145" t="n">
        <v>0</v>
      </c>
      <c r="AB208" s="145" t="n">
        <v>0</v>
      </c>
      <c r="AC208" s="145" t="n">
        <v>0</v>
      </c>
      <c r="AD208" s="145" t="n">
        <v>0</v>
      </c>
      <c r="AE208" s="145" t="n">
        <v>0</v>
      </c>
      <c r="AF208" s="145" t="n">
        <v>0</v>
      </c>
      <c r="AG208" s="145" t="n">
        <v>0</v>
      </c>
      <c r="AH208" s="145" t="n">
        <v>0</v>
      </c>
      <c r="AI208" s="145" t="n">
        <v>0</v>
      </c>
      <c r="AJ208" s="145" t="n">
        <v>0</v>
      </c>
      <c r="AK208" s="145" t="n">
        <v>0</v>
      </c>
      <c r="AL208" s="145" t="n">
        <v>0</v>
      </c>
      <c r="AM208" s="145" t="n">
        <v>0</v>
      </c>
      <c r="AN208" s="145" t="n">
        <v>0</v>
      </c>
      <c r="AO208" s="145" t="n">
        <v>0</v>
      </c>
      <c r="AP208" s="145" t="n">
        <v>0</v>
      </c>
      <c r="AQ208" s="145" t="n">
        <v>0</v>
      </c>
      <c r="AR208" s="145" t="n">
        <v>0</v>
      </c>
      <c r="AS208" s="145" t="n">
        <v>0</v>
      </c>
      <c r="AT208" s="145" t="n">
        <v>0</v>
      </c>
      <c r="AU208" s="145" t="n">
        <v>0</v>
      </c>
      <c r="AV208" s="145" t="n">
        <v>0</v>
      </c>
      <c r="AW208" s="145" t="n"/>
      <c r="AX208" s="145" t="n"/>
      <c r="AY208" s="145" t="n"/>
      <c r="AZ208" s="145" t="n"/>
      <c r="BA208" s="145" t="n"/>
      <c r="BB208" s="145" t="n"/>
      <c r="BC208" s="145" t="n"/>
      <c r="BD208" s="145" t="n"/>
      <c r="BE208" s="145" t="n"/>
      <c r="BF208" s="145" t="n"/>
      <c r="BG208" s="145" t="n"/>
      <c r="BH208" s="145" t="n"/>
      <c r="BI208" s="145" t="n"/>
      <c r="BJ208" s="145" t="n"/>
      <c r="BK208" s="145" t="n"/>
      <c r="BL208" s="145" t="n"/>
      <c r="BM208" s="145" t="n"/>
      <c r="BN208" s="145" t="n"/>
      <c r="BO208" s="145" t="n"/>
      <c r="BP208" s="145" t="n"/>
      <c r="BQ208" s="145" t="n"/>
    </row>
    <row r="209">
      <c r="A209" s="74" t="inlineStr">
        <is>
          <t>Distributions to shareholders</t>
        </is>
      </c>
      <c r="B209" s="145" t="n"/>
      <c r="C209" s="145" t="n"/>
      <c r="D209" s="145" t="n"/>
      <c r="E209" s="145" t="n"/>
      <c r="F209" s="145" t="n"/>
      <c r="G209" s="145" t="n"/>
      <c r="H209" s="145" t="n"/>
      <c r="I209" s="145" t="n"/>
      <c r="J209" s="145" t="n"/>
      <c r="K209" s="145" t="n"/>
      <c r="L209" s="145" t="n"/>
      <c r="M209" s="145" t="n"/>
      <c r="N209" s="145" t="n">
        <v>0</v>
      </c>
      <c r="O209" s="145" t="n">
        <v>0</v>
      </c>
      <c r="P209" s="145" t="n">
        <v>0</v>
      </c>
      <c r="Q209" s="145" t="n">
        <v>0</v>
      </c>
      <c r="R209" s="145" t="n">
        <v>0</v>
      </c>
      <c r="S209" s="145" t="n">
        <v>0</v>
      </c>
      <c r="T209" s="145" t="n">
        <v>0</v>
      </c>
      <c r="U209" s="145" t="n">
        <v>0</v>
      </c>
      <c r="V209" s="145" t="n">
        <v>0</v>
      </c>
      <c r="W209" s="145" t="n">
        <v>0</v>
      </c>
      <c r="X209" s="145" t="n">
        <v>0</v>
      </c>
      <c r="Y209" s="145" t="n">
        <v>-33353</v>
      </c>
      <c r="Z209" s="145" t="n">
        <v>0</v>
      </c>
      <c r="AA209" s="145" t="n">
        <v>0</v>
      </c>
      <c r="AB209" s="145" t="n">
        <v>0</v>
      </c>
      <c r="AC209" s="145" t="n">
        <v>0</v>
      </c>
      <c r="AD209" s="145" t="n">
        <v>0</v>
      </c>
      <c r="AE209" s="145" t="n">
        <v>0</v>
      </c>
      <c r="AF209" s="145" t="n">
        <v>0</v>
      </c>
      <c r="AG209" s="145" t="n">
        <v>0</v>
      </c>
      <c r="AH209" s="145" t="n">
        <v>0</v>
      </c>
      <c r="AI209" s="145" t="n">
        <v>0</v>
      </c>
      <c r="AJ209" s="145" t="n">
        <v>0</v>
      </c>
      <c r="AK209" s="145" t="n">
        <v>0</v>
      </c>
      <c r="AL209" s="145" t="n">
        <v>0</v>
      </c>
      <c r="AM209" s="145" t="n">
        <v>0</v>
      </c>
      <c r="AN209" s="145" t="n">
        <v>0</v>
      </c>
      <c r="AO209" s="145" t="n">
        <v>0</v>
      </c>
      <c r="AP209" s="145" t="n">
        <v>0</v>
      </c>
      <c r="AQ209" s="145" t="n">
        <v>0</v>
      </c>
      <c r="AR209" s="145" t="n">
        <v>0</v>
      </c>
      <c r="AS209" s="145" t="n">
        <v>0</v>
      </c>
      <c r="AT209" s="145" t="n">
        <v>0</v>
      </c>
      <c r="AU209" s="145" t="n">
        <v>0</v>
      </c>
      <c r="AV209" s="145" t="n">
        <v>0</v>
      </c>
      <c r="AW209" s="145" t="n"/>
      <c r="AX209" s="145" t="n"/>
      <c r="AY209" s="145" t="n"/>
      <c r="AZ209" s="145" t="n"/>
      <c r="BA209" s="145" t="n"/>
      <c r="BB209" s="145" t="n"/>
      <c r="BC209" s="145" t="n"/>
      <c r="BD209" s="145" t="n"/>
      <c r="BE209" s="145" t="n"/>
      <c r="BF209" s="145" t="n"/>
      <c r="BG209" s="145" t="n"/>
      <c r="BH209" s="145" t="n"/>
      <c r="BI209" s="145" t="n"/>
      <c r="BJ209" s="145" t="n"/>
      <c r="BK209" s="145" t="n"/>
      <c r="BL209" s="145" t="n"/>
      <c r="BM209" s="145" t="n"/>
      <c r="BN209" s="145" t="n"/>
      <c r="BO209" s="145" t="n"/>
      <c r="BP209" s="145" t="n"/>
      <c r="BQ209" s="145" t="n"/>
    </row>
    <row r="210">
      <c r="A210" s="74" t="inlineStr">
        <is>
          <t>Purchase of Treasury Stock, at cost</t>
        </is>
      </c>
      <c r="B210" s="145" t="n"/>
      <c r="C210" s="145" t="n"/>
      <c r="D210" s="145" t="n"/>
      <c r="E210" s="145" t="n"/>
      <c r="F210" s="145" t="n"/>
      <c r="G210" s="145" t="n"/>
      <c r="H210" s="145" t="n"/>
      <c r="I210" s="145" t="n"/>
      <c r="J210" s="145" t="n"/>
      <c r="K210" s="145" t="n"/>
      <c r="L210" s="145" t="n"/>
      <c r="M210" s="145" t="n"/>
      <c r="N210" s="145" t="n">
        <v>0</v>
      </c>
      <c r="O210" s="145" t="n">
        <v>0</v>
      </c>
      <c r="P210" s="145" t="n">
        <v>0</v>
      </c>
      <c r="Q210" s="145" t="n">
        <v>0</v>
      </c>
      <c r="R210" s="145" t="n">
        <v>0</v>
      </c>
      <c r="S210" s="145" t="n">
        <v>0</v>
      </c>
      <c r="T210" s="145" t="n">
        <v>0</v>
      </c>
      <c r="U210" s="145" t="n">
        <v>0</v>
      </c>
      <c r="V210" s="145" t="n">
        <v>0</v>
      </c>
      <c r="W210" s="145" t="n">
        <v>0</v>
      </c>
      <c r="X210" s="145" t="n">
        <v>0</v>
      </c>
      <c r="Y210" s="145" t="n">
        <v>0</v>
      </c>
      <c r="Z210" s="145" t="n">
        <v>0</v>
      </c>
      <c r="AA210" s="145" t="n">
        <v>0</v>
      </c>
      <c r="AB210" s="145" t="n">
        <v>0</v>
      </c>
      <c r="AC210" s="145" t="n">
        <v>0</v>
      </c>
      <c r="AD210" s="145" t="n">
        <v>0</v>
      </c>
      <c r="AE210" s="145" t="n">
        <v>0</v>
      </c>
      <c r="AF210" s="145" t="n">
        <v>0</v>
      </c>
      <c r="AG210" s="145" t="n">
        <v>0</v>
      </c>
      <c r="AH210" s="145" t="n">
        <v>0</v>
      </c>
      <c r="AI210" s="145" t="n">
        <v>0</v>
      </c>
      <c r="AJ210" s="145" t="n">
        <v>0</v>
      </c>
      <c r="AK210" s="145" t="n">
        <v>0</v>
      </c>
      <c r="AL210" s="145" t="n">
        <v>0</v>
      </c>
      <c r="AM210" s="145" t="n">
        <v>0</v>
      </c>
      <c r="AN210" s="145" t="n">
        <v>-3483</v>
      </c>
      <c r="AO210" s="145" t="n">
        <v>-8946</v>
      </c>
      <c r="AP210" s="145" t="n">
        <v>-12539</v>
      </c>
      <c r="AQ210" s="145" t="n">
        <v>-24112</v>
      </c>
      <c r="AR210" s="145" t="n">
        <v>-26911</v>
      </c>
      <c r="AS210" s="145" t="n">
        <v>-39987</v>
      </c>
      <c r="AT210" s="145" t="n">
        <v>-20071</v>
      </c>
      <c r="AU210" s="145" t="n">
        <v>-51064</v>
      </c>
      <c r="AV210" s="145" t="n">
        <v>-111926</v>
      </c>
      <c r="AW210" s="145" t="n">
        <v>-176065</v>
      </c>
      <c r="AX210" s="145" t="n"/>
      <c r="AY210" s="145" t="n"/>
      <c r="AZ210" s="145" t="n"/>
      <c r="BA210" s="145" t="n"/>
      <c r="BB210" s="145" t="n"/>
      <c r="BC210" s="145" t="n"/>
      <c r="BD210" s="145" t="n"/>
      <c r="BE210" s="145" t="n"/>
      <c r="BF210" s="145" t="n"/>
      <c r="BG210" s="145" t="n"/>
      <c r="BH210" s="145" t="n"/>
      <c r="BI210" s="145" t="n"/>
      <c r="BJ210" s="145" t="n"/>
      <c r="BK210" s="145" t="n"/>
      <c r="BL210" s="145" t="n"/>
      <c r="BM210" s="145" t="n"/>
      <c r="BN210" s="145" t="n"/>
      <c r="BO210" s="145" t="n"/>
      <c r="BP210" s="145" t="n"/>
      <c r="BQ210" s="145" t="n"/>
    </row>
    <row r="211">
      <c r="A211" s="74" t="inlineStr">
        <is>
          <t>Others</t>
        </is>
      </c>
      <c r="B211" s="145" t="n"/>
      <c r="C211" s="145" t="n"/>
      <c r="D211" s="145" t="n"/>
      <c r="E211" s="145" t="n"/>
      <c r="F211" s="145" t="n"/>
      <c r="G211" s="145" t="n"/>
      <c r="H211" s="145" t="n"/>
      <c r="I211" s="145" t="n"/>
      <c r="J211" s="145" t="n"/>
      <c r="K211" s="145" t="n"/>
      <c r="L211" s="145" t="n"/>
      <c r="M211" s="145" t="n"/>
      <c r="N211" s="145" t="n">
        <v>0</v>
      </c>
      <c r="O211" s="145" t="n">
        <v>0</v>
      </c>
      <c r="P211" s="145" t="n">
        <v>-100</v>
      </c>
      <c r="Q211" s="145" t="n">
        <v>-100</v>
      </c>
      <c r="R211" s="145" t="n">
        <v>0</v>
      </c>
      <c r="S211" s="145" t="n">
        <v>0</v>
      </c>
      <c r="T211" s="145" t="n">
        <v>0</v>
      </c>
      <c r="U211" s="145" t="n">
        <v>0</v>
      </c>
      <c r="V211" s="145" t="n">
        <v>0</v>
      </c>
      <c r="W211" s="145" t="n">
        <v>0</v>
      </c>
      <c r="X211" s="145" t="n">
        <v>0</v>
      </c>
      <c r="Y211" s="145" t="n">
        <v>0</v>
      </c>
      <c r="Z211" s="145" t="n">
        <v>0</v>
      </c>
      <c r="AA211" s="145" t="n">
        <v>0</v>
      </c>
      <c r="AB211" s="145" t="n">
        <v>0</v>
      </c>
      <c r="AC211" s="145" t="n">
        <v>0</v>
      </c>
      <c r="AD211" s="145" t="n">
        <v>0</v>
      </c>
      <c r="AE211" s="145" t="n">
        <v>0</v>
      </c>
      <c r="AF211" s="145" t="n">
        <v>0</v>
      </c>
      <c r="AG211" s="145" t="n">
        <v>0</v>
      </c>
      <c r="AH211" s="145" t="n">
        <v>0</v>
      </c>
      <c r="AI211" s="145" t="n">
        <v>0</v>
      </c>
      <c r="AJ211" s="145" t="n">
        <v>0</v>
      </c>
      <c r="AK211" s="145" t="n">
        <v>0</v>
      </c>
      <c r="AL211" s="145" t="n">
        <v>0</v>
      </c>
      <c r="AM211" s="145" t="n">
        <v>0</v>
      </c>
      <c r="AN211" s="145" t="n">
        <v>0</v>
      </c>
      <c r="AO211" s="145" t="n">
        <v>0</v>
      </c>
      <c r="AP211" s="145" t="n">
        <v>0</v>
      </c>
      <c r="AQ211" s="145" t="n">
        <v>0</v>
      </c>
      <c r="AR211" s="145" t="n">
        <v>0</v>
      </c>
      <c r="AS211" s="145" t="n">
        <v>0</v>
      </c>
      <c r="AT211" s="145" t="n">
        <v>0</v>
      </c>
      <c r="AU211" s="145" t="n"/>
      <c r="AV211" s="145" t="n"/>
      <c r="AW211" s="145" t="n"/>
      <c r="AX211" s="145" t="n"/>
      <c r="AY211" s="145" t="n"/>
      <c r="AZ211" s="145" t="n"/>
      <c r="BA211" s="145" t="n"/>
      <c r="BB211" s="145" t="n">
        <v>-1650</v>
      </c>
      <c r="BC211" s="145" t="n">
        <v>-1650</v>
      </c>
      <c r="BD211" s="145" t="n">
        <v>-1650</v>
      </c>
      <c r="BE211" s="145" t="n">
        <v>-1650</v>
      </c>
      <c r="BF211" s="145" t="n">
        <v>-2624</v>
      </c>
      <c r="BG211" s="145" t="n">
        <v>-2624</v>
      </c>
      <c r="BH211" s="145" t="n">
        <v>-2624</v>
      </c>
      <c r="BI211" s="145" t="n">
        <v>-2625</v>
      </c>
      <c r="BJ211" s="145" t="n">
        <v>0</v>
      </c>
      <c r="BK211" s="145" t="n">
        <v>0</v>
      </c>
      <c r="BL211" s="145" t="n">
        <v>-2500</v>
      </c>
      <c r="BM211" s="145" t="n">
        <v>-2500</v>
      </c>
      <c r="BN211" s="145" t="n">
        <v>0</v>
      </c>
      <c r="BO211" s="145" t="n">
        <v>0</v>
      </c>
      <c r="BP211" s="145" t="n">
        <v>0</v>
      </c>
      <c r="BQ211" s="145" t="n">
        <v>0</v>
      </c>
    </row>
    <row r="212">
      <c r="A212" s="22" t="inlineStr">
        <is>
          <t>Net cash provided by financing activities</t>
        </is>
      </c>
      <c r="B212" s="133" t="n"/>
      <c r="C212" s="133" t="n"/>
      <c r="D212" s="133" t="n"/>
      <c r="E212" s="133" t="n"/>
      <c r="F212" s="133" t="n"/>
      <c r="G212" s="133" t="n"/>
      <c r="H212" s="133" t="n"/>
      <c r="I212" s="133" t="n"/>
      <c r="J212" s="133" t="n"/>
      <c r="K212" s="133" t="n"/>
      <c r="L212" s="133" t="n"/>
      <c r="M212" s="133" t="n"/>
      <c r="N212" s="133" t="n">
        <v>1040</v>
      </c>
      <c r="O212" s="133" t="n">
        <v>1109</v>
      </c>
      <c r="P212" s="133" t="n">
        <v>4132</v>
      </c>
      <c r="Q212" s="133" t="n">
        <v>37764</v>
      </c>
      <c r="R212" s="133" t="n">
        <v>4136</v>
      </c>
      <c r="S212" s="133" t="n">
        <v>29688</v>
      </c>
      <c r="T212" s="133" t="n">
        <v>31513</v>
      </c>
      <c r="U212" s="133" t="n">
        <v>31885</v>
      </c>
      <c r="V212" s="133" t="n">
        <v>171699</v>
      </c>
      <c r="W212" s="133" t="n">
        <v>111047</v>
      </c>
      <c r="X212" s="133" t="n">
        <v>116202</v>
      </c>
      <c r="Y212" s="133" t="n">
        <v>82087</v>
      </c>
      <c r="Z212" s="133" t="n">
        <v>8026</v>
      </c>
      <c r="AA212" s="133" t="n">
        <v>1727</v>
      </c>
      <c r="AB212" s="133" t="n">
        <v>3424</v>
      </c>
      <c r="AC212" s="133" t="n">
        <v>14149</v>
      </c>
      <c r="AD212" s="133" t="n">
        <v>871</v>
      </c>
      <c r="AE212" s="133" t="n">
        <v>4603</v>
      </c>
      <c r="AF212" s="133" t="n">
        <v>4641</v>
      </c>
      <c r="AG212" s="133" t="n">
        <v>11529</v>
      </c>
      <c r="AH212" s="133" t="n">
        <v>6477</v>
      </c>
      <c r="AI212" s="133" t="n">
        <v>2129</v>
      </c>
      <c r="AJ212" s="133" t="n">
        <v>1204</v>
      </c>
      <c r="AK212" s="133" t="n">
        <v>5370</v>
      </c>
      <c r="AL212" s="133" t="n">
        <v>2135</v>
      </c>
      <c r="AM212" s="133" t="n">
        <v>30379</v>
      </c>
      <c r="AN212" s="133" t="n">
        <v>26706</v>
      </c>
      <c r="AO212" s="133" t="n">
        <v>32851</v>
      </c>
      <c r="AP212" s="133" t="n">
        <v>-3736</v>
      </c>
      <c r="AQ212" s="133" t="n">
        <v>-25417</v>
      </c>
      <c r="AR212" s="133" t="n">
        <v>5237</v>
      </c>
      <c r="AS212" s="133" t="n">
        <v>-3372</v>
      </c>
      <c r="AT212" s="133" t="n">
        <v>-17853</v>
      </c>
      <c r="AU212" s="133" t="n">
        <v>-42227</v>
      </c>
      <c r="AV212" s="133" t="n">
        <v>-102129</v>
      </c>
      <c r="AW212" s="133" t="n">
        <v>-166647</v>
      </c>
      <c r="AX212" s="133" t="n">
        <v>-7060</v>
      </c>
      <c r="AY212" s="133" t="n">
        <v>-4143</v>
      </c>
      <c r="AZ212" s="133" t="n">
        <v>-27024</v>
      </c>
      <c r="BA212" s="133" t="n">
        <v>-37067</v>
      </c>
      <c r="BB212" s="133" t="n">
        <v>-20792</v>
      </c>
      <c r="BC212" s="133" t="n">
        <v>-23471</v>
      </c>
      <c r="BD212" s="133" t="n">
        <v>-25565</v>
      </c>
      <c r="BE212" s="133" t="n">
        <v>-10080</v>
      </c>
      <c r="BF212" s="133">
        <f>SUM(BF202:BF211)</f>
        <v/>
      </c>
      <c r="BG212" s="133" t="n">
        <v>-35684</v>
      </c>
      <c r="BH212" s="133" t="n">
        <v>-72119</v>
      </c>
      <c r="BI212" s="133" t="n">
        <v>-125066</v>
      </c>
      <c r="BJ212" s="133" t="n">
        <v>-80445</v>
      </c>
      <c r="BK212" s="133" t="n">
        <v>-311450</v>
      </c>
      <c r="BL212" s="133">
        <f>SUM(BL201:BL211)</f>
        <v/>
      </c>
      <c r="BM212" s="133" t="n">
        <v>-514549</v>
      </c>
      <c r="BN212" s="133" t="n">
        <v>-117236</v>
      </c>
      <c r="BO212" s="133" t="n">
        <v>-129793</v>
      </c>
      <c r="BP212" s="133">
        <f>-175991</f>
        <v/>
      </c>
      <c r="BQ212" s="133" t="n">
        <v>-236380</v>
      </c>
      <c r="BR212" s="133" t="n">
        <v>-90774</v>
      </c>
      <c r="BS212" t="n">
        <v>-119454</v>
      </c>
      <c r="BT212" t="inlineStr">
        <is>
          <t>IPGP-Financial-Data-Workbook-2024-Q2.xlsx|Cash Flows|49|93</t>
        </is>
      </c>
    </row>
    <row r="213">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c r="AJ213" s="20" t="n"/>
      <c r="AK213" s="20" t="n"/>
      <c r="AL213" s="20" t="n"/>
      <c r="AM213" s="20" t="n"/>
      <c r="AN213" s="20" t="n"/>
      <c r="AO213" s="20" t="n"/>
      <c r="AP213" s="20" t="n"/>
      <c r="AQ213" s="20" t="n"/>
      <c r="AR213" s="20" t="n"/>
      <c r="AS213" s="20" t="n"/>
      <c r="AT213" s="20" t="n"/>
      <c r="AU213" s="20" t="n"/>
      <c r="AV213" s="20" t="n"/>
      <c r="AW213" s="20" t="n"/>
      <c r="AX213" s="20" t="n"/>
      <c r="AY213" s="20" t="n"/>
      <c r="AZ213" s="20" t="n"/>
      <c r="BA213" s="20" t="n"/>
      <c r="BB213" s="20" t="n"/>
      <c r="BC213" s="20" t="n"/>
      <c r="BD213" s="20" t="n"/>
      <c r="BE213" s="20" t="n"/>
      <c r="BF213" s="20" t="n"/>
      <c r="BG213" s="20" t="n"/>
      <c r="BH213" s="20" t="n"/>
      <c r="BI213" s="20" t="n"/>
      <c r="BJ213" s="20" t="n"/>
      <c r="BK213" s="20" t="n"/>
      <c r="BL213" s="20" t="n"/>
      <c r="BM213" s="20" t="n"/>
      <c r="BN213" s="20" t="n"/>
      <c r="BO213" s="20" t="n"/>
      <c r="BP213" s="20" t="n"/>
      <c r="BQ213" s="20" t="n"/>
    </row>
    <row r="214">
      <c r="A214" s="502" t="inlineStr">
        <is>
          <t>Effect of changes in exchange rates on cash and cash equivalents</t>
        </is>
      </c>
      <c r="B214" s="145" t="n"/>
      <c r="C214" s="145" t="n"/>
      <c r="D214" s="145" t="n"/>
      <c r="E214" s="145" t="n"/>
      <c r="F214" s="145" t="n"/>
      <c r="G214" s="145" t="n"/>
      <c r="H214" s="145" t="n"/>
      <c r="I214" s="145" t="n"/>
      <c r="J214" s="145" t="n"/>
      <c r="K214" s="145" t="n"/>
      <c r="L214" s="145" t="n"/>
      <c r="M214" s="145" t="n"/>
      <c r="N214" s="145" t="n">
        <v>-1909</v>
      </c>
      <c r="O214" s="145" t="n">
        <v>-4120</v>
      </c>
      <c r="P214" s="145" t="n">
        <v>-1691</v>
      </c>
      <c r="Q214" s="145" t="n">
        <v>-3697</v>
      </c>
      <c r="R214" s="145" t="n">
        <v>5248</v>
      </c>
      <c r="S214" s="145" t="n">
        <v>6780</v>
      </c>
      <c r="T214" s="145" t="n">
        <v>-3771</v>
      </c>
      <c r="U214" s="145" t="n">
        <v>-7763</v>
      </c>
      <c r="V214" s="145" t="n">
        <v>4762</v>
      </c>
      <c r="W214" s="145" t="n">
        <v>-3840</v>
      </c>
      <c r="X214" s="145" t="n">
        <v>-2200</v>
      </c>
      <c r="Y214" s="145" t="n">
        <v>1713</v>
      </c>
      <c r="Z214" s="145" t="n">
        <v>-2188</v>
      </c>
      <c r="AA214" s="145" t="n">
        <v>-1325</v>
      </c>
      <c r="AB214" s="145" t="n">
        <v>3161</v>
      </c>
      <c r="AC214" s="145" t="n">
        <v>7093</v>
      </c>
      <c r="AD214" s="145" t="n">
        <v>-1124</v>
      </c>
      <c r="AE214" s="145" t="n">
        <v>-1337</v>
      </c>
      <c r="AF214" s="145" t="n">
        <v>-15747</v>
      </c>
      <c r="AG214" s="145" t="n">
        <v>-28180</v>
      </c>
      <c r="AH214" s="145" t="n">
        <v>-20367</v>
      </c>
      <c r="AI214" s="145" t="n">
        <v>-16842</v>
      </c>
      <c r="AJ214" s="145" t="n">
        <v>-11322</v>
      </c>
      <c r="AK214" s="145" t="n">
        <v>-19992</v>
      </c>
      <c r="AL214" s="145" t="n">
        <v>8812</v>
      </c>
      <c r="AM214" s="145" t="n">
        <v>3696</v>
      </c>
      <c r="AN214" s="145" t="n">
        <v>7379</v>
      </c>
      <c r="AO214" s="145" t="n">
        <v>-9408</v>
      </c>
      <c r="AP214" s="145" t="n">
        <v>6465</v>
      </c>
      <c r="AQ214" s="145" t="n">
        <v>31867</v>
      </c>
      <c r="AR214" s="145" t="n">
        <v>47641</v>
      </c>
      <c r="AS214" s="145" t="n">
        <v>54827</v>
      </c>
      <c r="AT214" s="145" t="n">
        <v>16866</v>
      </c>
      <c r="AU214" s="145" t="n">
        <v>-31111</v>
      </c>
      <c r="AV214" s="145" t="n">
        <v>-23548</v>
      </c>
      <c r="AW214" s="145" t="n">
        <v>-29197</v>
      </c>
      <c r="AX214" s="145" t="n">
        <v>-5868</v>
      </c>
      <c r="AY214" s="145">
        <f>-2759-2964</f>
        <v/>
      </c>
      <c r="AZ214" s="145">
        <f>-16561-2789</f>
        <v/>
      </c>
      <c r="BA214" s="145">
        <f>-7853</f>
        <v/>
      </c>
      <c r="BB214" s="145">
        <f>-6878</f>
        <v/>
      </c>
      <c r="BC214" s="145" t="n">
        <v>-4523</v>
      </c>
      <c r="BD214" s="145" t="n">
        <v>4692</v>
      </c>
      <c r="BE214" s="145" t="n">
        <v>19888</v>
      </c>
      <c r="BF214" s="145" t="n">
        <v>-7024</v>
      </c>
      <c r="BG214" s="145" t="n">
        <v>-8217</v>
      </c>
      <c r="BH214" s="145" t="n">
        <v>-11862</v>
      </c>
      <c r="BI214" s="145" t="n">
        <v>-17800</v>
      </c>
      <c r="BJ214" s="145" t="n">
        <v>-5036</v>
      </c>
      <c r="BK214" s="145" t="n">
        <v>-1249</v>
      </c>
      <c r="BL214" s="145" t="n">
        <v>-17461</v>
      </c>
      <c r="BM214" s="145" t="n">
        <v>-5948</v>
      </c>
      <c r="BN214" s="145" t="n">
        <v>-1098</v>
      </c>
      <c r="BO214" s="145" t="n">
        <v>-8750</v>
      </c>
      <c r="BP214" s="145" t="n">
        <v>-20862</v>
      </c>
      <c r="BQ214" s="145" t="n">
        <v>-5587</v>
      </c>
      <c r="BR214" s="145" t="n">
        <v>-5780</v>
      </c>
      <c r="BS214" t="n">
        <v>5176</v>
      </c>
      <c r="BT214" t="inlineStr">
        <is>
          <t>IPGP-Financial-Data-Workbook-2024-Q2.xlsx|Cash Flows|51|93</t>
        </is>
      </c>
    </row>
    <row r="215">
      <c r="A215" s="503" t="inlineStr">
        <is>
          <t>Net increase in cash and cash equivalents</t>
        </is>
      </c>
      <c r="B215" s="133" t="n"/>
      <c r="C215" s="133" t="n"/>
      <c r="D215" s="133" t="n"/>
      <c r="E215" s="133" t="n"/>
      <c r="F215" s="133" t="n"/>
      <c r="G215" s="133" t="n"/>
      <c r="H215" s="133" t="n"/>
      <c r="I215" s="133" t="n"/>
      <c r="J215" s="133" t="n"/>
      <c r="K215" s="133" t="n"/>
      <c r="L215" s="133" t="n"/>
      <c r="M215" s="133" t="n"/>
      <c r="N215" s="133" t="n">
        <v>1487</v>
      </c>
      <c r="O215" s="133" t="n">
        <v>7735</v>
      </c>
      <c r="P215" s="133" t="n">
        <v>13710</v>
      </c>
      <c r="Q215" s="133" t="n">
        <v>64940</v>
      </c>
      <c r="R215" s="133" t="n">
        <v>12758</v>
      </c>
      <c r="S215" s="133" t="n">
        <v>40336</v>
      </c>
      <c r="T215" s="133" t="n">
        <v>48726</v>
      </c>
      <c r="U215" s="133" t="n">
        <v>32374</v>
      </c>
      <c r="V215" s="133" t="n">
        <v>196837</v>
      </c>
      <c r="W215" s="133" t="n">
        <v>165344</v>
      </c>
      <c r="X215" s="133" t="n">
        <v>192335</v>
      </c>
      <c r="Y215" s="133" t="n">
        <v>203819</v>
      </c>
      <c r="Z215" s="133" t="n">
        <v>-28338</v>
      </c>
      <c r="AA215" s="133" t="n">
        <v>-14569</v>
      </c>
      <c r="AB215" s="133" t="n">
        <v>14302</v>
      </c>
      <c r="AC215" s="133" t="n">
        <v>64723</v>
      </c>
      <c r="AD215" s="133" t="n">
        <v>31833</v>
      </c>
      <c r="AE215" s="133" t="n">
        <v>34656</v>
      </c>
      <c r="AF215" s="133" t="n">
        <v>38742</v>
      </c>
      <c r="AG215" s="133" t="n">
        <v>73374</v>
      </c>
      <c r="AH215" s="133" t="n">
        <v>19324</v>
      </c>
      <c r="AI215" s="133" t="n">
        <v>49358</v>
      </c>
      <c r="AJ215" s="133" t="n">
        <v>129070</v>
      </c>
      <c r="AK215" s="133" t="n">
        <v>60382</v>
      </c>
      <c r="AL215" s="133" t="n">
        <v>31160</v>
      </c>
      <c r="AM215" s="133" t="n">
        <v>4754</v>
      </c>
      <c r="AN215" s="133" t="n">
        <v>63026</v>
      </c>
      <c r="AO215" s="133" t="n">
        <v>41323</v>
      </c>
      <c r="AP215" s="133" t="n">
        <v>73923</v>
      </c>
      <c r="AQ215" s="133" t="n">
        <v>184256</v>
      </c>
      <c r="AR215" s="133" t="n">
        <v>256412</v>
      </c>
      <c r="AS215" s="133" t="n">
        <v>286045</v>
      </c>
      <c r="AT215" s="133" t="n">
        <v>59223</v>
      </c>
      <c r="AU215" s="133" t="n">
        <v>-93108</v>
      </c>
      <c r="AV215" s="133" t="n">
        <v>-262294</v>
      </c>
      <c r="AW215" s="133" t="n">
        <v>-365542</v>
      </c>
      <c r="AX215" s="133" t="n">
        <v>4580</v>
      </c>
      <c r="AY215" s="133">
        <f>-11381-2964</f>
        <v/>
      </c>
      <c r="AZ215" s="133">
        <f>38760-2789</f>
        <v/>
      </c>
      <c r="BA215" s="133">
        <f>138626</f>
        <v/>
      </c>
      <c r="BB215" s="133">
        <f>-110643</f>
        <v/>
      </c>
      <c r="BC215" s="133" t="n">
        <v>67058</v>
      </c>
      <c r="BD215" s="133" t="n">
        <v>83066</v>
      </c>
      <c r="BE215" s="133" t="n">
        <v>195569</v>
      </c>
      <c r="BF215" s="133" t="n">
        <v>18188</v>
      </c>
      <c r="BG215" s="133" t="n">
        <v>-124354</v>
      </c>
      <c r="BH215" s="133" t="n">
        <v>-83649</v>
      </c>
      <c r="BI215" s="133" t="n">
        <v>-169448</v>
      </c>
      <c r="BJ215" s="133" t="n">
        <v>-66588</v>
      </c>
      <c r="BK215" s="133" t="n">
        <v>62683</v>
      </c>
      <c r="BL215" s="133" t="n">
        <v>160169</v>
      </c>
      <c r="BM215" s="133" t="n">
        <v>-10896</v>
      </c>
      <c r="BN215" s="133" t="n">
        <v>-177072</v>
      </c>
      <c r="BO215" s="133" t="n">
        <v>-125138</v>
      </c>
      <c r="BP215" s="133" t="n">
        <v>-169925</v>
      </c>
      <c r="BQ215" s="133" t="n">
        <v>-183535</v>
      </c>
      <c r="BR215" s="133" t="n">
        <v>-18222</v>
      </c>
      <c r="BS215" t="n">
        <v>224088</v>
      </c>
      <c r="BT215" t="inlineStr">
        <is>
          <t>IPGP-Financial-Data-Workbook-2024-Q2.xlsx|Cash Flows|53|93</t>
        </is>
      </c>
    </row>
    <row r="216">
      <c r="A216" s="502" t="inlineStr">
        <is>
          <t>Cash and cash equivalents - Beginning of period</t>
        </is>
      </c>
      <c r="B216" s="145" t="n"/>
      <c r="C216" s="145" t="n"/>
      <c r="D216" s="145" t="n"/>
      <c r="E216" s="145" t="n"/>
      <c r="F216" s="145" t="n"/>
      <c r="G216" s="145" t="n"/>
      <c r="H216" s="145" t="n"/>
      <c r="I216" s="145" t="n"/>
      <c r="J216" s="145" t="n"/>
      <c r="K216" s="145" t="n"/>
      <c r="L216" s="145" t="n"/>
      <c r="M216" s="145" t="n"/>
      <c r="N216" s="145" t="n">
        <v>82920</v>
      </c>
      <c r="O216" s="145" t="n">
        <v>82920</v>
      </c>
      <c r="P216" s="145" t="n">
        <v>82920</v>
      </c>
      <c r="Q216" s="145" t="n">
        <v>82920</v>
      </c>
      <c r="R216" s="145" t="n">
        <v>147860</v>
      </c>
      <c r="S216" s="145" t="n">
        <v>147860</v>
      </c>
      <c r="T216" s="145" t="n">
        <v>147860</v>
      </c>
      <c r="U216" s="145" t="n">
        <v>147860</v>
      </c>
      <c r="V216" s="145" t="n">
        <v>180234</v>
      </c>
      <c r="W216" s="145" t="n">
        <v>180234</v>
      </c>
      <c r="X216" s="145" t="n">
        <v>180234</v>
      </c>
      <c r="Y216" s="145" t="n">
        <v>180234</v>
      </c>
      <c r="Z216" s="145" t="n">
        <v>384053</v>
      </c>
      <c r="AA216" s="145" t="n">
        <v>384053</v>
      </c>
      <c r="AB216" s="145" t="n">
        <v>384053</v>
      </c>
      <c r="AC216" s="145" t="n">
        <v>384053</v>
      </c>
      <c r="AD216" s="145" t="n">
        <v>448776</v>
      </c>
      <c r="AE216" s="145" t="n">
        <v>448776</v>
      </c>
      <c r="AF216" s="145" t="n">
        <v>448776</v>
      </c>
      <c r="AG216" s="145" t="n">
        <v>448776</v>
      </c>
      <c r="AH216" s="145" t="n">
        <v>522150</v>
      </c>
      <c r="AI216" s="145" t="n">
        <v>522150</v>
      </c>
      <c r="AJ216" s="145" t="n">
        <v>522150</v>
      </c>
      <c r="AK216" s="145" t="n">
        <v>522150</v>
      </c>
      <c r="AL216" s="145" t="n">
        <v>582532</v>
      </c>
      <c r="AM216" s="145" t="n">
        <v>582532</v>
      </c>
      <c r="AN216" s="145" t="n">
        <v>582532</v>
      </c>
      <c r="AO216" s="145" t="n">
        <v>582532</v>
      </c>
      <c r="AP216" s="145" t="n">
        <v>623855</v>
      </c>
      <c r="AQ216" s="145" t="n">
        <v>623855</v>
      </c>
      <c r="AR216" s="145" t="n">
        <v>623855</v>
      </c>
      <c r="AS216" s="145" t="n">
        <v>623855</v>
      </c>
      <c r="AT216" s="145" t="n">
        <v>909900</v>
      </c>
      <c r="AU216" s="145" t="n">
        <v>909900</v>
      </c>
      <c r="AV216" s="145" t="n">
        <v>909900</v>
      </c>
      <c r="AW216" s="145" t="n">
        <v>909900</v>
      </c>
      <c r="AX216" s="145" t="n">
        <v>544358</v>
      </c>
      <c r="AY216" s="145" t="n">
        <v>544358</v>
      </c>
      <c r="AZ216" s="145" t="n">
        <v>544358</v>
      </c>
      <c r="BA216" s="145" t="n">
        <v>544358</v>
      </c>
      <c r="BB216" s="145" t="n">
        <v>682984</v>
      </c>
      <c r="BC216" s="145" t="n">
        <v>682984</v>
      </c>
      <c r="BD216" s="145" t="n">
        <v>682984</v>
      </c>
      <c r="BE216" s="145" t="n">
        <v>682984</v>
      </c>
      <c r="BF216" s="145" t="n">
        <v>878553</v>
      </c>
      <c r="BG216" s="145" t="n">
        <v>878553</v>
      </c>
      <c r="BH216" s="145" t="n">
        <v>878553</v>
      </c>
      <c r="BI216" s="145" t="n">
        <v>878553</v>
      </c>
      <c r="BJ216" s="145" t="n">
        <v>709105</v>
      </c>
      <c r="BK216" s="145" t="n">
        <v>709105</v>
      </c>
      <c r="BL216" s="145" t="n">
        <v>709105</v>
      </c>
      <c r="BM216" s="145" t="n">
        <v>709105</v>
      </c>
      <c r="BN216" s="145" t="n">
        <v>698209</v>
      </c>
      <c r="BO216" s="145" t="n">
        <v>698209</v>
      </c>
      <c r="BP216" s="145" t="n">
        <v>698209</v>
      </c>
      <c r="BQ216" s="145" t="n">
        <v>698209</v>
      </c>
      <c r="BR216" s="145" t="n">
        <v>514674</v>
      </c>
      <c r="BS216" t="n">
        <v>496452</v>
      </c>
      <c r="BT216" t="inlineStr">
        <is>
          <t>IPGP-Financial-Data-Workbook-2024-Q2.xlsx|Cash Flows|54|93</t>
        </is>
      </c>
    </row>
    <row r="217">
      <c r="A217" s="502" t="inlineStr">
        <is>
          <t>Cash and cash equivalents - Ending balance</t>
        </is>
      </c>
      <c r="B217" s="145" t="n"/>
      <c r="C217" s="145" t="n"/>
      <c r="D217" s="145" t="n"/>
      <c r="E217" s="145" t="n"/>
      <c r="F217" s="145" t="n"/>
      <c r="G217" s="145" t="n"/>
      <c r="H217" s="145" t="n"/>
      <c r="I217" s="145" t="n"/>
      <c r="J217" s="145" t="n"/>
      <c r="K217" s="145" t="n"/>
      <c r="L217" s="145" t="n"/>
      <c r="M217" s="145" t="n"/>
      <c r="N217" s="145" t="n"/>
      <c r="O217" s="145" t="n"/>
      <c r="P217" s="145" t="n"/>
      <c r="Q217" s="145" t="n"/>
      <c r="R217" s="145" t="n"/>
      <c r="S217" s="145" t="n"/>
      <c r="T217" s="145" t="n"/>
      <c r="U217" s="145" t="n"/>
      <c r="V217" s="145" t="n"/>
      <c r="W217" s="145" t="n"/>
      <c r="X217" s="145" t="n"/>
      <c r="Y217" s="145" t="n"/>
      <c r="Z217" s="145" t="n"/>
      <c r="AA217" s="145" t="n"/>
      <c r="AB217" s="145" t="n"/>
      <c r="AC217" s="145" t="n"/>
      <c r="AD217" s="145" t="n"/>
      <c r="AE217" s="145" t="n"/>
      <c r="AF217" s="145" t="n"/>
      <c r="AG217" s="145" t="n"/>
      <c r="AH217" s="145" t="n"/>
      <c r="AI217" s="145" t="n"/>
      <c r="AJ217" s="145" t="n"/>
      <c r="AK217" s="145" t="n"/>
      <c r="AL217" s="145" t="n"/>
      <c r="AM217" s="145" t="n"/>
      <c r="AN217" s="145" t="n"/>
      <c r="AO217" s="145" t="n"/>
      <c r="AP217" s="145" t="n"/>
      <c r="AQ217" s="145" t="n"/>
      <c r="AR217" s="145" t="n"/>
      <c r="AS217" s="145" t="n"/>
      <c r="AT217" s="145" t="n"/>
      <c r="AU217" s="145" t="n"/>
      <c r="AV217" s="145" t="n"/>
      <c r="AW217" s="145" t="n"/>
      <c r="AX217" s="145" t="n"/>
      <c r="AY217" s="145" t="n"/>
      <c r="AZ217" s="145" t="n"/>
      <c r="BA217" s="405">
        <f>BA216+BA215</f>
        <v/>
      </c>
      <c r="BB217" s="405">
        <f>BB216+BB215</f>
        <v/>
      </c>
      <c r="BC217" s="405" t="n">
        <v>750042</v>
      </c>
      <c r="BD217" s="405" t="n">
        <v>766050</v>
      </c>
      <c r="BE217" s="405" t="n">
        <v>878553</v>
      </c>
      <c r="BF217" s="405">
        <f>BF216+BF215</f>
        <v/>
      </c>
      <c r="BG217" s="405" t="n">
        <v>754199</v>
      </c>
      <c r="BH217" s="405" t="n">
        <v>794904</v>
      </c>
      <c r="BI217" s="405" t="n">
        <v>709105</v>
      </c>
      <c r="BJ217" s="405" t="n">
        <v>642517</v>
      </c>
      <c r="BK217" s="405" t="n">
        <v>771788</v>
      </c>
      <c r="BL217" s="405" t="n">
        <v>869274</v>
      </c>
      <c r="BM217" s="405" t="n">
        <v>698209</v>
      </c>
      <c r="BN217" s="405" t="n">
        <v>521137</v>
      </c>
      <c r="BO217" s="405" t="n">
        <v>573071</v>
      </c>
      <c r="BP217" s="405" t="n">
        <v>528284</v>
      </c>
      <c r="BQ217" s="405" t="n">
        <v>514674</v>
      </c>
      <c r="BR217" s="405" t="n">
        <v>496452</v>
      </c>
      <c r="BS217" t="n">
        <v>720540</v>
      </c>
      <c r="BT217" t="inlineStr">
        <is>
          <t>IPGP-Financial-Data-Workbook-2024-Q2.xlsx|Cash Flows|55|93</t>
        </is>
      </c>
    </row>
    <row r="218">
      <c r="A218" s="502" t="inlineStr">
        <is>
          <t>Less: restricted cash included in other current assets and other assets</t>
        </is>
      </c>
      <c r="B218" s="145" t="n"/>
      <c r="C218" s="145" t="n"/>
      <c r="D218" s="145" t="n"/>
      <c r="E218" s="145" t="n"/>
      <c r="F218" s="145" t="n"/>
      <c r="G218" s="145" t="n"/>
      <c r="H218" s="145" t="n"/>
      <c r="I218" s="145" t="n"/>
      <c r="J218" s="145" t="n"/>
      <c r="K218" s="145" t="n"/>
      <c r="L218" s="145" t="n"/>
      <c r="M218" s="145" t="n"/>
      <c r="N218" s="145" t="n"/>
      <c r="O218" s="145" t="n"/>
      <c r="P218" s="145" t="n"/>
      <c r="Q218" s="145" t="n"/>
      <c r="R218" s="145" t="n"/>
      <c r="S218" s="145" t="n"/>
      <c r="T218" s="145" t="n"/>
      <c r="U218" s="145" t="n"/>
      <c r="V218" s="145" t="n"/>
      <c r="W218" s="145" t="n"/>
      <c r="X218" s="145" t="n"/>
      <c r="Y218" s="145" t="n"/>
      <c r="Z218" s="145" t="n"/>
      <c r="AA218" s="145" t="n"/>
      <c r="AB218" s="145" t="n"/>
      <c r="AC218" s="145" t="n"/>
      <c r="AD218" s="145" t="n"/>
      <c r="AE218" s="145" t="n"/>
      <c r="AF218" s="145" t="n"/>
      <c r="AG218" s="145" t="n"/>
      <c r="AH218" s="145" t="n"/>
      <c r="AI218" s="145" t="n"/>
      <c r="AJ218" s="145" t="n"/>
      <c r="AK218" s="145" t="n"/>
      <c r="AL218" s="145" t="n"/>
      <c r="AM218" s="145" t="n"/>
      <c r="AN218" s="145" t="n"/>
      <c r="AO218" s="145" t="n"/>
      <c r="AP218" s="145" t="n"/>
      <c r="AQ218" s="145" t="n"/>
      <c r="AR218" s="145" t="n"/>
      <c r="AS218" s="145" t="n"/>
      <c r="AT218" s="145" t="n"/>
      <c r="AU218" s="145" t="n"/>
      <c r="AV218" s="145" t="n"/>
      <c r="AW218" s="145" t="n"/>
      <c r="AX218" s="145" t="n"/>
      <c r="AY218" s="145" t="n"/>
      <c r="AZ218" s="145" t="n"/>
      <c r="BA218" s="346" t="n">
        <v>2914</v>
      </c>
      <c r="BB218" s="346" t="n">
        <v>2283</v>
      </c>
      <c r="BC218" s="346" t="n">
        <v>2183</v>
      </c>
      <c r="BD218" s="346" t="n">
        <v>2130</v>
      </c>
      <c r="BE218" s="346" t="n">
        <v>2322</v>
      </c>
      <c r="BF218" s="346" t="n">
        <v>0</v>
      </c>
      <c r="BG218" s="346" t="n">
        <v>0</v>
      </c>
      <c r="BH218" s="346" t="n">
        <v>0</v>
      </c>
      <c r="BI218" s="346" t="n">
        <v>0</v>
      </c>
      <c r="BJ218" s="346" t="n">
        <v>0</v>
      </c>
      <c r="BK218" s="346" t="n">
        <v>0</v>
      </c>
      <c r="BL218" s="346" t="n">
        <v>0</v>
      </c>
      <c r="BM218" s="346" t="n">
        <v>0</v>
      </c>
      <c r="BN218" s="346" t="n">
        <v>0</v>
      </c>
      <c r="BO218" s="346" t="n">
        <v>0</v>
      </c>
      <c r="BP218" s="346" t="n">
        <v>0</v>
      </c>
      <c r="BQ218" s="346" t="n">
        <v>0</v>
      </c>
    </row>
    <row r="219">
      <c r="A219" s="502" t="inlineStr">
        <is>
          <t>Cash and cash equivalents - End of period</t>
        </is>
      </c>
      <c r="B219" s="145" t="n"/>
      <c r="C219" s="145" t="n"/>
      <c r="D219" s="145" t="n"/>
      <c r="E219" s="145" t="n"/>
      <c r="F219" s="145" t="n"/>
      <c r="G219" s="145" t="n"/>
      <c r="H219" s="145" t="n"/>
      <c r="I219" s="145" t="n"/>
      <c r="J219" s="145" t="n"/>
      <c r="K219" s="145" t="n"/>
      <c r="L219" s="145" t="n"/>
      <c r="M219" s="145" t="n"/>
      <c r="N219" s="145" t="n">
        <v>84407</v>
      </c>
      <c r="O219" s="145" t="n">
        <v>90655</v>
      </c>
      <c r="P219" s="145" t="n">
        <v>96630</v>
      </c>
      <c r="Q219" s="145" t="n">
        <v>147860</v>
      </c>
      <c r="R219" s="145" t="n">
        <v>160618</v>
      </c>
      <c r="S219" s="145" t="n">
        <v>188196</v>
      </c>
      <c r="T219" s="145" t="n">
        <v>196586</v>
      </c>
      <c r="U219" s="145" t="n">
        <v>180234</v>
      </c>
      <c r="V219" s="145" t="n">
        <v>377071</v>
      </c>
      <c r="W219" s="145" t="n">
        <v>345578</v>
      </c>
      <c r="X219" s="145" t="n">
        <v>372569</v>
      </c>
      <c r="Y219" s="145" t="n">
        <v>384053</v>
      </c>
      <c r="Z219" s="145" t="n">
        <v>355715</v>
      </c>
      <c r="AA219" s="145" t="n">
        <v>369484</v>
      </c>
      <c r="AB219" s="145" t="n">
        <v>398355</v>
      </c>
      <c r="AC219" s="145" t="n">
        <v>448776</v>
      </c>
      <c r="AD219" s="145" t="n">
        <v>480609</v>
      </c>
      <c r="AE219" s="145" t="n">
        <v>483432</v>
      </c>
      <c r="AF219" s="145" t="n">
        <v>487518</v>
      </c>
      <c r="AG219" s="145" t="n">
        <v>522150</v>
      </c>
      <c r="AH219" s="145" t="n">
        <v>541474</v>
      </c>
      <c r="AI219" s="145" t="n">
        <v>571508</v>
      </c>
      <c r="AJ219" s="145" t="n">
        <v>651220</v>
      </c>
      <c r="AK219" s="145" t="n">
        <v>582532</v>
      </c>
      <c r="AL219" s="145" t="n">
        <v>613692</v>
      </c>
      <c r="AM219" s="145" t="n">
        <v>587286</v>
      </c>
      <c r="AN219" s="145" t="n">
        <v>645558</v>
      </c>
      <c r="AO219" s="145" t="n">
        <v>623855</v>
      </c>
      <c r="AP219" s="145" t="n">
        <v>697778</v>
      </c>
      <c r="AQ219" s="145" t="n">
        <v>808111</v>
      </c>
      <c r="AR219" s="145" t="n">
        <v>880267</v>
      </c>
      <c r="AS219" s="145" t="n">
        <v>909900</v>
      </c>
      <c r="AT219" s="145" t="n">
        <v>969123</v>
      </c>
      <c r="AU219" s="145" t="n">
        <v>816792</v>
      </c>
      <c r="AV219" s="145" t="n">
        <v>647606</v>
      </c>
      <c r="AW219" s="145" t="n">
        <v>544358</v>
      </c>
      <c r="AX219" s="145" t="n">
        <v>548938</v>
      </c>
      <c r="AY219" s="145" t="n">
        <v>530013</v>
      </c>
      <c r="AZ219" s="145" t="n">
        <v>580329</v>
      </c>
      <c r="BA219" s="145" t="n">
        <v>680070</v>
      </c>
      <c r="BB219" s="145" t="n">
        <v>570058</v>
      </c>
      <c r="BC219" s="145" t="n">
        <v>747859</v>
      </c>
      <c r="BD219" s="145" t="n">
        <v>763920</v>
      </c>
      <c r="BE219" s="145" t="n">
        <v>876231</v>
      </c>
      <c r="BF219" s="145" t="n">
        <v>896741</v>
      </c>
      <c r="BG219" s="145" t="n">
        <v>754199</v>
      </c>
      <c r="BH219" s="145" t="n">
        <v>794904</v>
      </c>
      <c r="BI219" s="145" t="n">
        <v>709105</v>
      </c>
      <c r="BJ219" s="145" t="n">
        <v>642517</v>
      </c>
      <c r="BK219" s="145" t="n">
        <v>771788</v>
      </c>
      <c r="BL219" s="145" t="n">
        <v>869274</v>
      </c>
      <c r="BM219" s="145" t="n">
        <v>698209</v>
      </c>
      <c r="BN219" s="145" t="n">
        <v>521137</v>
      </c>
      <c r="BO219" s="145" t="n">
        <v>573071</v>
      </c>
      <c r="BP219" s="145" t="n">
        <v>528284</v>
      </c>
      <c r="BQ219" s="145" t="n">
        <v>514674</v>
      </c>
      <c r="BR219" s="145" t="n">
        <v>496452</v>
      </c>
      <c r="BS219" t="n">
        <v>720540</v>
      </c>
      <c r="BT219" t="inlineStr">
        <is>
          <t>IPGP-Financial-Data-Workbook-2024-Q2.xlsx|Cash Flows|57|93</t>
        </is>
      </c>
    </row>
    <row r="220">
      <c r="A220" s="502" t="inlineStr">
        <is>
          <t>Supplemental disclosures of cash flow information:</t>
        </is>
      </c>
      <c r="B220" s="145" t="n"/>
      <c r="C220" s="145" t="n"/>
      <c r="D220" s="145" t="n"/>
      <c r="E220" s="145" t="n"/>
      <c r="F220" s="145" t="n"/>
      <c r="G220" s="145" t="n"/>
      <c r="H220" s="145" t="n"/>
      <c r="I220" s="145" t="n"/>
      <c r="J220" s="145" t="n"/>
      <c r="K220" s="145" t="n"/>
      <c r="L220" s="145" t="n"/>
      <c r="M220" s="145" t="n"/>
      <c r="N220" s="145" t="n"/>
      <c r="O220" s="145" t="n"/>
      <c r="P220" s="145" t="n"/>
      <c r="Q220" s="145" t="n"/>
      <c r="R220" s="145" t="n"/>
      <c r="S220" s="145" t="n"/>
      <c r="T220" s="145" t="n"/>
      <c r="U220" s="145" t="n"/>
      <c r="V220" s="145" t="n"/>
      <c r="W220" s="145" t="n"/>
      <c r="X220" s="145" t="n"/>
      <c r="Y220" s="145" t="n"/>
      <c r="Z220" s="145" t="n"/>
      <c r="AA220" s="145" t="n"/>
      <c r="AB220" s="145" t="n"/>
      <c r="AC220" s="145" t="n"/>
      <c r="AD220" s="145" t="n"/>
      <c r="AE220" s="145" t="n"/>
      <c r="AF220" s="145" t="n"/>
      <c r="AG220" s="145" t="n"/>
      <c r="AH220" s="145" t="n"/>
      <c r="AI220" s="145" t="n"/>
      <c r="AJ220" s="145" t="n"/>
      <c r="AK220" s="145" t="n"/>
      <c r="AL220" s="145" t="n"/>
      <c r="AM220" s="145" t="n"/>
      <c r="AN220" s="145" t="n"/>
      <c r="AO220" s="145" t="n"/>
      <c r="AP220" s="145" t="n"/>
      <c r="AQ220" s="145" t="n"/>
      <c r="AR220" s="145" t="n"/>
      <c r="AS220" s="145" t="n"/>
      <c r="AT220" s="145" t="n"/>
      <c r="AU220" s="145" t="n"/>
      <c r="AV220" s="145" t="n"/>
      <c r="AW220" s="145" t="n"/>
      <c r="AX220" s="145" t="n"/>
      <c r="AY220" s="145" t="n"/>
      <c r="AZ220" s="145" t="n"/>
      <c r="BA220" s="145" t="n"/>
      <c r="BB220" s="145" t="n"/>
      <c r="BC220" s="145" t="n"/>
      <c r="BD220" s="145" t="n"/>
      <c r="BE220" s="145" t="n"/>
      <c r="BF220" s="145" t="n"/>
      <c r="BG220" s="145" t="n"/>
      <c r="BH220" s="145" t="n"/>
      <c r="BI220" s="145" t="n"/>
      <c r="BJ220" s="145" t="n"/>
      <c r="BK220" s="145" t="n"/>
      <c r="BL220" s="145" t="n"/>
      <c r="BM220" s="145" t="n"/>
      <c r="BN220" s="145" t="n"/>
      <c r="BO220" s="145" t="n"/>
      <c r="BP220" s="145" t="n"/>
      <c r="BQ220" s="145" t="n"/>
    </row>
    <row r="221">
      <c r="A221" s="74" t="inlineStr">
        <is>
          <t>Cash paid for interest</t>
        </is>
      </c>
      <c r="B221" s="145" t="n"/>
      <c r="C221" s="145" t="n"/>
      <c r="D221" s="145" t="n"/>
      <c r="E221" s="145" t="n"/>
      <c r="F221" s="145" t="n"/>
      <c r="G221" s="145" t="n"/>
      <c r="H221" s="145" t="n"/>
      <c r="I221" s="145" t="n"/>
      <c r="J221" s="145" t="n"/>
      <c r="K221" s="145" t="n"/>
      <c r="L221" s="145" t="n"/>
      <c r="M221" s="145" t="n"/>
      <c r="N221" s="145" t="n">
        <v>281</v>
      </c>
      <c r="O221" s="145" t="n">
        <v>515</v>
      </c>
      <c r="P221" s="145" t="n">
        <v>757</v>
      </c>
      <c r="Q221" s="145" t="n">
        <v>998</v>
      </c>
      <c r="R221" s="145" t="n">
        <v>255</v>
      </c>
      <c r="S221" s="145" t="n">
        <v>514</v>
      </c>
      <c r="T221" s="145" t="n">
        <v>809</v>
      </c>
      <c r="U221" s="145" t="n">
        <v>1089</v>
      </c>
      <c r="V221" s="145" t="n">
        <v>251</v>
      </c>
      <c r="W221" s="145" t="n">
        <v>411</v>
      </c>
      <c r="X221" s="145" t="n">
        <v>553</v>
      </c>
      <c r="Y221" s="145" t="n">
        <v>864</v>
      </c>
      <c r="Z221" s="145" t="n">
        <v>88</v>
      </c>
      <c r="AA221" s="145" t="n">
        <v>165</v>
      </c>
      <c r="AB221" s="145" t="n">
        <v>190</v>
      </c>
      <c r="AC221" s="145" t="n">
        <v>208</v>
      </c>
      <c r="AD221" s="145" t="n">
        <v>102</v>
      </c>
      <c r="AE221" s="145" t="n">
        <v>223</v>
      </c>
      <c r="AF221" s="145" t="n">
        <v>302</v>
      </c>
      <c r="AG221" s="145" t="n">
        <v>253</v>
      </c>
      <c r="AH221" s="145" t="n">
        <v>293</v>
      </c>
      <c r="AI221" s="145" t="n">
        <v>533</v>
      </c>
      <c r="AJ221" s="145" t="n">
        <v>688</v>
      </c>
      <c r="AK221" s="145" t="n">
        <v>873</v>
      </c>
      <c r="AL221" s="145" t="n">
        <v>171</v>
      </c>
      <c r="AM221" s="145" t="n">
        <v>349</v>
      </c>
      <c r="AN221" s="145" t="n">
        <v>623</v>
      </c>
      <c r="AO221" s="145" t="n">
        <v>942</v>
      </c>
      <c r="AP221" s="145" t="n">
        <v>447</v>
      </c>
      <c r="AQ221" s="145" t="n">
        <v>975</v>
      </c>
      <c r="AR221" s="145" t="n">
        <v>1965</v>
      </c>
      <c r="AS221" s="145" t="n">
        <v>2583</v>
      </c>
      <c r="AT221" s="145" t="n">
        <v>799</v>
      </c>
      <c r="AU221" s="145" t="n">
        <v>1672</v>
      </c>
      <c r="AV221" s="145" t="n">
        <v>2402</v>
      </c>
      <c r="AW221" s="145" t="n">
        <v>3052</v>
      </c>
      <c r="AX221" s="145" t="n">
        <v>749</v>
      </c>
      <c r="AY221" s="145" t="n">
        <v>1164</v>
      </c>
      <c r="AZ221" s="145" t="n">
        <v>1655</v>
      </c>
      <c r="BA221" s="145" t="n">
        <v>2683</v>
      </c>
      <c r="BB221" s="145" t="n">
        <v>447</v>
      </c>
      <c r="BC221" s="145" t="n">
        <v>1061</v>
      </c>
      <c r="BD221" s="145" t="n">
        <v>1650</v>
      </c>
      <c r="BE221" s="145" t="n">
        <v>2234</v>
      </c>
      <c r="BF221" s="145" t="n">
        <v>703</v>
      </c>
      <c r="BG221" s="145" t="n">
        <v>1388</v>
      </c>
      <c r="BH221" s="145" t="n">
        <v>1932</v>
      </c>
      <c r="BI221" s="145" t="n">
        <v>2714</v>
      </c>
      <c r="BJ221" s="145" t="n">
        <v>857</v>
      </c>
      <c r="BK221" s="145" t="n">
        <v>1600</v>
      </c>
      <c r="BL221" s="145" t="n">
        <v>2766</v>
      </c>
      <c r="BM221" s="145" t="n">
        <v>3214</v>
      </c>
      <c r="BN221" s="145" t="n">
        <v>525</v>
      </c>
      <c r="BO221" s="145" t="n">
        <v>947</v>
      </c>
      <c r="BP221" s="145" t="n">
        <v>1110</v>
      </c>
      <c r="BQ221" s="145" t="n">
        <v>1284</v>
      </c>
      <c r="BR221" s="145" t="n">
        <v>4</v>
      </c>
      <c r="BS221" t="n">
        <v>90</v>
      </c>
      <c r="BT221" t="inlineStr">
        <is>
          <t>IPGP-Financial-Data-Workbook-2024-Q2.xlsx|Cash Flows|60|93</t>
        </is>
      </c>
    </row>
    <row r="222">
      <c r="A222" s="74" t="inlineStr">
        <is>
          <t>Cash paid for income taxes</t>
        </is>
      </c>
      <c r="B222" s="145" t="n"/>
      <c r="C222" s="145" t="n"/>
      <c r="D222" s="145" t="n"/>
      <c r="E222" s="145" t="n"/>
      <c r="F222" s="145" t="n"/>
      <c r="G222" s="145" t="n"/>
      <c r="H222" s="145" t="n"/>
      <c r="I222" s="145" t="n"/>
      <c r="J222" s="145" t="n"/>
      <c r="K222" s="145" t="n"/>
      <c r="L222" s="145" t="n"/>
      <c r="M222" s="145" t="n"/>
      <c r="N222" s="145" t="n">
        <v>1445</v>
      </c>
      <c r="O222" s="145" t="n">
        <v>3504</v>
      </c>
      <c r="P222" s="145" t="n">
        <v>6363</v>
      </c>
      <c r="Q222" s="145" t="n">
        <v>7417</v>
      </c>
      <c r="R222" s="145" t="n">
        <v>8865</v>
      </c>
      <c r="S222" s="145" t="n">
        <v>14905</v>
      </c>
      <c r="T222" s="145" t="n">
        <v>19465</v>
      </c>
      <c r="U222" s="145" t="n">
        <v>39199</v>
      </c>
      <c r="V222" s="145" t="n">
        <v>6755</v>
      </c>
      <c r="W222" s="145" t="n">
        <v>14446</v>
      </c>
      <c r="X222" s="145" t="n">
        <v>20967</v>
      </c>
      <c r="Y222" s="145" t="n">
        <v>25980</v>
      </c>
      <c r="Z222" s="145" t="n">
        <v>47813</v>
      </c>
      <c r="AA222" s="145" t="n">
        <v>61308</v>
      </c>
      <c r="AB222" s="145" t="n">
        <v>74107</v>
      </c>
      <c r="AC222" s="145" t="n">
        <v>89611</v>
      </c>
      <c r="AD222" s="145" t="n">
        <v>20893</v>
      </c>
      <c r="AE222" s="145" t="n">
        <v>41525</v>
      </c>
      <c r="AF222" s="145" t="n">
        <v>56730</v>
      </c>
      <c r="AG222" s="145" t="n">
        <v>73544</v>
      </c>
      <c r="AH222" s="145" t="n">
        <v>11889</v>
      </c>
      <c r="AI222" s="145" t="n">
        <v>44728</v>
      </c>
      <c r="AJ222" s="145" t="n">
        <v>65376</v>
      </c>
      <c r="AK222" s="145" t="n">
        <v>91329</v>
      </c>
      <c r="AL222" s="145" t="n">
        <v>11955</v>
      </c>
      <c r="AM222" s="145" t="n">
        <v>66478</v>
      </c>
      <c r="AN222" s="145" t="n">
        <v>95539</v>
      </c>
      <c r="AO222" s="145" t="n">
        <v>126964</v>
      </c>
      <c r="AP222" s="145" t="n">
        <v>31371</v>
      </c>
      <c r="AQ222" s="145" t="n">
        <v>80956</v>
      </c>
      <c r="AR222" s="145" t="n">
        <v>118660</v>
      </c>
      <c r="AS222" s="145" t="n">
        <v>155559</v>
      </c>
      <c r="AT222" s="145" t="n">
        <v>19546</v>
      </c>
      <c r="AU222" s="145" t="n">
        <v>64495</v>
      </c>
      <c r="AV222" s="145" t="n">
        <v>94801</v>
      </c>
      <c r="AW222" s="145" t="n">
        <v>112762</v>
      </c>
      <c r="AX222" s="145" t="n">
        <v>51438</v>
      </c>
      <c r="AY222" s="145" t="n">
        <v>73855</v>
      </c>
      <c r="AZ222" s="145" t="n">
        <v>97172</v>
      </c>
      <c r="BA222" s="145" t="n">
        <v>116951</v>
      </c>
      <c r="BB222" s="145" t="n">
        <v>29865</v>
      </c>
      <c r="BC222" s="145" t="n">
        <v>53670</v>
      </c>
      <c r="BD222" s="145" t="n">
        <v>65895</v>
      </c>
      <c r="BE222" s="145" t="n">
        <v>85861</v>
      </c>
      <c r="BF222" s="145" t="n">
        <v>21340</v>
      </c>
      <c r="BG222" s="145" t="n">
        <v>41809</v>
      </c>
      <c r="BH222" s="145" t="n">
        <v>35982</v>
      </c>
      <c r="BI222" s="145" t="n">
        <v>62998</v>
      </c>
      <c r="BJ222" s="145" t="n">
        <v>25423</v>
      </c>
      <c r="BK222" s="145" t="n">
        <v>61715</v>
      </c>
      <c r="BL222" s="145" t="n">
        <v>83771</v>
      </c>
      <c r="BM222" s="145" t="n">
        <v>113200</v>
      </c>
      <c r="BN222" s="145" t="n">
        <v>19203</v>
      </c>
      <c r="BO222" s="145" t="n">
        <v>58178</v>
      </c>
      <c r="BP222" s="145" t="n">
        <v>55001</v>
      </c>
      <c r="BQ222" s="145" t="n">
        <v>62916</v>
      </c>
      <c r="BR222" s="145" t="n">
        <v>8005</v>
      </c>
      <c r="BS222" t="n">
        <v>26160</v>
      </c>
      <c r="BT222" t="inlineStr">
        <is>
          <t>IPGP-Financial-Data-Workbook-2024-Q2.xlsx|Cash Flows|61|93</t>
        </is>
      </c>
    </row>
    <row r="223">
      <c r="A223" s="74" t="inlineStr">
        <is>
          <t>Non-cash transactions:</t>
        </is>
      </c>
      <c r="BI223" s="145" t="n"/>
      <c r="BK223" s="145" t="n"/>
      <c r="BL223" s="145" t="n"/>
      <c r="BM223" s="145" t="n"/>
    </row>
    <row r="224">
      <c r="A224" s="33" t="inlineStr">
        <is>
          <t>Demonstration units transferred from inventory to other assets</t>
        </is>
      </c>
      <c r="B224" s="145" t="n"/>
      <c r="C224" s="145" t="n"/>
      <c r="D224" s="145" t="n"/>
      <c r="E224" s="145" t="n"/>
      <c r="F224" s="145" t="n"/>
      <c r="G224" s="145" t="n"/>
      <c r="H224" s="145" t="n"/>
      <c r="I224" s="145" t="n"/>
      <c r="J224" s="145" t="n"/>
      <c r="K224" s="145" t="n"/>
      <c r="L224" s="145" t="n"/>
      <c r="M224" s="145" t="n"/>
      <c r="N224" s="145" t="n">
        <v>490</v>
      </c>
      <c r="O224" s="145" t="n">
        <v>652</v>
      </c>
      <c r="P224" s="145" t="n">
        <v>1462</v>
      </c>
      <c r="Q224" s="145" t="n">
        <v>1620</v>
      </c>
      <c r="R224" s="145" t="n">
        <v>789</v>
      </c>
      <c r="S224" s="145" t="n">
        <v>1291</v>
      </c>
      <c r="T224" s="145" t="n">
        <v>2185</v>
      </c>
      <c r="U224" s="145" t="n">
        <v>3784</v>
      </c>
      <c r="V224" s="145" t="n">
        <v>526</v>
      </c>
      <c r="W224" s="145" t="n">
        <v>1182</v>
      </c>
      <c r="X224" s="145" t="n">
        <v>2098</v>
      </c>
      <c r="Y224" s="145" t="n">
        <v>2631</v>
      </c>
      <c r="Z224" s="145" t="n">
        <v>625</v>
      </c>
      <c r="AA224" s="145" t="n">
        <v>2410</v>
      </c>
      <c r="AB224" s="145" t="n">
        <v>3185</v>
      </c>
      <c r="AC224" s="145" t="n">
        <v>3927</v>
      </c>
      <c r="AD224" s="145" t="n">
        <v>610</v>
      </c>
      <c r="AE224" s="145" t="n">
        <v>1318</v>
      </c>
      <c r="AF224" s="145" t="n">
        <v>2649</v>
      </c>
      <c r="AG224" s="145" t="n">
        <v>3528</v>
      </c>
      <c r="AH224" s="145" t="n">
        <v>634</v>
      </c>
      <c r="AI224" s="145" t="n">
        <v>1479</v>
      </c>
      <c r="AJ224" s="145" t="n">
        <v>1995</v>
      </c>
      <c r="AK224" s="145" t="n">
        <v>3181</v>
      </c>
      <c r="AL224" s="145" t="n">
        <v>623</v>
      </c>
      <c r="AM224" s="145" t="n">
        <v>1746</v>
      </c>
      <c r="AN224" s="145" t="n">
        <v>2916</v>
      </c>
      <c r="AO224" s="145" t="n">
        <v>6293</v>
      </c>
      <c r="AP224" s="145" t="n">
        <v>802</v>
      </c>
      <c r="AQ224" s="145" t="n">
        <v>1845</v>
      </c>
      <c r="AR224" s="145" t="n">
        <v>3290</v>
      </c>
      <c r="AS224" s="145" t="n">
        <v>4114</v>
      </c>
      <c r="AT224" s="145" t="n">
        <v>446</v>
      </c>
      <c r="AU224" s="145" t="n"/>
      <c r="AV224" s="145" t="n"/>
      <c r="AW224" s="145" t="n"/>
      <c r="AX224" s="145" t="n"/>
      <c r="AY224" s="145" t="n"/>
      <c r="AZ224" s="145" t="n"/>
      <c r="BA224" s="145" t="n"/>
      <c r="BB224" s="145" t="n"/>
      <c r="BC224" s="145" t="n"/>
      <c r="BD224" s="145" t="n"/>
      <c r="BE224" s="145" t="n"/>
      <c r="BF224" s="145" t="n"/>
      <c r="BG224" s="145" t="n"/>
      <c r="BH224" s="145" t="n"/>
      <c r="BJ224" s="145" t="n"/>
      <c r="BN224" s="145" t="n"/>
      <c r="BO224" s="145" t="n"/>
      <c r="BP224" s="145" t="n"/>
    </row>
    <row r="225">
      <c r="A225" s="33" t="inlineStr">
        <is>
          <t>Property, plant and equipment transferred from inventory</t>
        </is>
      </c>
      <c r="B225" s="145" t="n"/>
      <c r="C225" s="145" t="n"/>
      <c r="D225" s="145" t="n"/>
      <c r="E225" s="145" t="n"/>
      <c r="F225" s="145" t="n"/>
      <c r="G225" s="145" t="n"/>
      <c r="H225" s="145" t="n"/>
      <c r="I225" s="145" t="n"/>
      <c r="J225" s="145" t="n"/>
      <c r="K225" s="145" t="n"/>
      <c r="L225" s="145" t="n"/>
      <c r="M225" s="145" t="n"/>
      <c r="N225" s="145" t="n">
        <v>0</v>
      </c>
      <c r="O225" s="145" t="n">
        <v>0</v>
      </c>
      <c r="P225" s="145" t="n">
        <v>0</v>
      </c>
      <c r="Q225" s="145" t="n">
        <v>0</v>
      </c>
      <c r="R225" s="145" t="n">
        <v>0</v>
      </c>
      <c r="S225" s="145" t="n">
        <v>0</v>
      </c>
      <c r="T225" s="145" t="n">
        <v>0</v>
      </c>
      <c r="U225" s="145" t="n">
        <v>0</v>
      </c>
      <c r="V225" s="145" t="n">
        <v>0</v>
      </c>
      <c r="W225" s="145" t="n">
        <v>0</v>
      </c>
      <c r="X225" s="145" t="n">
        <v>0</v>
      </c>
      <c r="Y225" s="145" t="n">
        <v>0</v>
      </c>
      <c r="Z225" s="145" t="n">
        <v>0</v>
      </c>
      <c r="AA225" s="145" t="n">
        <v>0</v>
      </c>
      <c r="AB225" s="145" t="n">
        <v>0</v>
      </c>
      <c r="AC225" s="145" t="n">
        <v>0</v>
      </c>
      <c r="AD225" s="145" t="n">
        <v>717</v>
      </c>
      <c r="AE225" s="145" t="n">
        <v>1030</v>
      </c>
      <c r="AF225" s="145" t="n">
        <v>1303</v>
      </c>
      <c r="AG225" s="145" t="n">
        <v>1551</v>
      </c>
      <c r="AH225" s="145" t="n">
        <v>284</v>
      </c>
      <c r="AI225" s="145" t="n">
        <v>1072</v>
      </c>
      <c r="AJ225" s="145" t="n">
        <v>2371</v>
      </c>
      <c r="AK225" s="145" t="n">
        <v>2951</v>
      </c>
      <c r="AL225" s="145" t="n">
        <v>361</v>
      </c>
      <c r="AM225" s="145" t="n">
        <v>1129</v>
      </c>
      <c r="AN225" s="145" t="n">
        <v>4056</v>
      </c>
      <c r="AO225" s="145" t="n">
        <v>4529</v>
      </c>
      <c r="AP225" s="145" t="n">
        <v>1051</v>
      </c>
      <c r="AQ225" s="145" t="n">
        <v>1531</v>
      </c>
      <c r="AR225" s="145" t="n">
        <v>4087</v>
      </c>
      <c r="AS225" s="145" t="n">
        <v>8425</v>
      </c>
      <c r="AT225" s="145" t="n">
        <v>1618</v>
      </c>
      <c r="AU225" s="145" t="n"/>
      <c r="AV225" s="145" t="n"/>
      <c r="AW225" s="145" t="n"/>
      <c r="AX225" s="145" t="n"/>
      <c r="AY225" s="145" t="n"/>
      <c r="AZ225" s="145" t="n"/>
      <c r="BA225" s="145" t="n"/>
      <c r="BB225" s="145" t="n"/>
      <c r="BC225" s="145" t="n"/>
      <c r="BD225" s="145" t="n"/>
      <c r="BE225" s="145" t="n"/>
      <c r="BF225" s="145" t="n"/>
      <c r="BG225" s="145" t="n"/>
      <c r="BH225" s="145" t="n"/>
      <c r="BJ225" s="145" t="n"/>
      <c r="BN225" s="145" t="n"/>
      <c r="BO225" s="145" t="n"/>
      <c r="BP225" s="145" t="n"/>
    </row>
    <row r="226">
      <c r="A226" s="33" t="inlineStr">
        <is>
          <t>Additions to property, plant and equipment included in accounts payable</t>
        </is>
      </c>
      <c r="B226" s="145" t="n"/>
      <c r="C226" s="145" t="n"/>
      <c r="D226" s="145" t="n"/>
      <c r="E226" s="145" t="n"/>
      <c r="F226" s="145" t="n"/>
      <c r="G226" s="145" t="n"/>
      <c r="H226" s="145" t="n"/>
      <c r="I226" s="145" t="n"/>
      <c r="J226" s="145" t="n"/>
      <c r="K226" s="145" t="n"/>
      <c r="L226" s="145" t="n"/>
      <c r="M226" s="145" t="n"/>
      <c r="N226" s="145" t="n">
        <v>119</v>
      </c>
      <c r="O226" s="145" t="n">
        <v>286</v>
      </c>
      <c r="P226" s="145" t="n">
        <v>530</v>
      </c>
      <c r="Q226" s="145" t="n">
        <v>407</v>
      </c>
      <c r="R226" s="145" t="n">
        <v>125</v>
      </c>
      <c r="S226" s="145" t="n">
        <v>545</v>
      </c>
      <c r="T226" s="145" t="n">
        <v>782</v>
      </c>
      <c r="U226" s="145" t="n">
        <v>484</v>
      </c>
      <c r="V226" s="145" t="n">
        <v>1847</v>
      </c>
      <c r="W226" s="145" t="n">
        <v>537</v>
      </c>
      <c r="X226" s="145" t="n">
        <v>545</v>
      </c>
      <c r="Y226" s="145" t="n">
        <v>2071</v>
      </c>
      <c r="Z226" s="145" t="n">
        <v>1115</v>
      </c>
      <c r="AA226" s="145" t="n">
        <v>605</v>
      </c>
      <c r="AB226" s="145" t="n">
        <v>679</v>
      </c>
      <c r="AC226" s="145" t="n">
        <v>2132</v>
      </c>
      <c r="AD226" s="145" t="n">
        <v>1541</v>
      </c>
      <c r="AE226" s="145" t="n">
        <v>1209</v>
      </c>
      <c r="AF226" s="145" t="n">
        <v>1959</v>
      </c>
      <c r="AG226" s="145" t="n">
        <v>1084</v>
      </c>
      <c r="AH226" s="145" t="n">
        <v>549</v>
      </c>
      <c r="AI226" s="145" t="n">
        <v>406</v>
      </c>
      <c r="AJ226" s="145" t="n">
        <v>-178</v>
      </c>
      <c r="AK226" s="145" t="n">
        <v>350</v>
      </c>
      <c r="AL226" s="145" t="n">
        <v>326</v>
      </c>
      <c r="AM226" s="145" t="n">
        <v>806</v>
      </c>
      <c r="AN226" s="145" t="n">
        <v>-430</v>
      </c>
      <c r="AO226" s="145" t="n">
        <v>973</v>
      </c>
      <c r="AP226" s="145" t="n">
        <v>-1310</v>
      </c>
      <c r="AQ226" s="145" t="n">
        <v>-1892</v>
      </c>
      <c r="AR226" s="145" t="n">
        <v>-15</v>
      </c>
      <c r="AS226" s="145" t="n">
        <v>1594</v>
      </c>
      <c r="AT226" s="145" t="n">
        <v>-3296</v>
      </c>
      <c r="AU226" s="145" t="n"/>
      <c r="AV226" s="145" t="n"/>
      <c r="AW226" s="145" t="n"/>
      <c r="AX226" s="145" t="n"/>
      <c r="AY226" s="145" t="n"/>
      <c r="AZ226" s="145" t="n"/>
      <c r="BA226" s="145" t="n"/>
      <c r="BB226" s="145" t="n"/>
      <c r="BC226" s="145" t="n"/>
      <c r="BD226" s="145" t="n"/>
      <c r="BE226" s="145" t="n"/>
      <c r="BF226" s="145" t="n"/>
      <c r="BG226" s="145" t="n"/>
      <c r="BH226" s="145" t="n"/>
      <c r="BJ226" s="145" t="n"/>
      <c r="BN226" s="145" t="n"/>
      <c r="BO226" s="145" t="n"/>
      <c r="BP226" s="145" t="n"/>
    </row>
    <row r="227">
      <c r="A227" s="33" t="inlineStr">
        <is>
          <t>Property purchase financed with debt</t>
        </is>
      </c>
      <c r="B227" s="145" t="n"/>
      <c r="C227" s="145" t="n"/>
      <c r="D227" s="145" t="n"/>
      <c r="E227" s="145" t="n"/>
      <c r="F227" s="145" t="n"/>
      <c r="G227" s="145" t="n"/>
      <c r="H227" s="145" t="n"/>
      <c r="I227" s="145" t="n"/>
      <c r="J227" s="145" t="n"/>
      <c r="K227" s="145" t="n"/>
      <c r="L227" s="145" t="n"/>
      <c r="M227" s="145" t="n"/>
      <c r="N227" s="145" t="n">
        <v>0</v>
      </c>
      <c r="O227" s="145" t="n">
        <v>0</v>
      </c>
      <c r="P227" s="145" t="n">
        <v>0</v>
      </c>
      <c r="Q227" s="145" t="n">
        <v>0</v>
      </c>
      <c r="R227" s="145" t="n">
        <v>1679</v>
      </c>
      <c r="S227" s="145" t="n">
        <v>1851</v>
      </c>
      <c r="T227" s="145" t="n">
        <v>1853</v>
      </c>
      <c r="U227" s="145" t="n">
        <v>1833</v>
      </c>
      <c r="V227" s="145" t="n">
        <v>0</v>
      </c>
      <c r="W227" s="145" t="n">
        <v>0</v>
      </c>
      <c r="X227" s="145" t="n">
        <v>0</v>
      </c>
      <c r="Y227" s="145" t="n">
        <v>0</v>
      </c>
      <c r="Z227" s="145" t="n">
        <v>0</v>
      </c>
      <c r="AA227" s="145" t="n">
        <v>0</v>
      </c>
      <c r="AB227" s="145" t="n">
        <v>0</v>
      </c>
      <c r="AC227" s="145" t="n">
        <v>0</v>
      </c>
      <c r="AD227" s="145" t="n">
        <v>0</v>
      </c>
      <c r="AE227" s="145" t="n">
        <v>0</v>
      </c>
      <c r="AF227" s="145" t="n">
        <v>0</v>
      </c>
      <c r="AG227" s="145" t="n">
        <v>22000</v>
      </c>
      <c r="AH227" s="145" t="n">
        <v>0</v>
      </c>
      <c r="AI227" s="145" t="n">
        <v>0</v>
      </c>
      <c r="AJ227" s="145" t="n">
        <v>0</v>
      </c>
      <c r="AK227" s="145" t="n">
        <v>0</v>
      </c>
      <c r="AL227" s="145" t="n">
        <v>0</v>
      </c>
      <c r="AM227" s="145" t="n">
        <v>0</v>
      </c>
      <c r="AN227" s="145" t="n">
        <v>0</v>
      </c>
      <c r="AO227" s="145" t="n">
        <v>0</v>
      </c>
      <c r="AP227" s="145" t="n">
        <v>0</v>
      </c>
      <c r="AQ227" s="145" t="n">
        <v>0</v>
      </c>
      <c r="AR227" s="145" t="n">
        <v>0</v>
      </c>
      <c r="AS227" s="145" t="n">
        <v>0</v>
      </c>
      <c r="AT227" s="145" t="n">
        <v>0</v>
      </c>
      <c r="AU227" s="145" t="n"/>
      <c r="AV227" s="145" t="n"/>
      <c r="AW227" s="145" t="n"/>
      <c r="AX227" s="145" t="n"/>
      <c r="AY227" s="145" t="n"/>
      <c r="AZ227" s="145" t="n"/>
      <c r="BA227" s="145" t="n"/>
      <c r="BB227" s="145" t="n"/>
      <c r="BC227" s="145" t="n"/>
      <c r="BD227" s="145" t="n"/>
      <c r="BE227" s="145" t="n"/>
      <c r="BF227" s="145" t="n"/>
      <c r="BG227" s="145" t="n"/>
      <c r="BH227" s="145" t="n"/>
      <c r="BJ227" s="145" t="n"/>
      <c r="BN227" s="145" t="n"/>
      <c r="BO227" s="145" t="n"/>
      <c r="BP227" s="145" t="n"/>
    </row>
    <row r="228">
      <c r="A228" s="33" t="inlineStr">
        <is>
          <t>Others</t>
        </is>
      </c>
      <c r="B228" s="145" t="n"/>
      <c r="C228" s="145" t="n"/>
      <c r="D228" s="145" t="n"/>
      <c r="E228" s="145" t="n"/>
      <c r="F228" s="145" t="n"/>
      <c r="G228" s="145" t="n"/>
      <c r="H228" s="145" t="n"/>
      <c r="I228" s="145" t="n"/>
      <c r="J228" s="145" t="n"/>
      <c r="K228" s="145" t="n"/>
      <c r="L228" s="145" t="n"/>
      <c r="M228" s="145" t="n"/>
      <c r="N228" s="145" t="n">
        <v>789</v>
      </c>
      <c r="O228" s="145" t="n">
        <v>1478</v>
      </c>
      <c r="P228" s="145" t="n">
        <v>1120</v>
      </c>
      <c r="Q228" s="145" t="n">
        <v>1120</v>
      </c>
      <c r="R228" s="145" t="n">
        <v>882</v>
      </c>
      <c r="S228" s="145">
        <f>882+654</f>
        <v/>
      </c>
      <c r="T228" s="145">
        <f>882+570</f>
        <v/>
      </c>
      <c r="U228" s="145" t="n">
        <v>0</v>
      </c>
      <c r="V228" s="145" t="n">
        <v>0</v>
      </c>
      <c r="W228" s="145" t="n">
        <v>0</v>
      </c>
      <c r="X228" s="145" t="n">
        <v>2444</v>
      </c>
      <c r="Y228" s="145" t="n">
        <v>322</v>
      </c>
      <c r="Z228" s="145" t="n">
        <v>0</v>
      </c>
      <c r="AA228" s="145" t="n">
        <v>0</v>
      </c>
      <c r="AB228" s="145" t="n">
        <v>0</v>
      </c>
      <c r="AC228" s="145" t="n">
        <v>0</v>
      </c>
      <c r="AD228" s="145" t="n">
        <v>0</v>
      </c>
      <c r="AE228" s="145" t="n">
        <v>0</v>
      </c>
      <c r="AF228" s="145" t="n">
        <v>0</v>
      </c>
      <c r="AG228" s="145" t="n">
        <v>0</v>
      </c>
      <c r="AH228" s="145" t="n">
        <v>0</v>
      </c>
      <c r="AI228" s="145" t="n">
        <v>0</v>
      </c>
      <c r="AJ228" s="145" t="n">
        <v>0</v>
      </c>
      <c r="AK228" s="145" t="n">
        <v>0</v>
      </c>
      <c r="AL228" s="145" t="n">
        <v>0</v>
      </c>
      <c r="AM228" s="145" t="n">
        <v>0</v>
      </c>
      <c r="AN228" s="145" t="n">
        <v>0</v>
      </c>
      <c r="AO228" s="145" t="n">
        <v>0</v>
      </c>
      <c r="AP228" s="145" t="n">
        <v>0</v>
      </c>
      <c r="AQ228" s="145" t="n">
        <v>0</v>
      </c>
      <c r="AR228" s="145" t="n">
        <v>0</v>
      </c>
      <c r="AS228" s="145" t="n">
        <v>0</v>
      </c>
      <c r="AT228" s="145" t="n">
        <v>0</v>
      </c>
      <c r="AU228" s="145" t="n"/>
      <c r="AV228" s="145" t="n"/>
      <c r="AW228" s="145" t="n"/>
      <c r="AX228" s="145" t="n"/>
      <c r="AY228" s="145" t="n"/>
      <c r="AZ228" s="145" t="n"/>
      <c r="BA228" s="145" t="n"/>
      <c r="BB228" s="145" t="n"/>
      <c r="BC228" s="145" t="n"/>
      <c r="BD228" s="145" t="n"/>
      <c r="BE228" s="145" t="n"/>
      <c r="BF228" s="145" t="n"/>
      <c r="BG228" s="145" t="n"/>
      <c r="BH228" s="145" t="n"/>
      <c r="BJ228" s="145" t="n"/>
      <c r="BN228" s="145" t="n"/>
      <c r="BO228" s="145" t="n"/>
      <c r="BP228" s="145" t="n"/>
    </row>
    <row r="230">
      <c r="A230" s="455" t="inlineStr">
        <is>
          <t>Check</t>
        </is>
      </c>
      <c r="B230" s="400">
        <f>B171-B93</f>
        <v/>
      </c>
      <c r="C230" s="400">
        <f>C171-C93</f>
        <v/>
      </c>
      <c r="D230" s="400">
        <f>D171-D93</f>
        <v/>
      </c>
      <c r="E230" s="400">
        <f>E171-E93</f>
        <v/>
      </c>
      <c r="F230" s="400">
        <f>F171-F93</f>
        <v/>
      </c>
      <c r="G230" s="400">
        <f>G171-G93</f>
        <v/>
      </c>
      <c r="H230" s="400">
        <f>H171-H93</f>
        <v/>
      </c>
      <c r="I230" s="400">
        <f>I171-I93</f>
        <v/>
      </c>
      <c r="J230" s="400">
        <f>J171-J93</f>
        <v/>
      </c>
      <c r="K230" s="400">
        <f>K171-K93</f>
        <v/>
      </c>
      <c r="L230" s="400">
        <f>L171-L93</f>
        <v/>
      </c>
      <c r="M230" s="400">
        <f>M171-M93</f>
        <v/>
      </c>
      <c r="N230" s="400">
        <f>N171-N93</f>
        <v/>
      </c>
      <c r="O230" s="400">
        <f>O171-O93</f>
        <v/>
      </c>
      <c r="P230" s="400">
        <f>P171-P93</f>
        <v/>
      </c>
      <c r="Q230" s="400">
        <f>Q171-Q93</f>
        <v/>
      </c>
      <c r="R230" s="400">
        <f>R171-R93</f>
        <v/>
      </c>
      <c r="S230" s="400">
        <f>S171-S93</f>
        <v/>
      </c>
      <c r="T230" s="400">
        <f>T171-T93</f>
        <v/>
      </c>
      <c r="U230" s="400">
        <f>U171-U93</f>
        <v/>
      </c>
      <c r="V230" s="400">
        <f>V171-V93</f>
        <v/>
      </c>
      <c r="W230" s="400">
        <f>W171-W93</f>
        <v/>
      </c>
      <c r="X230" s="400">
        <f>X171-X93</f>
        <v/>
      </c>
      <c r="Y230" s="400">
        <f>Y171-Y93</f>
        <v/>
      </c>
      <c r="Z230" s="400">
        <f>Z171-Z93</f>
        <v/>
      </c>
      <c r="AA230" s="400">
        <f>AA171-AA93</f>
        <v/>
      </c>
      <c r="AB230" s="400">
        <f>AB171-AB93</f>
        <v/>
      </c>
      <c r="AC230" s="400">
        <f>AC171-AC93</f>
        <v/>
      </c>
      <c r="AD230" s="400">
        <f>AD171-AD93</f>
        <v/>
      </c>
      <c r="AE230" s="400">
        <f>AE171-AE93</f>
        <v/>
      </c>
      <c r="AF230" s="400">
        <f>AF171-AF93</f>
        <v/>
      </c>
      <c r="AG230" s="400">
        <f>AG171-AG93</f>
        <v/>
      </c>
      <c r="AH230" s="400">
        <f>AH171-AH93</f>
        <v/>
      </c>
      <c r="AI230" s="400">
        <f>AI171-AI93</f>
        <v/>
      </c>
      <c r="AJ230" s="400">
        <f>AJ171-AJ93</f>
        <v/>
      </c>
      <c r="AK230" s="400">
        <f>AK171-AK93</f>
        <v/>
      </c>
      <c r="AL230" s="400">
        <f>AL171-AL93</f>
        <v/>
      </c>
      <c r="AM230" s="400">
        <f>AM171-AM93</f>
        <v/>
      </c>
      <c r="AN230" s="400">
        <f>AN171-AN93</f>
        <v/>
      </c>
      <c r="AO230" s="400">
        <f>AO171-AO93</f>
        <v/>
      </c>
      <c r="AP230" s="400">
        <f>AP171-AP93</f>
        <v/>
      </c>
      <c r="AQ230" s="400">
        <f>AQ171-AQ93</f>
        <v/>
      </c>
      <c r="AR230" s="400">
        <f>AR171-AR93</f>
        <v/>
      </c>
      <c r="AS230" s="400">
        <f>AS171-AS93</f>
        <v/>
      </c>
      <c r="AT230" s="400">
        <f>AT171-AT93</f>
        <v/>
      </c>
      <c r="AU230" s="400">
        <f>AU171-AU93</f>
        <v/>
      </c>
      <c r="AV230" s="400">
        <f>AV171-AV93</f>
        <v/>
      </c>
      <c r="AW230" s="400">
        <f>AW171-AW93</f>
        <v/>
      </c>
      <c r="AX230" s="400">
        <f>AX171-AX93</f>
        <v/>
      </c>
      <c r="AY230" s="400">
        <f>AY171-AY93</f>
        <v/>
      </c>
      <c r="AZ230" s="400">
        <f>AZ171-AZ93</f>
        <v/>
      </c>
      <c r="BA230" s="400">
        <f>BA171-BA93</f>
        <v/>
      </c>
      <c r="BB230" s="400">
        <f>BB171-BB93</f>
        <v/>
      </c>
      <c r="BC230" s="400">
        <f>BC171-BC93</f>
        <v/>
      </c>
      <c r="BD230" s="400">
        <f>BD171-BD93</f>
        <v/>
      </c>
      <c r="BE230" s="400">
        <f>BE171-BE93</f>
        <v/>
      </c>
      <c r="BF230" s="400">
        <f>BF171-BF93</f>
        <v/>
      </c>
      <c r="BG230" s="400">
        <f>BG171-BG93</f>
        <v/>
      </c>
      <c r="BH230" s="400">
        <f>BH171-BH93</f>
        <v/>
      </c>
      <c r="BI230" s="400">
        <f>BI171-BI93</f>
        <v/>
      </c>
      <c r="BJ230" s="400">
        <f>BJ171-BJ93</f>
        <v/>
      </c>
      <c r="BK230" s="400">
        <f>BK171-BK93</f>
        <v/>
      </c>
      <c r="BL230" s="400">
        <f>BL171-BL93</f>
        <v/>
      </c>
      <c r="BM230" s="400">
        <f>BM171-BM93</f>
        <v/>
      </c>
      <c r="BN230" s="400">
        <f>BN171-BN93</f>
        <v/>
      </c>
      <c r="BO230" s="400">
        <f>BO171-BO93</f>
        <v/>
      </c>
      <c r="BP230" s="400">
        <f>BP171-BP93</f>
        <v/>
      </c>
      <c r="BQ230" s="400">
        <f>BQ171-BQ93</f>
        <v/>
      </c>
      <c r="BR230" s="400">
        <f>BR171-BR93</f>
        <v/>
      </c>
      <c r="BS230" t="n">
        <v>0</v>
      </c>
      <c r="BT230" t="inlineStr">
        <is>
          <t>IPGP-Financial-Data-Workbook-2024-Q2.xlsx|Balance Sheet|61|93</t>
        </is>
      </c>
    </row>
    <row r="231">
      <c r="A231" s="455" t="inlineStr">
        <is>
          <t>Check</t>
        </is>
      </c>
      <c r="B231" s="400">
        <f>SUM(B171:B186)-B187</f>
        <v/>
      </c>
      <c r="C231" s="400">
        <f>SUM(C171:C186)-C187</f>
        <v/>
      </c>
      <c r="D231" s="400">
        <f>SUM(D171:D186)-D187</f>
        <v/>
      </c>
      <c r="E231" s="400">
        <f>SUM(E171:E186)-E187</f>
        <v/>
      </c>
      <c r="F231" s="400">
        <f>SUM(F171:F186)-F187</f>
        <v/>
      </c>
      <c r="G231" s="400">
        <f>SUM(G171:G186)-G187</f>
        <v/>
      </c>
      <c r="H231" s="400">
        <f>SUM(H171:H186)-H187</f>
        <v/>
      </c>
      <c r="I231" s="400">
        <f>SUM(I171:I186)-I187</f>
        <v/>
      </c>
      <c r="J231" s="400">
        <f>SUM(J171:J186)-J187</f>
        <v/>
      </c>
      <c r="K231" s="400">
        <f>SUM(K171:K186)-K187</f>
        <v/>
      </c>
      <c r="L231" s="400">
        <f>SUM(L171:L186)-L187</f>
        <v/>
      </c>
      <c r="M231" s="400">
        <f>SUM(M171:M186)-M187</f>
        <v/>
      </c>
      <c r="N231" s="400">
        <f>SUM(N171:N186)-N187</f>
        <v/>
      </c>
      <c r="O231" s="400">
        <f>SUM(O171:O186)-O187</f>
        <v/>
      </c>
      <c r="P231" s="400">
        <f>SUM(P171:P186)-P187</f>
        <v/>
      </c>
      <c r="Q231" s="400">
        <f>SUM(Q171:Q186)-Q187</f>
        <v/>
      </c>
      <c r="R231" s="400">
        <f>SUM(R171:R186)-R187</f>
        <v/>
      </c>
      <c r="S231" s="400">
        <f>SUM(S171:S186)-S187</f>
        <v/>
      </c>
      <c r="T231" s="400">
        <f>SUM(T171:T186)-T187</f>
        <v/>
      </c>
      <c r="U231" s="400">
        <f>SUM(U171:U186)-U187</f>
        <v/>
      </c>
      <c r="V231" s="400">
        <f>SUM(V171:V186)-V187</f>
        <v/>
      </c>
      <c r="W231" s="400">
        <f>SUM(W171:W186)-W187</f>
        <v/>
      </c>
      <c r="X231" s="400">
        <f>SUM(X171:X186)-X187</f>
        <v/>
      </c>
      <c r="Y231" s="400">
        <f>SUM(Y171:Y186)-Y187</f>
        <v/>
      </c>
      <c r="Z231" s="400">
        <f>SUM(Z171:Z186)-Z187</f>
        <v/>
      </c>
      <c r="AA231" s="400">
        <f>SUM(AA171:AA186)-AA187</f>
        <v/>
      </c>
      <c r="AB231" s="400">
        <f>SUM(AB171:AB186)-AB187</f>
        <v/>
      </c>
      <c r="AC231" s="400">
        <f>SUM(AC171:AC186)-AC187</f>
        <v/>
      </c>
      <c r="AD231" s="400">
        <f>SUM(AD171:AD186)-AD187</f>
        <v/>
      </c>
      <c r="AE231" s="400">
        <f>SUM(AE171:AE186)-AE187</f>
        <v/>
      </c>
      <c r="AF231" s="400">
        <f>SUM(AF171:AF186)-AF187</f>
        <v/>
      </c>
      <c r="AG231" s="400">
        <f>SUM(AG171:AG186)-AG187</f>
        <v/>
      </c>
      <c r="AH231" s="400">
        <f>SUM(AH171:AH186)-AH187</f>
        <v/>
      </c>
      <c r="AI231" s="400">
        <f>SUM(AI171:AI186)-AI187</f>
        <v/>
      </c>
      <c r="AJ231" s="400">
        <f>SUM(AJ171:AJ186)-AJ187</f>
        <v/>
      </c>
      <c r="AK231" s="400">
        <f>SUM(AK171:AK186)-AK187</f>
        <v/>
      </c>
      <c r="AL231" s="400">
        <f>SUM(AL171:AL186)-AL187</f>
        <v/>
      </c>
      <c r="AM231" s="400">
        <f>SUM(AM171:AM186)-AM187</f>
        <v/>
      </c>
      <c r="AN231" s="400">
        <f>SUM(AN171:AN186)-AN187</f>
        <v/>
      </c>
      <c r="AO231" s="400">
        <f>SUM(AO171:AO186)-AO187</f>
        <v/>
      </c>
      <c r="AP231" s="400">
        <f>SUM(AP171:AP186)-AP187</f>
        <v/>
      </c>
      <c r="AQ231" s="400">
        <f>SUM(AQ171:AQ186)-AQ187</f>
        <v/>
      </c>
      <c r="AR231" s="400">
        <f>SUM(AR171:AR186)-AR187</f>
        <v/>
      </c>
      <c r="AS231" s="400">
        <f>SUM(AS171:AS186)-AS187</f>
        <v/>
      </c>
      <c r="AT231" s="400">
        <f>SUM(AT171:AT186)-AT187</f>
        <v/>
      </c>
      <c r="AU231" s="400">
        <f>SUM(AU171:AU186)-AU187</f>
        <v/>
      </c>
      <c r="AV231" s="400">
        <f>SUM(AV171:AV186)-AV187</f>
        <v/>
      </c>
      <c r="AW231" s="400">
        <f>SUM(AW171:AW186)-AW187</f>
        <v/>
      </c>
      <c r="AX231" s="400">
        <f>SUM(AX171:AX186)-AX187</f>
        <v/>
      </c>
      <c r="AY231" s="400">
        <f>SUM(AY171:AY186)-AY187</f>
        <v/>
      </c>
      <c r="AZ231" s="400">
        <f>SUM(AZ171:AZ186)-AZ187</f>
        <v/>
      </c>
      <c r="BA231" s="400">
        <f>SUM(BA171:BA186)-BA187</f>
        <v/>
      </c>
      <c r="BB231" s="400">
        <f>SUM(BB171:BB186)-BB187</f>
        <v/>
      </c>
      <c r="BC231" s="400">
        <f>SUM(BC171:BC186)-BC187</f>
        <v/>
      </c>
      <c r="BD231" s="400">
        <f>SUM(BD171:BD186)-BD187</f>
        <v/>
      </c>
      <c r="BE231" s="400">
        <f>SUM(BE171:BE186)-BE187</f>
        <v/>
      </c>
      <c r="BF231" s="400">
        <f>SUM(BF171:BF186)-BF187</f>
        <v/>
      </c>
      <c r="BG231" s="400">
        <f>SUM(BG171:BG186)-BG187</f>
        <v/>
      </c>
      <c r="BH231" s="400">
        <f>SUM(BH171:BH186)-BH187</f>
        <v/>
      </c>
      <c r="BI231" s="400">
        <f>SUM(BI171:BI186)-BI187</f>
        <v/>
      </c>
      <c r="BJ231" s="400">
        <f>SUM(BJ171:BJ186)-BJ187</f>
        <v/>
      </c>
      <c r="BK231" s="400">
        <f>SUM(BK171:BK186)-BK187</f>
        <v/>
      </c>
      <c r="BL231" s="400">
        <f>SUM(BL171:BL186)-BL187</f>
        <v/>
      </c>
      <c r="BM231" s="400">
        <f>SUM(BM171:BM186)-BM187</f>
        <v/>
      </c>
      <c r="BN231" s="400">
        <f>SUM(BN171:BN186)-BN187</f>
        <v/>
      </c>
      <c r="BO231" s="400">
        <f>SUM(BO171:BO186)-BO187</f>
        <v/>
      </c>
      <c r="BP231" s="400">
        <f>SUM(BP171:BP186)-BP187</f>
        <v/>
      </c>
      <c r="BQ231" s="400">
        <f>SUM(BQ171:BQ186)-BQ187</f>
        <v/>
      </c>
      <c r="BR231" s="400">
        <f>SUM(BR171:BR186)-BR187</f>
        <v/>
      </c>
      <c r="BS231" t="n">
        <v>0</v>
      </c>
      <c r="BT231" t="inlineStr">
        <is>
          <t>IPGP-Financial-Data-Workbook-2024-Q2.xlsx|Balance Sheet|62|93</t>
        </is>
      </c>
    </row>
    <row r="232">
      <c r="A232" s="455" t="inlineStr">
        <is>
          <t>Check</t>
        </is>
      </c>
      <c r="B232" s="400">
        <f>SUM(B190:B196)-B197</f>
        <v/>
      </c>
      <c r="C232" s="400">
        <f>SUM(C190:C196)-C197</f>
        <v/>
      </c>
      <c r="D232" s="400">
        <f>SUM(D190:D196)-D197</f>
        <v/>
      </c>
      <c r="E232" s="400">
        <f>SUM(E190:E196)-E197</f>
        <v/>
      </c>
      <c r="F232" s="400">
        <f>SUM(F190:F196)-F197</f>
        <v/>
      </c>
      <c r="G232" s="400">
        <f>SUM(G190:G196)-G197</f>
        <v/>
      </c>
      <c r="H232" s="400">
        <f>SUM(H190:H196)-H197</f>
        <v/>
      </c>
      <c r="I232" s="400">
        <f>SUM(I190:I196)-I197</f>
        <v/>
      </c>
      <c r="J232" s="400">
        <f>SUM(J190:J196)-J197</f>
        <v/>
      </c>
      <c r="K232" s="400">
        <f>SUM(K190:K196)-K197</f>
        <v/>
      </c>
      <c r="L232" s="400">
        <f>SUM(L190:L196)-L197</f>
        <v/>
      </c>
      <c r="M232" s="400">
        <f>SUM(M190:M196)-M197</f>
        <v/>
      </c>
      <c r="N232" s="400">
        <f>SUM(N190:N196)-N197</f>
        <v/>
      </c>
      <c r="O232" s="400">
        <f>SUM(O190:O196)-O197</f>
        <v/>
      </c>
      <c r="P232" s="400">
        <f>SUM(P190:P196)-P197</f>
        <v/>
      </c>
      <c r="Q232" s="400">
        <f>SUM(Q190:Q196)-Q197</f>
        <v/>
      </c>
      <c r="R232" s="400">
        <f>SUM(R190:R196)-R197</f>
        <v/>
      </c>
      <c r="S232" s="400">
        <f>SUM(S190:S196)-S197</f>
        <v/>
      </c>
      <c r="T232" s="400">
        <f>SUM(T190:T196)-T197</f>
        <v/>
      </c>
      <c r="U232" s="400">
        <f>SUM(U190:U196)-U197</f>
        <v/>
      </c>
      <c r="V232" s="400">
        <f>SUM(V190:V196)-V197</f>
        <v/>
      </c>
      <c r="W232" s="400">
        <f>SUM(W190:W196)-W197</f>
        <v/>
      </c>
      <c r="X232" s="400">
        <f>SUM(X190:X196)-X197</f>
        <v/>
      </c>
      <c r="Y232" s="400">
        <f>SUM(Y190:Y196)-Y197</f>
        <v/>
      </c>
      <c r="Z232" s="400">
        <f>SUM(Z190:Z196)-Z197</f>
        <v/>
      </c>
      <c r="AA232" s="400">
        <f>SUM(AA190:AA196)-AA197</f>
        <v/>
      </c>
      <c r="AB232" s="400">
        <f>SUM(AB190:AB196)-AB197</f>
        <v/>
      </c>
      <c r="AC232" s="400">
        <f>SUM(AC190:AC196)-AC197</f>
        <v/>
      </c>
      <c r="AD232" s="400">
        <f>SUM(AD190:AD196)-AD197</f>
        <v/>
      </c>
      <c r="AE232" s="400">
        <f>SUM(AE190:AE196)-AE197</f>
        <v/>
      </c>
      <c r="AF232" s="400">
        <f>SUM(AF190:AF196)-AF197</f>
        <v/>
      </c>
      <c r="AG232" s="400">
        <f>SUM(AG190:AG196)-AG197</f>
        <v/>
      </c>
      <c r="AH232" s="400">
        <f>SUM(AH190:AH196)-AH197</f>
        <v/>
      </c>
      <c r="AI232" s="400">
        <f>SUM(AI190:AI196)-AI197</f>
        <v/>
      </c>
      <c r="AJ232" s="400">
        <f>SUM(AJ190:AJ196)-AJ197</f>
        <v/>
      </c>
      <c r="AK232" s="400">
        <f>SUM(AK190:AK196)-AK197</f>
        <v/>
      </c>
      <c r="AL232" s="400">
        <f>SUM(AL190:AL196)-AL197</f>
        <v/>
      </c>
      <c r="AM232" s="400">
        <f>SUM(AM190:AM196)-AM197</f>
        <v/>
      </c>
      <c r="AN232" s="400">
        <f>SUM(AN190:AN196)-AN197</f>
        <v/>
      </c>
      <c r="AO232" s="400">
        <f>SUM(AO190:AO196)-AO197</f>
        <v/>
      </c>
      <c r="AP232" s="400">
        <f>SUM(AP190:AP196)-AP197</f>
        <v/>
      </c>
      <c r="AQ232" s="400">
        <f>SUM(AQ190:AQ196)-AQ197</f>
        <v/>
      </c>
      <c r="AR232" s="400">
        <f>SUM(AR190:AR196)-AR197</f>
        <v/>
      </c>
      <c r="AS232" s="400">
        <f>SUM(AS190:AS196)-AS197</f>
        <v/>
      </c>
      <c r="AT232" s="400">
        <f>SUM(AT190:AT196)-AT197</f>
        <v/>
      </c>
      <c r="AU232" s="400">
        <f>SUM(AU190:AU196)-AU197</f>
        <v/>
      </c>
      <c r="AV232" s="400">
        <f>SUM(AV190:AV196)-AV197</f>
        <v/>
      </c>
      <c r="AW232" s="400">
        <f>SUM(AW190:AW196)-AW197</f>
        <v/>
      </c>
      <c r="AX232" s="400">
        <f>SUM(AX190:AX196)-AX197</f>
        <v/>
      </c>
      <c r="AY232" s="400">
        <f>SUM(AY190:AY196)-AY197</f>
        <v/>
      </c>
      <c r="AZ232" s="400">
        <f>SUM(AZ190:AZ196)-AZ197</f>
        <v/>
      </c>
      <c r="BA232" s="400">
        <f>SUM(BA190:BA196)-BA197</f>
        <v/>
      </c>
      <c r="BB232" s="400">
        <f>SUM(BB190:BB196)-BB197</f>
        <v/>
      </c>
      <c r="BC232" s="400">
        <f>SUM(BC190:BC196)-BC197</f>
        <v/>
      </c>
      <c r="BD232" s="400">
        <f>SUM(BD190:BD196)-BD197</f>
        <v/>
      </c>
      <c r="BE232" s="400">
        <f>SUM(BE190:BE196)-BE197</f>
        <v/>
      </c>
      <c r="BF232" s="400">
        <f>SUM(BF190:BF196)-BF197</f>
        <v/>
      </c>
      <c r="BG232" s="400">
        <f>SUM(BG190:BG196)-BG197</f>
        <v/>
      </c>
      <c r="BH232" s="400">
        <f>SUM(BH190:BH196)-BH197</f>
        <v/>
      </c>
      <c r="BI232" s="400">
        <f>SUM(BI190:BI196)-BI197</f>
        <v/>
      </c>
      <c r="BJ232" s="400">
        <f>SUM(BJ190:BJ196)-BJ197</f>
        <v/>
      </c>
      <c r="BK232" s="400">
        <f>SUM(BK190:BK196)-BK197</f>
        <v/>
      </c>
      <c r="BL232" s="400">
        <f>SUM(BL190:BL196)-BL197</f>
        <v/>
      </c>
      <c r="BM232" s="400">
        <f>SUM(BM190:BM196)-BM197</f>
        <v/>
      </c>
      <c r="BN232" s="400">
        <f>SUM(BN190:BN196)-BN197</f>
        <v/>
      </c>
      <c r="BO232" s="400">
        <f>SUM(BO190:BO196)-BO197</f>
        <v/>
      </c>
      <c r="BP232" s="400">
        <f>SUM(BP190:BP196)-BP197</f>
        <v/>
      </c>
      <c r="BQ232" s="400">
        <f>SUM(BQ190:BQ196)-BQ197</f>
        <v/>
      </c>
      <c r="BR232" s="400">
        <f>SUM(BR190:BR196)-BR197</f>
        <v/>
      </c>
      <c r="BS232" t="n">
        <v>0</v>
      </c>
      <c r="BT232" t="inlineStr">
        <is>
          <t>IPGP-Financial-Data-Workbook-2024-Q2.xlsx|Cash Flows|9|93</t>
        </is>
      </c>
    </row>
    <row r="233">
      <c r="A233" s="455" t="inlineStr">
        <is>
          <t>Check</t>
        </is>
      </c>
      <c r="B233" s="400">
        <f>SUM(B200:B211)-B212</f>
        <v/>
      </c>
      <c r="C233" s="400">
        <f>SUM(C200:C211)-C212</f>
        <v/>
      </c>
      <c r="D233" s="400">
        <f>SUM(D200:D211)-D212</f>
        <v/>
      </c>
      <c r="E233" s="400">
        <f>SUM(E200:E211)-E212</f>
        <v/>
      </c>
      <c r="F233" s="400">
        <f>SUM(F200:F211)-F212</f>
        <v/>
      </c>
      <c r="G233" s="400">
        <f>SUM(G200:G211)-G212</f>
        <v/>
      </c>
      <c r="H233" s="400">
        <f>SUM(H200:H211)-H212</f>
        <v/>
      </c>
      <c r="I233" s="400">
        <f>SUM(I200:I211)-I212</f>
        <v/>
      </c>
      <c r="J233" s="400">
        <f>SUM(J200:J211)-J212</f>
        <v/>
      </c>
      <c r="K233" s="400">
        <f>SUM(K200:K211)-K212</f>
        <v/>
      </c>
      <c r="L233" s="400">
        <f>SUM(L200:L211)-L212</f>
        <v/>
      </c>
      <c r="M233" s="400">
        <f>SUM(M200:M211)-M212</f>
        <v/>
      </c>
      <c r="N233" s="400">
        <f>SUM(N200:N211)-N212</f>
        <v/>
      </c>
      <c r="O233" s="400">
        <f>SUM(O200:O211)-O212</f>
        <v/>
      </c>
      <c r="P233" s="400">
        <f>SUM(P200:P211)-P212</f>
        <v/>
      </c>
      <c r="Q233" s="400">
        <f>SUM(Q200:Q211)-Q212</f>
        <v/>
      </c>
      <c r="R233" s="400">
        <f>SUM(R200:R211)-R212</f>
        <v/>
      </c>
      <c r="S233" s="400">
        <f>SUM(S200:S211)-S212</f>
        <v/>
      </c>
      <c r="T233" s="400">
        <f>SUM(T200:T211)-T212</f>
        <v/>
      </c>
      <c r="U233" s="400">
        <f>SUM(U200:U211)-U212</f>
        <v/>
      </c>
      <c r="V233" s="400">
        <f>SUM(V200:V211)-V212</f>
        <v/>
      </c>
      <c r="W233" s="400">
        <f>SUM(W200:W211)-W212</f>
        <v/>
      </c>
      <c r="X233" s="400">
        <f>SUM(X200:X211)-X212</f>
        <v/>
      </c>
      <c r="Y233" s="400">
        <f>SUM(Y200:Y211)-Y212</f>
        <v/>
      </c>
      <c r="Z233" s="400">
        <f>SUM(Z200:Z211)-Z212</f>
        <v/>
      </c>
      <c r="AA233" s="400">
        <f>SUM(AA200:AA211)-AA212</f>
        <v/>
      </c>
      <c r="AB233" s="400">
        <f>SUM(AB200:AB211)-AB212</f>
        <v/>
      </c>
      <c r="AC233" s="400">
        <f>SUM(AC200:AC211)-AC212</f>
        <v/>
      </c>
      <c r="AD233" s="400">
        <f>SUM(AD200:AD211)-AD212</f>
        <v/>
      </c>
      <c r="AE233" s="400">
        <f>SUM(AE200:AE211)-AE212</f>
        <v/>
      </c>
      <c r="AF233" s="400">
        <f>SUM(AF200:AF211)-AF212</f>
        <v/>
      </c>
      <c r="AG233" s="400">
        <f>SUM(AG200:AG211)-AG212</f>
        <v/>
      </c>
      <c r="AH233" s="400">
        <f>SUM(AH200:AH211)-AH212</f>
        <v/>
      </c>
      <c r="AI233" s="400">
        <f>SUM(AI200:AI211)-AI212</f>
        <v/>
      </c>
      <c r="AJ233" s="400">
        <f>SUM(AJ200:AJ211)-AJ212</f>
        <v/>
      </c>
      <c r="AK233" s="400">
        <f>SUM(AK200:AK211)-AK212</f>
        <v/>
      </c>
      <c r="AL233" s="400">
        <f>SUM(AL200:AL211)-AL212</f>
        <v/>
      </c>
      <c r="AM233" s="400">
        <f>SUM(AM200:AM211)-AM212</f>
        <v/>
      </c>
      <c r="AN233" s="400">
        <f>SUM(AN200:AN211)-AN212</f>
        <v/>
      </c>
      <c r="AO233" s="400">
        <f>SUM(AO200:AO211)-AO212</f>
        <v/>
      </c>
      <c r="AP233" s="400">
        <f>SUM(AP200:AP211)-AP212</f>
        <v/>
      </c>
      <c r="AQ233" s="400">
        <f>SUM(AQ200:AQ211)-AQ212</f>
        <v/>
      </c>
      <c r="AR233" s="400">
        <f>SUM(AR200:AR211)-AR212</f>
        <v/>
      </c>
      <c r="AS233" s="400">
        <f>SUM(AS200:AS211)-AS212</f>
        <v/>
      </c>
      <c r="AT233" s="400">
        <f>SUM(AT200:AT211)-AT212</f>
        <v/>
      </c>
      <c r="AU233" s="400">
        <f>SUM(AU200:AU211)-AU212</f>
        <v/>
      </c>
      <c r="AV233" s="400">
        <f>SUM(AV200:AV211)-AV212</f>
        <v/>
      </c>
      <c r="AW233" s="400">
        <f>SUM(AW200:AW211)-AW212</f>
        <v/>
      </c>
      <c r="AX233" s="400">
        <f>SUM(AX200:AX211)-AX212</f>
        <v/>
      </c>
      <c r="AY233" s="400">
        <f>SUM(AY200:AY211)-AY212</f>
        <v/>
      </c>
      <c r="AZ233" s="400">
        <f>SUM(AZ200:AZ211)-AZ212</f>
        <v/>
      </c>
      <c r="BA233" s="400">
        <f>SUM(BA200:BA211)-BA212</f>
        <v/>
      </c>
      <c r="BB233" s="400">
        <f>SUM(BB200:BB211)-BB212</f>
        <v/>
      </c>
      <c r="BC233" s="400">
        <f>SUM(BC200:BC211)-BC212</f>
        <v/>
      </c>
      <c r="BD233" s="400">
        <f>SUM(BD200:BD211)-BD212</f>
        <v/>
      </c>
      <c r="BE233" s="400">
        <f>SUM(BE200:BE211)-BE212</f>
        <v/>
      </c>
      <c r="BF233" s="400">
        <f>SUM(BF200:BF211)-BF212</f>
        <v/>
      </c>
      <c r="BG233" s="400">
        <f>SUM(BG200:BG211)-BG212</f>
        <v/>
      </c>
      <c r="BH233" s="400">
        <f>SUM(BH200:BH211)-BH212</f>
        <v/>
      </c>
      <c r="BI233" s="400">
        <f>SUM(BI200:BI211)-BI212</f>
        <v/>
      </c>
      <c r="BJ233" s="400">
        <f>SUM(BJ200:BJ211)-BJ212</f>
        <v/>
      </c>
      <c r="BK233" s="400">
        <f>SUM(BK200:BK211)-BK212</f>
        <v/>
      </c>
      <c r="BL233" s="400">
        <f>SUM(BL200:BL211)-BL212</f>
        <v/>
      </c>
      <c r="BM233" s="400">
        <f>SUM(BM200:BM211)-BM212</f>
        <v/>
      </c>
      <c r="BN233" s="400">
        <f>SUM(BN200:BN211)-BN212</f>
        <v/>
      </c>
      <c r="BO233" s="400">
        <f>SUM(BO200:BO211)-BO212</f>
        <v/>
      </c>
      <c r="BP233" s="400">
        <f>SUM(BP200:BP211)-BP212</f>
        <v/>
      </c>
      <c r="BQ233" s="400">
        <f>SUM(BQ200:BQ211)-BQ212</f>
        <v/>
      </c>
      <c r="BR233" s="400">
        <f>SUM(BR200:BR211)-BR212</f>
        <v/>
      </c>
      <c r="BS233" t="n">
        <v>0</v>
      </c>
      <c r="BT233" t="inlineStr">
        <is>
          <t>IPGP-Financial-Data-Workbook-2024-Q2.xlsx|Cash Flows|10|93</t>
        </is>
      </c>
    </row>
    <row r="234">
      <c r="A234" s="455" t="inlineStr">
        <is>
          <t>Check</t>
        </is>
      </c>
      <c r="B234" s="400">
        <f>SUM(B187,B197,B212,B214)-B215</f>
        <v/>
      </c>
      <c r="C234" s="400">
        <f>SUM(C187,C197,C212,C214)-C215</f>
        <v/>
      </c>
      <c r="D234" s="400">
        <f>SUM(D187,D197,D212,D214)-D215</f>
        <v/>
      </c>
      <c r="E234" s="400">
        <f>SUM(E187,E197,E212,E214)-E215</f>
        <v/>
      </c>
      <c r="F234" s="400">
        <f>SUM(F187,F197,F212,F214)-F215</f>
        <v/>
      </c>
      <c r="G234" s="400">
        <f>SUM(G187,G197,G212,G214)-G215</f>
        <v/>
      </c>
      <c r="H234" s="400">
        <f>SUM(H187,H197,H212,H214)-H215</f>
        <v/>
      </c>
      <c r="I234" s="400">
        <f>SUM(I187,I197,I212,I214)-I215</f>
        <v/>
      </c>
      <c r="J234" s="400">
        <f>SUM(J187,J197,J212,J214)-J215</f>
        <v/>
      </c>
      <c r="K234" s="400">
        <f>SUM(K187,K197,K212,K214)-K215</f>
        <v/>
      </c>
      <c r="L234" s="400">
        <f>SUM(L187,L197,L212,L214)-L215</f>
        <v/>
      </c>
      <c r="M234" s="400">
        <f>SUM(M187,M197,M212,M214)-M215</f>
        <v/>
      </c>
      <c r="N234" s="400">
        <f>SUM(N187,N197,N212,N214)-N215</f>
        <v/>
      </c>
      <c r="O234" s="400">
        <f>SUM(O187,O197,O212,O214)-O215</f>
        <v/>
      </c>
      <c r="P234" s="400">
        <f>SUM(P187,P197,P212,P214)-P215</f>
        <v/>
      </c>
      <c r="Q234" s="400">
        <f>SUM(Q187,Q197,Q212,Q214)-Q215</f>
        <v/>
      </c>
      <c r="R234" s="400">
        <f>SUM(R187,R197,R212,R214)-R215</f>
        <v/>
      </c>
      <c r="S234" s="400">
        <f>SUM(S187,S197,S212,S214)-S215</f>
        <v/>
      </c>
      <c r="T234" s="400">
        <f>SUM(T187,T197,T212,T214)-T215</f>
        <v/>
      </c>
      <c r="U234" s="400">
        <f>SUM(U187,U197,U212,U214)-U215</f>
        <v/>
      </c>
      <c r="V234" s="400">
        <f>SUM(V187,V197,V212,V214)-V215</f>
        <v/>
      </c>
      <c r="W234" s="400">
        <f>SUM(W187,W197,W212,W214)-W215</f>
        <v/>
      </c>
      <c r="X234" s="400">
        <f>SUM(X187,X197,X212,X214)-X215</f>
        <v/>
      </c>
      <c r="Y234" s="400">
        <f>SUM(Y187,Y197,Y212,Y214)-Y215</f>
        <v/>
      </c>
      <c r="Z234" s="400">
        <f>SUM(Z187,Z197,Z212,Z214)-Z215</f>
        <v/>
      </c>
      <c r="AA234" s="400">
        <f>SUM(AA187,AA197,AA212,AA214)-AA215</f>
        <v/>
      </c>
      <c r="AB234" s="400">
        <f>SUM(AB187,AB197,AB212,AB214)-AB215</f>
        <v/>
      </c>
      <c r="AC234" s="400">
        <f>SUM(AC187,AC197,AC212,AC214)-AC215</f>
        <v/>
      </c>
      <c r="AD234" s="400">
        <f>SUM(AD187,AD197,AD212,AD214)-AD215</f>
        <v/>
      </c>
      <c r="AE234" s="400">
        <f>SUM(AE187,AE197,AE212,AE214)-AE215</f>
        <v/>
      </c>
      <c r="AF234" s="400">
        <f>SUM(AF187,AF197,AF212,AF214)-AF215</f>
        <v/>
      </c>
      <c r="AG234" s="400">
        <f>SUM(AG187,AG197,AG212,AG214)-AG215</f>
        <v/>
      </c>
      <c r="AH234" s="400">
        <f>SUM(AH187,AH197,AH212,AH214)-AH215</f>
        <v/>
      </c>
      <c r="AI234" s="400">
        <f>SUM(AI187,AI197,AI212,AI214)-AI215</f>
        <v/>
      </c>
      <c r="AJ234" s="400">
        <f>SUM(AJ187,AJ197,AJ212,AJ214)-AJ215</f>
        <v/>
      </c>
      <c r="AK234" s="400">
        <f>SUM(AK187,AK197,AK212,AK214)-AK215</f>
        <v/>
      </c>
      <c r="AL234" s="400">
        <f>SUM(AL187,AL197,AL212,AL214)-AL215</f>
        <v/>
      </c>
      <c r="AM234" s="400">
        <f>SUM(AM187,AM197,AM212,AM214)-AM215</f>
        <v/>
      </c>
      <c r="AN234" s="400">
        <f>SUM(AN187,AN197,AN212,AN214)-AN215</f>
        <v/>
      </c>
      <c r="AO234" s="400">
        <f>SUM(AO187,AO197,AO212,AO214)-AO215</f>
        <v/>
      </c>
      <c r="AP234" s="400">
        <f>SUM(AP187,AP197,AP212,AP214)-AP215</f>
        <v/>
      </c>
      <c r="AQ234" s="400">
        <f>SUM(AQ187,AQ197,AQ212,AQ214)-AQ215</f>
        <v/>
      </c>
      <c r="AR234" s="400">
        <f>SUM(AR187,AR197,AR212,AR214)-AR215</f>
        <v/>
      </c>
      <c r="AS234" s="400">
        <f>SUM(AS187,AS197,AS212,AS214)-AS215</f>
        <v/>
      </c>
      <c r="AT234" s="400">
        <f>SUM(AT187,AT197,AT212,AT214)-AT215</f>
        <v/>
      </c>
      <c r="AU234" s="400">
        <f>SUM(AU187,AU197,AU212,AU214)-AU215</f>
        <v/>
      </c>
      <c r="AV234" s="400">
        <f>SUM(AV187,AV197,AV212,AV214)-AV215</f>
        <v/>
      </c>
      <c r="AW234" s="400">
        <f>SUM(AW187,AW197,AW212,AW214)-AW215</f>
        <v/>
      </c>
      <c r="AX234" s="400">
        <f>SUM(AX187,AX197,AX212,AX214)-AX215</f>
        <v/>
      </c>
      <c r="AY234" s="400">
        <f>SUM(AY187,AY197,AY212,AY214)-AY215</f>
        <v/>
      </c>
      <c r="AZ234" s="400">
        <f>SUM(AZ187,AZ197,AZ212,AZ214)-AZ215</f>
        <v/>
      </c>
      <c r="BA234" s="400">
        <f>SUM(BA187,BA197,BA212,BA214)-BA215</f>
        <v/>
      </c>
      <c r="BB234" s="400">
        <f>SUM(BB187,BB197,BB212,BB214)-BB215</f>
        <v/>
      </c>
      <c r="BC234" s="400">
        <f>SUM(BC187,BC197,BC212,BC214)-BC215</f>
        <v/>
      </c>
      <c r="BD234" s="400">
        <f>SUM(BD187,BD197,BD212,BD214)-BD215</f>
        <v/>
      </c>
      <c r="BE234" s="400">
        <f>SUM(BE187,BE197,BE212,BE214)-BE215</f>
        <v/>
      </c>
      <c r="BF234" s="400">
        <f>SUM(BF187,BF197,BF212,BF214)-BF215</f>
        <v/>
      </c>
      <c r="BG234" s="400">
        <f>SUM(BG187,BG197,BG212,BG214)-BG215</f>
        <v/>
      </c>
      <c r="BH234" s="400">
        <f>SUM(BH187,BH197,BH212,BH214)-BH215</f>
        <v/>
      </c>
      <c r="BI234" s="400">
        <f>SUM(BI187,BI197,BI212,BI214)-BI215</f>
        <v/>
      </c>
      <c r="BJ234" s="400">
        <f>SUM(BJ187,BJ197,BJ212,BJ214)-BJ215</f>
        <v/>
      </c>
      <c r="BK234" s="400">
        <f>SUM(BK187,BK197,BK212,BK214)-BK215</f>
        <v/>
      </c>
      <c r="BL234" s="400">
        <f>SUM(BL187,BL197,BL212,BL214)-BL215</f>
        <v/>
      </c>
      <c r="BM234" s="400">
        <f>SUM(BM187,BM197,BM212,BM214)-BM215</f>
        <v/>
      </c>
      <c r="BN234" s="400">
        <f>SUM(BN187,BN197,BN212,BN214)-BN215</f>
        <v/>
      </c>
      <c r="BO234" s="400">
        <f>SUM(BO187,BO197,BO212,BO214)-BO215</f>
        <v/>
      </c>
      <c r="BP234" s="400">
        <f>SUM(BP187,BP197,BP212,BP214)-BP215</f>
        <v/>
      </c>
      <c r="BQ234" s="400">
        <f>SUM(BQ187,BQ197,BQ212,BQ214)-BQ215</f>
        <v/>
      </c>
      <c r="BR234" s="400">
        <f>SUM(BR187,BR197,BR212,BR214)-BR215</f>
        <v/>
      </c>
      <c r="BS234" t="n">
        <v>0</v>
      </c>
      <c r="BT234" t="inlineStr">
        <is>
          <t>IPGP-Financial-Data-Workbook-2024-Q2.xlsx|Cash Flows|14|93</t>
        </is>
      </c>
    </row>
    <row r="235">
      <c r="A235" s="455" t="inlineStr">
        <is>
          <t>Check</t>
        </is>
      </c>
      <c r="B235" s="400">
        <f>B216+B215-B219</f>
        <v/>
      </c>
      <c r="C235" s="400">
        <f>C216+C215-C219</f>
        <v/>
      </c>
      <c r="D235" s="400">
        <f>D216+D215-D219</f>
        <v/>
      </c>
      <c r="E235" s="400">
        <f>E216+E215-E219</f>
        <v/>
      </c>
      <c r="F235" s="400">
        <f>F216+F215-F219</f>
        <v/>
      </c>
      <c r="G235" s="400">
        <f>G216+G215-G219</f>
        <v/>
      </c>
      <c r="H235" s="400">
        <f>H216+H215-H219</f>
        <v/>
      </c>
      <c r="I235" s="400">
        <f>I216+I215-I219</f>
        <v/>
      </c>
      <c r="J235" s="400">
        <f>J216+J215-J219</f>
        <v/>
      </c>
      <c r="K235" s="400">
        <f>K216+K215-K219</f>
        <v/>
      </c>
      <c r="L235" s="400">
        <f>L216+L215-L219</f>
        <v/>
      </c>
      <c r="M235" s="400">
        <f>M216+M215-M219</f>
        <v/>
      </c>
      <c r="N235" s="400">
        <f>N216+N215-N219</f>
        <v/>
      </c>
      <c r="O235" s="400">
        <f>O216+O215-O219</f>
        <v/>
      </c>
      <c r="P235" s="400">
        <f>P216+P215-P219</f>
        <v/>
      </c>
      <c r="Q235" s="400">
        <f>Q216+Q215-Q219</f>
        <v/>
      </c>
      <c r="R235" s="400">
        <f>R216+R215-R219</f>
        <v/>
      </c>
      <c r="S235" s="400">
        <f>S216+S215-S219</f>
        <v/>
      </c>
      <c r="T235" s="400">
        <f>T216+T215-T219</f>
        <v/>
      </c>
      <c r="U235" s="400">
        <f>U216+U215-U219</f>
        <v/>
      </c>
      <c r="V235" s="400">
        <f>V216+V215-V219</f>
        <v/>
      </c>
      <c r="W235" s="400">
        <f>W216+W215-W219</f>
        <v/>
      </c>
      <c r="X235" s="400">
        <f>X216+X215-X219</f>
        <v/>
      </c>
      <c r="Y235" s="400">
        <f>Y216+Y215-Y219</f>
        <v/>
      </c>
      <c r="Z235" s="400">
        <f>Z216+Z215-Z219</f>
        <v/>
      </c>
      <c r="AA235" s="400">
        <f>AA216+AA215-AA219</f>
        <v/>
      </c>
      <c r="AB235" s="400">
        <f>AB216+AB215-AB219</f>
        <v/>
      </c>
      <c r="AC235" s="400">
        <f>AC216+AC215-AC219</f>
        <v/>
      </c>
      <c r="AD235" s="400">
        <f>AD216+AD215-AD219</f>
        <v/>
      </c>
      <c r="AE235" s="400">
        <f>AE216+AE215-AE219</f>
        <v/>
      </c>
      <c r="AF235" s="400">
        <f>AF216+AF215-AF219</f>
        <v/>
      </c>
      <c r="AG235" s="400">
        <f>AG216+AG215-AG219</f>
        <v/>
      </c>
      <c r="AH235" s="400">
        <f>AH216+AH215-AH219</f>
        <v/>
      </c>
      <c r="AI235" s="400">
        <f>AI216+AI215-AI219</f>
        <v/>
      </c>
      <c r="AJ235" s="400">
        <f>AJ216+AJ215-AJ219</f>
        <v/>
      </c>
      <c r="AK235" s="400">
        <f>AK216+AK215-AK219</f>
        <v/>
      </c>
      <c r="AL235" s="400">
        <f>AL216+AL215-AL219</f>
        <v/>
      </c>
      <c r="AM235" s="400">
        <f>AM216+AM215-AM219</f>
        <v/>
      </c>
      <c r="AN235" s="400">
        <f>AN216+AN215-AN219</f>
        <v/>
      </c>
      <c r="AO235" s="400">
        <f>AO216+AO215-AO219</f>
        <v/>
      </c>
      <c r="AP235" s="400">
        <f>AP216+AP215-AP219</f>
        <v/>
      </c>
      <c r="AQ235" s="400">
        <f>AQ216+AQ215-AQ219</f>
        <v/>
      </c>
      <c r="AR235" s="400">
        <f>AR216+AR215-AR219</f>
        <v/>
      </c>
      <c r="AS235" s="400">
        <f>AS216+AS215-AS219</f>
        <v/>
      </c>
      <c r="AT235" s="400">
        <f>AT216+AT215-AT219</f>
        <v/>
      </c>
      <c r="AU235" s="400">
        <f>AU216+AU215-AU219</f>
        <v/>
      </c>
      <c r="AV235" s="400">
        <f>AV216+AV215-AV219</f>
        <v/>
      </c>
      <c r="AW235" s="400">
        <f>AW216+AW215-AW219</f>
        <v/>
      </c>
      <c r="AX235" s="400">
        <f>AX216+AX215-AX219</f>
        <v/>
      </c>
      <c r="AY235" s="400">
        <f>AY216+AY215-AY219</f>
        <v/>
      </c>
      <c r="AZ235" s="400">
        <f>AZ216+AZ215-AZ219</f>
        <v/>
      </c>
      <c r="BA235" s="400">
        <f>BA216+BA215-BA219-BA220-BA218</f>
        <v/>
      </c>
      <c r="BB235" s="400">
        <f>BB216+BB215-BB219-BB220-BB218</f>
        <v/>
      </c>
      <c r="BC235" s="400">
        <f>BC216+BC215-BC219-BC220-BC218</f>
        <v/>
      </c>
      <c r="BD235" s="400">
        <f>BD216+BD215-BD219-BD220-BD218</f>
        <v/>
      </c>
      <c r="BE235" s="400">
        <f>BE216+BE215-BE219-BE220-BE218</f>
        <v/>
      </c>
      <c r="BF235" s="400">
        <f>BF216+BF215-BF219-BF220-BF218</f>
        <v/>
      </c>
      <c r="BG235" s="400">
        <f>BG216+BG215-BG219-BG220-BG218</f>
        <v/>
      </c>
      <c r="BH235" s="400">
        <f>BH216+BH215-BH219-BH220-BH218</f>
        <v/>
      </c>
      <c r="BI235" s="400">
        <f>BI216+BI215-BI219-BI220-BI218</f>
        <v/>
      </c>
      <c r="BJ235" s="400">
        <f>BJ216+BJ215-BJ219-BJ220-BJ218</f>
        <v/>
      </c>
      <c r="BK235" s="400">
        <f>BK216+BK215-BK219-BK220-BK218</f>
        <v/>
      </c>
      <c r="BL235" s="400">
        <f>BL216+BL215-BL219-BL220-BL218</f>
        <v/>
      </c>
      <c r="BM235" s="400">
        <f>BM216+BM215-BM219-BM220-BM218</f>
        <v/>
      </c>
      <c r="BN235" s="400">
        <f>BN216+BN215-BN219-BN220-BN218</f>
        <v/>
      </c>
      <c r="BO235" s="400">
        <f>BO216+BO215-BO219-BO220-BO218</f>
        <v/>
      </c>
      <c r="BP235" s="400">
        <f>BP216+BP215-BP219-BP220-BP218</f>
        <v/>
      </c>
      <c r="BQ235" s="400">
        <f>BQ216+BQ215-BQ219-BQ220-BQ218</f>
        <v/>
      </c>
      <c r="BR235" s="400">
        <f>BR216+BR215-BR219-BR220-BR218</f>
        <v/>
      </c>
      <c r="BS235" t="n">
        <v>0</v>
      </c>
      <c r="BT235" t="inlineStr">
        <is>
          <t>IPGP-Financial-Data-Workbook-2024-Q2.xlsx|Cash Flows|28|93</t>
        </is>
      </c>
    </row>
    <row r="236">
      <c r="A236" s="455" t="inlineStr">
        <is>
          <t>Check</t>
        </is>
      </c>
      <c r="B236" s="400">
        <f>B219-B123</f>
        <v/>
      </c>
      <c r="C236" s="400">
        <f>C219-C123</f>
        <v/>
      </c>
      <c r="D236" s="400">
        <f>D219-D123</f>
        <v/>
      </c>
      <c r="E236" s="400">
        <f>E219-E123</f>
        <v/>
      </c>
      <c r="F236" s="400">
        <f>F219-F123</f>
        <v/>
      </c>
      <c r="G236" s="400">
        <f>G219-G123</f>
        <v/>
      </c>
      <c r="H236" s="400">
        <f>H219-H123</f>
        <v/>
      </c>
      <c r="I236" s="400">
        <f>I219-I123</f>
        <v/>
      </c>
      <c r="J236" s="400">
        <f>J219-J123</f>
        <v/>
      </c>
      <c r="K236" s="400">
        <f>K219-K123</f>
        <v/>
      </c>
      <c r="L236" s="400">
        <f>L219-L123</f>
        <v/>
      </c>
      <c r="M236" s="400">
        <f>M219-M123</f>
        <v/>
      </c>
      <c r="N236" s="400">
        <f>N219-N123</f>
        <v/>
      </c>
      <c r="O236" s="400">
        <f>O219-O123</f>
        <v/>
      </c>
      <c r="P236" s="400">
        <f>P219-P123</f>
        <v/>
      </c>
      <c r="Q236" s="400">
        <f>Q219-Q123</f>
        <v/>
      </c>
      <c r="R236" s="400">
        <f>R219-R123</f>
        <v/>
      </c>
      <c r="S236" s="400">
        <f>S219-S123</f>
        <v/>
      </c>
      <c r="T236" s="400">
        <f>T219-T123</f>
        <v/>
      </c>
      <c r="U236" s="400">
        <f>U219-U123</f>
        <v/>
      </c>
      <c r="V236" s="400">
        <f>V219-V123</f>
        <v/>
      </c>
      <c r="W236" s="400">
        <f>W219-W123</f>
        <v/>
      </c>
      <c r="X236" s="400">
        <f>X219-X123</f>
        <v/>
      </c>
      <c r="Y236" s="400">
        <f>Y219-Y123</f>
        <v/>
      </c>
      <c r="Z236" s="400">
        <f>Z219-Z123</f>
        <v/>
      </c>
      <c r="AA236" s="400">
        <f>AA219-AA123</f>
        <v/>
      </c>
      <c r="AB236" s="400">
        <f>AB219-AB123</f>
        <v/>
      </c>
      <c r="AC236" s="400">
        <f>AC219-AC123</f>
        <v/>
      </c>
      <c r="AD236" s="400">
        <f>AD219-AD123</f>
        <v/>
      </c>
      <c r="AE236" s="400">
        <f>AE219-AE123</f>
        <v/>
      </c>
      <c r="AF236" s="400">
        <f>AF219-AF123</f>
        <v/>
      </c>
      <c r="AG236" s="400">
        <f>AG219-AG123</f>
        <v/>
      </c>
      <c r="AH236" s="400">
        <f>AH219-AH123</f>
        <v/>
      </c>
      <c r="AI236" s="400">
        <f>AI219-AI123</f>
        <v/>
      </c>
      <c r="AJ236" s="400">
        <f>AJ219-AJ123</f>
        <v/>
      </c>
      <c r="AK236" s="400">
        <f>AK219-AK123</f>
        <v/>
      </c>
      <c r="AL236" s="400">
        <f>AL219-AL123</f>
        <v/>
      </c>
      <c r="AM236" s="400">
        <f>AM219-AM123</f>
        <v/>
      </c>
      <c r="AN236" s="400">
        <f>AN219-AN123</f>
        <v/>
      </c>
      <c r="AO236" s="400">
        <f>AO219-AO123</f>
        <v/>
      </c>
      <c r="AP236" s="400">
        <f>AP219-AP123</f>
        <v/>
      </c>
      <c r="AQ236" s="400">
        <f>AQ219-AQ123</f>
        <v/>
      </c>
      <c r="AR236" s="400">
        <f>AR219-AR123</f>
        <v/>
      </c>
      <c r="AS236" s="400">
        <f>AS219-AS123</f>
        <v/>
      </c>
      <c r="AT236" s="400">
        <f>AT219-AT123</f>
        <v/>
      </c>
      <c r="AU236" s="400">
        <f>AU219-AU123</f>
        <v/>
      </c>
      <c r="AV236" s="400">
        <f>AV219-AV123</f>
        <v/>
      </c>
      <c r="AW236" s="400">
        <f>AW219-AW123</f>
        <v/>
      </c>
      <c r="AX236" s="400">
        <f>AX219-AX123</f>
        <v/>
      </c>
      <c r="AY236" s="400">
        <f>AY219-AY123</f>
        <v/>
      </c>
      <c r="AZ236" s="400">
        <f>AZ219-AZ123</f>
        <v/>
      </c>
      <c r="BA236" s="400">
        <f>BA219-BA123</f>
        <v/>
      </c>
      <c r="BB236" s="400">
        <f>BB219-BB123</f>
        <v/>
      </c>
      <c r="BC236" s="400">
        <f>BC219-BC123</f>
        <v/>
      </c>
      <c r="BD236" s="400">
        <f>BD219-BD123</f>
        <v/>
      </c>
      <c r="BE236" s="400">
        <f>BE219-BE123</f>
        <v/>
      </c>
      <c r="BF236" s="400">
        <f>BF219-BF123</f>
        <v/>
      </c>
      <c r="BG236" s="400">
        <f>BG219-BG123</f>
        <v/>
      </c>
      <c r="BH236" s="400">
        <f>BH219-BH123</f>
        <v/>
      </c>
      <c r="BI236" s="400">
        <f>BI219-BI123</f>
        <v/>
      </c>
      <c r="BJ236" s="400">
        <f>BJ219-BJ123</f>
        <v/>
      </c>
      <c r="BK236" s="400">
        <f>BK219-BK123</f>
        <v/>
      </c>
      <c r="BL236" s="400">
        <f>BL219-BL123</f>
        <v/>
      </c>
      <c r="BM236" s="400">
        <f>BM219-BM123</f>
        <v/>
      </c>
      <c r="BN236" s="400">
        <f>BN219-BN123</f>
        <v/>
      </c>
      <c r="BO236" s="400">
        <f>BO219-BO123</f>
        <v/>
      </c>
      <c r="BP236" s="400">
        <f>BP219-BP123</f>
        <v/>
      </c>
      <c r="BQ236" s="400">
        <f>BQ219-BQ123</f>
        <v/>
      </c>
      <c r="BR236" s="400">
        <f>BR219-BR123</f>
        <v/>
      </c>
      <c r="BS236" t="n">
        <v>0</v>
      </c>
      <c r="BT236" t="inlineStr">
        <is>
          <t>IPGP-Financial-Data-Workbook-2024-Q2.xlsx|Cash Flows|32|93</t>
        </is>
      </c>
    </row>
    <row r="241">
      <c r="A241" s="81" t="inlineStr">
        <is>
          <t xml:space="preserve">Supplement information </t>
        </is>
      </c>
      <c r="B241" s="145" t="n"/>
      <c r="C241" s="145" t="n"/>
      <c r="D241" s="145" t="n"/>
      <c r="E241" s="145" t="n"/>
      <c r="F241" s="145" t="n"/>
      <c r="G241" s="145" t="n"/>
      <c r="H241" s="145" t="n"/>
      <c r="I241" s="145" t="n"/>
      <c r="J241" s="145" t="n"/>
      <c r="K241" s="145" t="n"/>
      <c r="L241" s="145" t="n"/>
      <c r="M241" s="145" t="n"/>
      <c r="N241" s="145" t="n"/>
      <c r="O241" s="145" t="n"/>
      <c r="P241" s="145" t="n"/>
      <c r="Q241" s="145" t="n"/>
      <c r="R241" s="145" t="n"/>
      <c r="S241" s="145" t="n"/>
      <c r="T241" s="145" t="n"/>
      <c r="U241" s="145" t="n"/>
      <c r="V241" s="145" t="n"/>
      <c r="W241" s="145" t="n"/>
      <c r="X241" s="145" t="n"/>
      <c r="Y241" s="145" t="n"/>
      <c r="Z241" s="145" t="n"/>
      <c r="AA241" s="145" t="n"/>
      <c r="AB241" s="145" t="n"/>
      <c r="AC241" s="145" t="n"/>
      <c r="AD241" s="145" t="n"/>
      <c r="AE241" s="145" t="n"/>
      <c r="AF241" s="20" t="n"/>
      <c r="AG241" s="20" t="n"/>
      <c r="AH241" s="20" t="n"/>
      <c r="AI241" s="20" t="n"/>
      <c r="AJ241" s="20" t="n"/>
      <c r="AK241" s="20" t="n"/>
      <c r="AL241" s="20" t="n"/>
      <c r="AM241" s="20" t="n"/>
      <c r="AN241" s="20" t="n"/>
      <c r="AO241" s="20" t="n"/>
      <c r="AP241" s="20" t="n"/>
      <c r="AQ241" s="20" t="n"/>
      <c r="AR241" s="20" t="n"/>
    </row>
    <row r="242">
      <c r="B242" s="145" t="n"/>
      <c r="C242" s="145" t="n"/>
      <c r="D242" s="145" t="n"/>
      <c r="E242" s="145" t="n"/>
      <c r="F242" s="145" t="n"/>
      <c r="G242" s="145" t="n"/>
      <c r="H242" s="145" t="n"/>
      <c r="I242" s="145" t="n"/>
      <c r="J242" s="145" t="n"/>
      <c r="K242" s="145" t="n"/>
      <c r="L242" s="145" t="n"/>
      <c r="M242" s="145" t="n"/>
      <c r="N242" s="145" t="n"/>
      <c r="O242" s="145" t="n"/>
      <c r="P242" s="145" t="n"/>
      <c r="Q242" s="145" t="n"/>
      <c r="R242" s="145" t="n"/>
      <c r="S242" s="145" t="n"/>
      <c r="T242" s="145" t="n"/>
      <c r="U242" s="145" t="n"/>
      <c r="V242" s="145" t="n"/>
      <c r="W242" s="145" t="n"/>
      <c r="X242" s="145" t="n"/>
      <c r="Y242" s="145" t="n"/>
      <c r="Z242" s="145" t="n"/>
      <c r="AA242" s="145" t="n"/>
      <c r="AB242" s="145" t="n"/>
      <c r="AC242" s="145" t="n"/>
      <c r="AD242" s="145" t="n"/>
      <c r="AE242" s="145" t="n"/>
      <c r="AF242" s="20" t="n"/>
      <c r="AG242" s="20" t="n"/>
      <c r="AH242" s="20" t="n"/>
      <c r="AI242" s="20" t="n"/>
      <c r="AJ242" s="20" t="n"/>
      <c r="AK242" s="20" t="n"/>
      <c r="AL242" s="20" t="n"/>
      <c r="AM242" s="20" t="n"/>
      <c r="AN242" s="20" t="n"/>
      <c r="AO242" s="20" t="n"/>
      <c r="AP242" s="20" t="n"/>
      <c r="AQ242" s="20" t="n"/>
      <c r="AR242" s="20" t="n"/>
    </row>
    <row r="243">
      <c r="A243" s="40" t="inlineStr">
        <is>
          <t>Backlog (in Mn USD)</t>
        </is>
      </c>
      <c r="B243" s="121" t="n"/>
      <c r="C243" s="121" t="n"/>
      <c r="D243" s="121" t="n"/>
      <c r="E243" s="121" t="n"/>
      <c r="F243" s="121" t="n"/>
      <c r="G243" s="121" t="n"/>
      <c r="H243" s="121" t="n"/>
      <c r="I243" s="121" t="n"/>
      <c r="J243" s="121" t="n"/>
      <c r="K243" s="121" t="n"/>
      <c r="L243" s="121" t="n"/>
      <c r="M243" s="121" t="n"/>
      <c r="N243" s="133" t="n"/>
      <c r="O243" s="133" t="n"/>
      <c r="P243" s="133" t="n"/>
      <c r="Q243" s="133" t="n"/>
      <c r="R243" s="133" t="n"/>
      <c r="S243" s="133" t="n"/>
      <c r="T243" s="133" t="n"/>
      <c r="U243" s="133" t="n"/>
      <c r="V243" s="133" t="n"/>
      <c r="W243" s="133" t="n"/>
      <c r="X243" s="133" t="n"/>
      <c r="Y243" s="133" t="n"/>
      <c r="Z243" s="133" t="n"/>
      <c r="AA243" s="133" t="n"/>
      <c r="AB243" s="133" t="n"/>
      <c r="AC243" s="133" t="n"/>
      <c r="AD243" s="133" t="n"/>
      <c r="AE243" s="133" t="n"/>
      <c r="AF243" s="133" t="n"/>
      <c r="AG243" s="133" t="n"/>
      <c r="AH243" s="133" t="n"/>
      <c r="AI243" s="133" t="n"/>
      <c r="AJ243" s="133" t="n"/>
      <c r="AK243" s="22" t="n"/>
      <c r="AL243" s="133" t="n"/>
      <c r="AM243" s="133" t="n"/>
      <c r="AN243" s="133" t="n"/>
      <c r="AO243" s="22" t="n"/>
      <c r="AP243" s="22" t="n"/>
      <c r="AQ243" s="22" t="n"/>
      <c r="AR243" s="22" t="n"/>
    </row>
    <row r="244">
      <c r="A244" s="74" t="inlineStr">
        <is>
          <t>Orders with firm shipment dates</t>
        </is>
      </c>
      <c r="B244" s="121" t="n"/>
      <c r="C244" s="121" t="n"/>
      <c r="D244" s="121" t="n"/>
      <c r="E244" s="121" t="n"/>
      <c r="F244" s="121" t="n"/>
      <c r="G244" s="121" t="n"/>
      <c r="H244" s="121" t="n"/>
      <c r="I244" s="121" t="n"/>
      <c r="J244" s="121" t="n"/>
      <c r="K244" s="121" t="n"/>
      <c r="L244" s="121" t="n"/>
      <c r="M244" s="121" t="n"/>
      <c r="N244" s="145" t="n"/>
      <c r="O244" s="145" t="n"/>
      <c r="P244" s="145" t="n"/>
      <c r="Q244" s="145" t="n">
        <v>98.59999999999999</v>
      </c>
      <c r="R244" s="145" t="n"/>
      <c r="S244" s="145" t="n"/>
      <c r="T244" s="145" t="n"/>
      <c r="U244" s="145" t="n">
        <v>124.1</v>
      </c>
      <c r="V244" s="145" t="n"/>
      <c r="W244" s="145" t="n"/>
      <c r="X244" s="145" t="n"/>
      <c r="Y244" s="145" t="n">
        <v>102</v>
      </c>
      <c r="Z244" s="145" t="n"/>
      <c r="AA244" s="145" t="n"/>
      <c r="AB244" s="145" t="n"/>
      <c r="AC244" s="145" t="n">
        <v>132.6</v>
      </c>
      <c r="AD244" s="145" t="n"/>
      <c r="AE244" s="145" t="n"/>
      <c r="AF244" s="145" t="n"/>
      <c r="AG244" s="145" t="n">
        <v>174.5</v>
      </c>
      <c r="AH244" s="145" t="n"/>
      <c r="AI244" s="145" t="n"/>
      <c r="AJ244" s="145" t="n"/>
      <c r="AK244" s="145" t="n">
        <v>185.1</v>
      </c>
      <c r="AL244" s="145" t="n"/>
      <c r="AM244" s="145" t="n"/>
      <c r="AN244" s="145" t="n"/>
      <c r="AO244" s="145" t="n">
        <v>226.7</v>
      </c>
      <c r="AP244" s="145" t="n"/>
      <c r="AQ244" s="145" t="n"/>
      <c r="AR244" s="145" t="n"/>
      <c r="AS244" s="145" t="n">
        <v>326.1</v>
      </c>
      <c r="AW244" s="145" t="n"/>
      <c r="AX244" s="145" t="n"/>
      <c r="AY244" s="145" t="n"/>
      <c r="AZ244" s="145" t="n"/>
      <c r="BA244" s="145" t="n"/>
      <c r="BB244" s="145" t="n"/>
      <c r="BC244" s="145" t="n"/>
      <c r="BD244" s="145" t="n"/>
      <c r="BE244" s="145" t="n"/>
      <c r="BF244" s="145" t="n"/>
      <c r="BG244" s="145" t="n"/>
      <c r="BH244" s="145" t="n"/>
      <c r="BJ244" s="145" t="n"/>
      <c r="BN244" s="145" t="n"/>
      <c r="BO244" s="145" t="n"/>
    </row>
    <row r="245">
      <c r="A245" s="74" t="inlineStr">
        <is>
          <t>Orders expected to ship within one year (frame agreement)</t>
        </is>
      </c>
      <c r="B245" s="121" t="n"/>
      <c r="C245" s="121" t="n"/>
      <c r="D245" s="121" t="n"/>
      <c r="E245" s="121" t="n"/>
      <c r="F245" s="121" t="n"/>
      <c r="G245" s="121" t="n"/>
      <c r="H245" s="121" t="n"/>
      <c r="I245" s="121" t="n"/>
      <c r="J245" s="121" t="n"/>
      <c r="K245" s="121" t="n"/>
      <c r="L245" s="121" t="n"/>
      <c r="M245" s="121" t="n"/>
      <c r="N245" s="145" t="n"/>
      <c r="O245" s="145" t="n"/>
      <c r="P245" s="145" t="n"/>
      <c r="Q245" s="145" t="n">
        <v>73</v>
      </c>
      <c r="R245" s="145" t="n"/>
      <c r="S245" s="145" t="n"/>
      <c r="T245" s="145" t="n"/>
      <c r="U245" s="145" t="n">
        <v>82.90000000000001</v>
      </c>
      <c r="V245" s="145" t="n"/>
      <c r="W245" s="145" t="n"/>
      <c r="X245" s="145" t="n"/>
      <c r="Y245" s="145" t="n">
        <v>101</v>
      </c>
      <c r="Z245" s="145" t="n"/>
      <c r="AA245" s="145" t="n"/>
      <c r="AB245" s="145" t="n"/>
      <c r="AC245" s="145" t="n">
        <v>132.4</v>
      </c>
      <c r="AD245" s="145" t="n"/>
      <c r="AE245" s="145" t="n"/>
      <c r="AF245" s="145" t="n"/>
      <c r="AG245" s="145" t="n">
        <v>146.5</v>
      </c>
      <c r="AH245" s="145" t="n"/>
      <c r="AI245" s="145" t="n"/>
      <c r="AJ245" s="145" t="n"/>
      <c r="AK245" s="145" t="n">
        <v>257.4</v>
      </c>
      <c r="AL245" s="145" t="n"/>
      <c r="AM245" s="145" t="n"/>
      <c r="AN245" s="145" t="n"/>
      <c r="AO245" s="145" t="n">
        <v>187.2</v>
      </c>
      <c r="AP245" s="145" t="n"/>
      <c r="AQ245" s="145" t="n"/>
      <c r="AR245" s="145" t="n"/>
      <c r="AS245" s="145" t="n">
        <v>417.4</v>
      </c>
      <c r="AW245" s="145" t="n"/>
      <c r="AX245" s="145" t="n"/>
      <c r="AY245" s="145" t="n"/>
      <c r="AZ245" s="145" t="n"/>
      <c r="BA245" s="145" t="n"/>
      <c r="BB245" s="145" t="n"/>
      <c r="BC245" s="145" t="n"/>
      <c r="BD245" s="145" t="n"/>
      <c r="BE245" s="145" t="n"/>
      <c r="BF245" s="145" t="n"/>
      <c r="BG245" s="145" t="n"/>
      <c r="BH245" s="145" t="n"/>
      <c r="BJ245" s="145" t="n"/>
      <c r="BN245" s="145" t="n"/>
      <c r="BO245" s="145" t="n"/>
    </row>
    <row r="246">
      <c r="A246" s="40" t="inlineStr">
        <is>
          <t>Total</t>
        </is>
      </c>
      <c r="B246" s="121" t="n"/>
      <c r="C246" s="121" t="n"/>
      <c r="D246" s="121" t="n"/>
      <c r="E246" s="121" t="n"/>
      <c r="F246" s="121" t="n"/>
      <c r="G246" s="121" t="n"/>
      <c r="H246" s="121" t="n"/>
      <c r="I246" s="121" t="n"/>
      <c r="J246" s="121" t="n"/>
      <c r="K246" s="121" t="n"/>
      <c r="L246" s="121" t="n"/>
      <c r="M246" s="121" t="n"/>
      <c r="N246" s="133" t="n"/>
      <c r="O246" s="133" t="n"/>
      <c r="P246" s="133" t="n"/>
      <c r="Q246" s="133" t="n">
        <v>171.6</v>
      </c>
      <c r="R246" s="133" t="n"/>
      <c r="S246" s="133" t="n"/>
      <c r="T246" s="133" t="n"/>
      <c r="U246" s="133" t="n">
        <v>207</v>
      </c>
      <c r="V246" s="133" t="n"/>
      <c r="W246" s="133" t="n"/>
      <c r="X246" s="133" t="n"/>
      <c r="Y246" s="133" t="n">
        <v>203</v>
      </c>
      <c r="Z246" s="133" t="n"/>
      <c r="AA246" s="133" t="n"/>
      <c r="AB246" s="133" t="n"/>
      <c r="AC246" s="133" t="n">
        <v>265</v>
      </c>
      <c r="AD246" s="133" t="n"/>
      <c r="AE246" s="133" t="n"/>
      <c r="AF246" s="133" t="n"/>
      <c r="AG246" s="133" t="n">
        <v>321</v>
      </c>
      <c r="AH246" s="133" t="n"/>
      <c r="AI246" s="133" t="n"/>
      <c r="AJ246" s="133" t="n"/>
      <c r="AK246" s="133" t="n">
        <v>442.5</v>
      </c>
      <c r="AL246" s="133" t="n"/>
      <c r="AM246" s="133" t="n"/>
      <c r="AN246" s="133" t="n"/>
      <c r="AO246" s="133" t="n">
        <v>413.9</v>
      </c>
      <c r="AP246" s="133" t="n"/>
      <c r="AQ246" s="133" t="n"/>
      <c r="AR246" s="133" t="n"/>
      <c r="AS246" s="133" t="n">
        <v>743.6</v>
      </c>
      <c r="AW246" s="133" t="n"/>
      <c r="AX246" s="133" t="n"/>
      <c r="AY246" s="133" t="n"/>
      <c r="AZ246" s="133" t="n"/>
      <c r="BA246" s="133" t="n"/>
      <c r="BB246" s="133" t="n"/>
      <c r="BC246" s="133" t="n"/>
      <c r="BD246" s="133" t="n"/>
      <c r="BE246" s="133" t="n"/>
      <c r="BF246" s="133" t="n"/>
      <c r="BG246" s="133" t="n"/>
      <c r="BH246" s="133" t="n"/>
      <c r="BJ246" s="133" t="n"/>
      <c r="BN246" s="133" t="n"/>
      <c r="BO246" s="133" t="n"/>
    </row>
    <row r="247">
      <c r="A247" s="22" t="n"/>
      <c r="B247" s="145" t="n"/>
      <c r="C247" s="145" t="n"/>
      <c r="D247" s="145" t="n"/>
      <c r="E247" s="145" t="n"/>
      <c r="F247" s="145" t="n"/>
      <c r="G247" s="145" t="n"/>
      <c r="H247" s="145" t="n"/>
      <c r="I247" s="145" t="n"/>
      <c r="J247" s="145" t="n"/>
      <c r="K247" s="145" t="n"/>
      <c r="L247" s="145" t="n"/>
      <c r="M247" s="145" t="n"/>
      <c r="N247" s="145" t="n"/>
      <c r="O247" s="145" t="n"/>
      <c r="P247" s="145" t="n"/>
      <c r="Q247" s="145" t="n"/>
      <c r="R247" s="145" t="n"/>
      <c r="S247" s="145" t="n"/>
      <c r="T247" s="145" t="n"/>
      <c r="U247" s="145" t="n"/>
      <c r="V247" s="145" t="n"/>
      <c r="W247" s="145" t="n"/>
      <c r="X247" s="145" t="n"/>
      <c r="Y247" s="145" t="n"/>
      <c r="Z247" s="145" t="n"/>
      <c r="AA247" s="145" t="n"/>
      <c r="AB247" s="145" t="n"/>
      <c r="AC247" s="145" t="n"/>
      <c r="AD247" s="145" t="n"/>
      <c r="AE247" s="145" t="n"/>
      <c r="AF247" s="20" t="n"/>
      <c r="AG247" s="20" t="n"/>
      <c r="AH247" s="20" t="n"/>
      <c r="AI247" s="20" t="n"/>
      <c r="AJ247" s="20" t="n"/>
      <c r="AK247" s="20" t="n"/>
      <c r="AL247" s="20" t="n"/>
      <c r="AM247" s="20" t="n"/>
      <c r="AN247" s="20" t="n"/>
      <c r="AO247" s="20" t="n"/>
      <c r="AP247" s="20" t="n"/>
      <c r="AQ247" s="20" t="n"/>
      <c r="AR247" s="20" t="n"/>
      <c r="AS247" s="20" t="n"/>
      <c r="AW247" s="20" t="n"/>
      <c r="AX247" s="20" t="n"/>
      <c r="AY247" s="20" t="n"/>
      <c r="AZ247" s="20" t="n"/>
      <c r="BA247" s="20" t="n"/>
      <c r="BB247" s="20" t="n"/>
      <c r="BC247" s="20" t="n"/>
      <c r="BD247" s="20" t="n"/>
      <c r="BE247" s="20" t="n"/>
      <c r="BF247" s="20" t="n"/>
      <c r="BG247" s="20" t="n"/>
      <c r="BH247" s="20" t="n"/>
      <c r="BJ247" s="20" t="n"/>
      <c r="BN247" s="20" t="n"/>
      <c r="BO247" s="20" t="n"/>
    </row>
    <row r="248">
      <c r="A248" s="40" t="inlineStr">
        <is>
          <t>Employees</t>
        </is>
      </c>
      <c r="B248" s="145" t="n"/>
      <c r="C248" s="145" t="n"/>
      <c r="D248" s="145" t="n"/>
      <c r="E248" s="145" t="n"/>
      <c r="F248" s="145" t="n"/>
      <c r="G248" s="145" t="n"/>
      <c r="H248" s="145" t="n"/>
      <c r="I248" s="145" t="n"/>
      <c r="J248" s="145" t="n"/>
      <c r="K248" s="145" t="n"/>
      <c r="L248" s="145" t="n"/>
      <c r="M248" s="145" t="n"/>
      <c r="N248" s="145" t="n"/>
      <c r="O248" s="145" t="n"/>
      <c r="P248" s="145" t="n"/>
      <c r="Q248" s="145" t="n"/>
      <c r="R248" s="145" t="n"/>
      <c r="S248" s="145" t="n"/>
      <c r="T248" s="145" t="n"/>
      <c r="U248" s="145" t="n"/>
      <c r="V248" s="145" t="n"/>
      <c r="W248" s="145" t="n"/>
      <c r="X248" s="145" t="n"/>
      <c r="Y248" s="145" t="n"/>
      <c r="Z248" s="145" t="n"/>
      <c r="AA248" s="145" t="n"/>
      <c r="AB248" s="145" t="n"/>
      <c r="AC248" s="145" t="n"/>
      <c r="AD248" s="145" t="n"/>
      <c r="AE248" s="145" t="n"/>
      <c r="AF248" s="145" t="n"/>
      <c r="AG248" s="145" t="n"/>
      <c r="AH248" s="145" t="n"/>
      <c r="AI248" s="145" t="n"/>
      <c r="AJ248" s="145" t="n"/>
      <c r="AK248" s="145" t="n"/>
      <c r="AL248" s="145" t="n"/>
      <c r="AM248" s="145" t="n"/>
      <c r="AN248" s="145" t="n"/>
      <c r="AO248" s="145" t="n"/>
      <c r="AP248" s="145" t="n"/>
      <c r="AQ248" s="145" t="n"/>
      <c r="AR248" s="145" t="n"/>
      <c r="AS248" s="145" t="n"/>
      <c r="AW248" s="145" t="n"/>
      <c r="AX248" s="145" t="n"/>
      <c r="AY248" s="145" t="n"/>
      <c r="AZ248" s="145" t="n"/>
      <c r="BA248" s="145" t="n"/>
      <c r="BB248" s="145" t="n"/>
      <c r="BC248" s="145" t="n"/>
      <c r="BD248" s="145" t="n"/>
      <c r="BE248" s="145" t="n"/>
      <c r="BF248" s="145" t="n"/>
      <c r="BG248" s="145" t="n"/>
      <c r="BH248" s="145" t="n"/>
      <c r="BJ248" s="145" t="n"/>
      <c r="BN248" s="145" t="n"/>
      <c r="BO248" s="145" t="n"/>
    </row>
    <row r="249">
      <c r="A249" s="74" t="inlineStr">
        <is>
          <t>R&amp;D</t>
        </is>
      </c>
      <c r="B249" s="145" t="n"/>
      <c r="C249" s="145" t="n"/>
      <c r="D249" s="145" t="n"/>
      <c r="E249" s="145" t="n"/>
      <c r="F249" s="145" t="n"/>
      <c r="G249" s="145" t="n"/>
      <c r="H249" s="145" t="n"/>
      <c r="I249" s="145" t="n"/>
      <c r="J249" s="145" t="n"/>
      <c r="K249" s="145" t="n"/>
      <c r="L249" s="145" t="n"/>
      <c r="M249" s="145" t="n"/>
      <c r="N249" s="145" t="n"/>
      <c r="O249" s="145" t="n"/>
      <c r="P249" s="145" t="n"/>
      <c r="Q249" s="145" t="n">
        <v>140</v>
      </c>
      <c r="R249" s="145" t="n"/>
      <c r="S249" s="145" t="n"/>
      <c r="T249" s="145" t="n"/>
      <c r="U249" s="145" t="n">
        <v>184</v>
      </c>
      <c r="V249" s="145" t="n"/>
      <c r="W249" s="145" t="n"/>
      <c r="X249" s="145" t="n"/>
      <c r="Y249" s="145" t="n">
        <v>260</v>
      </c>
      <c r="Z249" s="145" t="n"/>
      <c r="AA249" s="145" t="n"/>
      <c r="AB249" s="145" t="n"/>
      <c r="AC249" s="145" t="n">
        <v>269</v>
      </c>
      <c r="AD249" s="145" t="n"/>
      <c r="AE249" s="145" t="n"/>
      <c r="AF249" s="145" t="n"/>
      <c r="AG249" s="145" t="n">
        <v>329</v>
      </c>
      <c r="AH249" s="145" t="n"/>
      <c r="AI249" s="145" t="n"/>
      <c r="AJ249" s="145" t="n"/>
      <c r="AK249" s="145" t="n">
        <v>411</v>
      </c>
      <c r="AL249" s="145" t="n"/>
      <c r="AM249" s="145" t="n"/>
      <c r="AN249" s="145" t="n"/>
      <c r="AO249" s="145" t="n">
        <v>473</v>
      </c>
      <c r="AP249" s="145" t="n"/>
      <c r="AQ249" s="145" t="n"/>
      <c r="AR249" s="145" t="n"/>
      <c r="AS249" s="145" t="n">
        <v>556</v>
      </c>
      <c r="AW249" s="145" t="n">
        <v>697</v>
      </c>
      <c r="AX249" s="145" t="n"/>
      <c r="AY249" s="145" t="n"/>
      <c r="AZ249" s="145" t="n"/>
      <c r="BA249" s="145" t="n"/>
      <c r="BB249" s="145" t="n"/>
      <c r="BC249" s="145" t="n"/>
      <c r="BD249" s="145" t="n"/>
      <c r="BE249" s="145" t="n"/>
      <c r="BF249" s="145" t="n"/>
      <c r="BG249" s="145" t="n"/>
      <c r="BH249" s="145" t="n"/>
      <c r="BJ249" s="145" t="n"/>
      <c r="BN249" s="145" t="n"/>
      <c r="BO249" s="145" t="n"/>
    </row>
    <row r="250">
      <c r="A250" s="74" t="inlineStr">
        <is>
          <t>Manufacturing operations</t>
        </is>
      </c>
      <c r="B250" s="145" t="n"/>
      <c r="C250" s="145" t="n"/>
      <c r="D250" s="145" t="n"/>
      <c r="E250" s="145" t="n"/>
      <c r="F250" s="145" t="n"/>
      <c r="G250" s="145" t="n"/>
      <c r="H250" s="145" t="n"/>
      <c r="I250" s="145" t="n"/>
      <c r="J250" s="145" t="n"/>
      <c r="K250" s="145" t="n"/>
      <c r="L250" s="145" t="n"/>
      <c r="M250" s="145" t="n"/>
      <c r="N250" s="145" t="n"/>
      <c r="O250" s="145" t="n"/>
      <c r="P250" s="145" t="n"/>
      <c r="Q250" s="145" t="n">
        <v>1370</v>
      </c>
      <c r="R250" s="145" t="n"/>
      <c r="S250" s="145" t="n"/>
      <c r="T250" s="145" t="n"/>
      <c r="U250" s="145" t="n">
        <v>1646</v>
      </c>
      <c r="V250" s="145" t="n"/>
      <c r="W250" s="145" t="n"/>
      <c r="X250" s="145" t="n"/>
      <c r="Y250" s="145" t="n">
        <v>1840</v>
      </c>
      <c r="Z250" s="145" t="n"/>
      <c r="AA250" s="145" t="n"/>
      <c r="AB250" s="145" t="n"/>
      <c r="AC250" s="145" t="n">
        <v>2198</v>
      </c>
      <c r="AD250" s="145" t="n"/>
      <c r="AE250" s="145" t="n"/>
      <c r="AF250" s="145" t="n"/>
      <c r="AG250" s="145" t="n">
        <v>2338</v>
      </c>
      <c r="AH250" s="145" t="n"/>
      <c r="AI250" s="145" t="n"/>
      <c r="AJ250" s="145" t="n"/>
      <c r="AK250" s="145" t="n">
        <v>2934</v>
      </c>
      <c r="AL250" s="145" t="n"/>
      <c r="AM250" s="145" t="n"/>
      <c r="AN250" s="145" t="n"/>
      <c r="AO250" s="145" t="n">
        <v>3296</v>
      </c>
      <c r="AP250" s="145" t="n"/>
      <c r="AQ250" s="145" t="n"/>
      <c r="AR250" s="145" t="n"/>
      <c r="AS250" s="145" t="n">
        <v>3898</v>
      </c>
      <c r="AW250" s="145" t="n">
        <v>4530</v>
      </c>
      <c r="AX250" s="145" t="n"/>
      <c r="AY250" s="145" t="n"/>
      <c r="AZ250" s="145" t="n"/>
      <c r="BA250" s="145" t="n"/>
      <c r="BB250" s="145" t="n"/>
      <c r="BC250" s="145" t="n"/>
      <c r="BD250" s="145" t="n"/>
      <c r="BE250" s="145" t="n"/>
      <c r="BF250" s="145" t="n"/>
      <c r="BG250" s="145" t="n"/>
      <c r="BH250" s="145" t="n"/>
      <c r="BJ250" s="145" t="n"/>
      <c r="BN250" s="145" t="n"/>
      <c r="BO250" s="145" t="n"/>
    </row>
    <row r="251">
      <c r="A251" s="74" t="inlineStr">
        <is>
          <t>Sales, service and marketing</t>
        </is>
      </c>
      <c r="B251" s="145" t="n"/>
      <c r="C251" s="145" t="n"/>
      <c r="D251" s="145" t="n"/>
      <c r="E251" s="145" t="n"/>
      <c r="F251" s="145" t="n"/>
      <c r="G251" s="145" t="n"/>
      <c r="H251" s="145" t="n"/>
      <c r="I251" s="145" t="n"/>
      <c r="J251" s="145" t="n"/>
      <c r="K251" s="145" t="n"/>
      <c r="L251" s="145" t="n"/>
      <c r="M251" s="145" t="n"/>
      <c r="N251" s="145" t="n"/>
      <c r="O251" s="145" t="n"/>
      <c r="P251" s="145" t="n"/>
      <c r="Q251" s="145" t="n">
        <v>100</v>
      </c>
      <c r="R251" s="145" t="n"/>
      <c r="S251" s="145" t="n"/>
      <c r="T251" s="145" t="n"/>
      <c r="U251" s="145" t="n">
        <v>122</v>
      </c>
      <c r="V251" s="145" t="n"/>
      <c r="W251" s="145" t="n"/>
      <c r="X251" s="145" t="n"/>
      <c r="Y251" s="145" t="n">
        <v>110</v>
      </c>
      <c r="Z251" s="145" t="n"/>
      <c r="AA251" s="145" t="n"/>
      <c r="AB251" s="145" t="n"/>
      <c r="AC251" s="145" t="n">
        <v>121</v>
      </c>
      <c r="AD251" s="145" t="n"/>
      <c r="AE251" s="145" t="n"/>
      <c r="AF251" s="145" t="n"/>
      <c r="AG251" s="145" t="n">
        <v>145</v>
      </c>
      <c r="AH251" s="145" t="n"/>
      <c r="AI251" s="145" t="n"/>
      <c r="AJ251" s="145" t="n"/>
      <c r="AK251" s="145" t="n">
        <v>148</v>
      </c>
      <c r="AL251" s="145" t="n"/>
      <c r="AM251" s="145" t="n"/>
      <c r="AN251" s="145" t="n"/>
      <c r="AO251" s="145" t="n">
        <v>190</v>
      </c>
      <c r="AP251" s="145" t="n"/>
      <c r="AQ251" s="145" t="n"/>
      <c r="AR251" s="145" t="n"/>
      <c r="AS251" s="145" t="n">
        <v>240</v>
      </c>
      <c r="AW251" s="145" t="n">
        <v>331</v>
      </c>
      <c r="AX251" s="145" t="n"/>
      <c r="AY251" s="145" t="n"/>
      <c r="AZ251" s="145" t="n"/>
      <c r="BA251" s="145" t="n"/>
      <c r="BB251" s="145" t="n"/>
      <c r="BC251" s="145" t="n"/>
      <c r="BD251" s="145" t="n"/>
      <c r="BE251" s="145" t="n"/>
      <c r="BF251" s="145" t="n"/>
      <c r="BG251" s="145" t="n"/>
      <c r="BH251" s="145" t="n"/>
      <c r="BJ251" s="145" t="n"/>
      <c r="BN251" s="145" t="n"/>
      <c r="BO251" s="145" t="n"/>
    </row>
    <row r="252">
      <c r="A252" s="74" t="inlineStr">
        <is>
          <t>General and administraative</t>
        </is>
      </c>
      <c r="B252" s="145" t="n"/>
      <c r="C252" s="145" t="n"/>
      <c r="D252" s="145" t="n"/>
      <c r="E252" s="145" t="n"/>
      <c r="F252" s="145" t="n"/>
      <c r="G252" s="145" t="n"/>
      <c r="H252" s="145" t="n"/>
      <c r="I252" s="145" t="n"/>
      <c r="J252" s="145" t="n"/>
      <c r="K252" s="145" t="n"/>
      <c r="L252" s="145" t="n"/>
      <c r="M252" s="145" t="n"/>
      <c r="N252" s="145" t="n"/>
      <c r="O252" s="145" t="n"/>
      <c r="P252" s="145" t="n"/>
      <c r="Q252" s="145" t="n">
        <v>150</v>
      </c>
      <c r="R252" s="145" t="n"/>
      <c r="S252" s="145" t="n"/>
      <c r="T252" s="145" t="n"/>
      <c r="U252" s="145" t="n">
        <v>185</v>
      </c>
      <c r="V252" s="145" t="n"/>
      <c r="W252" s="145" t="n"/>
      <c r="X252" s="145" t="n"/>
      <c r="Y252" s="145" t="n">
        <v>190</v>
      </c>
      <c r="Z252" s="145" t="n"/>
      <c r="AA252" s="145" t="n"/>
      <c r="AB252" s="145" t="n"/>
      <c r="AC252" s="145" t="n">
        <v>207</v>
      </c>
      <c r="AD252" s="145" t="n"/>
      <c r="AE252" s="145" t="n"/>
      <c r="AF252" s="145" t="n"/>
      <c r="AG252" s="145" t="n">
        <v>231</v>
      </c>
      <c r="AH252" s="145" t="n"/>
      <c r="AI252" s="145" t="n"/>
      <c r="AJ252" s="145" t="n"/>
      <c r="AK252" s="145" t="n">
        <v>249</v>
      </c>
      <c r="AL252" s="145" t="n"/>
      <c r="AM252" s="145" t="n"/>
      <c r="AN252" s="145" t="n"/>
      <c r="AO252" s="145" t="n">
        <v>271</v>
      </c>
      <c r="AP252" s="145" t="n"/>
      <c r="AQ252" s="145" t="n"/>
      <c r="AR252" s="145" t="n"/>
      <c r="AS252" s="145" t="n">
        <v>332</v>
      </c>
      <c r="AW252" s="145" t="n">
        <v>428</v>
      </c>
      <c r="AX252" s="145" t="n"/>
      <c r="AY252" s="145" t="n"/>
      <c r="AZ252" s="145" t="n"/>
      <c r="BA252" s="145" t="n"/>
      <c r="BB252" s="145" t="n"/>
      <c r="BC252" s="145" t="n"/>
      <c r="BD252" s="145" t="n"/>
      <c r="BE252" s="145" t="n"/>
      <c r="BF252" s="145" t="n"/>
      <c r="BG252" s="145" t="n"/>
      <c r="BH252" s="145" t="n"/>
      <c r="BJ252" s="145" t="n"/>
      <c r="BN252" s="145" t="n"/>
      <c r="BO252" s="145" t="n"/>
    </row>
    <row r="253">
      <c r="A253" s="74" t="inlineStr">
        <is>
          <t>Contractors</t>
        </is>
      </c>
      <c r="B253" s="145" t="n"/>
      <c r="C253" s="145" t="n"/>
      <c r="D253" s="145" t="n"/>
      <c r="E253" s="145" t="n"/>
      <c r="F253" s="145" t="n"/>
      <c r="G253" s="145" t="n"/>
      <c r="H253" s="145" t="n"/>
      <c r="I253" s="145" t="n"/>
      <c r="J253" s="145" t="n"/>
      <c r="K253" s="145" t="n"/>
      <c r="L253" s="145" t="n"/>
      <c r="M253" s="145" t="n"/>
      <c r="N253" s="145" t="n"/>
      <c r="O253" s="145" t="n"/>
      <c r="P253" s="145" t="n"/>
      <c r="Q253" s="145" t="n"/>
      <c r="R253" s="145" t="n"/>
      <c r="S253" s="145" t="n"/>
      <c r="T253" s="145" t="n"/>
      <c r="U253" s="145" t="n"/>
      <c r="V253" s="145" t="n"/>
      <c r="W253" s="145" t="n"/>
      <c r="X253" s="145" t="n"/>
      <c r="Y253" s="145" t="n"/>
      <c r="Z253" s="145" t="n"/>
      <c r="AA253" s="145" t="n"/>
      <c r="AB253" s="145" t="n"/>
      <c r="AC253" s="145" t="n">
        <v>191</v>
      </c>
      <c r="AD253" s="145" t="n"/>
      <c r="AE253" s="145" t="n"/>
      <c r="AF253" s="145" t="n"/>
      <c r="AG253" s="145" t="n">
        <v>220</v>
      </c>
      <c r="AH253" s="145" t="n"/>
      <c r="AI253" s="145" t="n"/>
      <c r="AJ253" s="145" t="n"/>
      <c r="AK253" s="145" t="n">
        <v>279</v>
      </c>
      <c r="AL253" s="145" t="n"/>
      <c r="AM253" s="145" t="n"/>
      <c r="AN253" s="145" t="n"/>
      <c r="AO253" s="145" t="n">
        <v>281</v>
      </c>
      <c r="AP253" s="145" t="n"/>
      <c r="AQ253" s="145" t="n"/>
      <c r="AR253" s="145" t="n"/>
      <c r="AS253" s="145" t="n">
        <v>363</v>
      </c>
      <c r="AW253" s="145" t="n">
        <v>245</v>
      </c>
      <c r="AX253" s="145" t="n"/>
      <c r="AY253" s="145" t="n"/>
      <c r="AZ253" s="145" t="n"/>
      <c r="BA253" s="145" t="n"/>
      <c r="BB253" s="145" t="n"/>
      <c r="BC253" s="145" t="n"/>
      <c r="BD253" s="145" t="n"/>
      <c r="BE253" s="145" t="n"/>
      <c r="BF253" s="145" t="n"/>
      <c r="BG253" s="145" t="n"/>
      <c r="BH253" s="145" t="n"/>
      <c r="BJ253" s="145" t="n"/>
      <c r="BN253" s="145" t="n"/>
      <c r="BO253" s="145" t="n"/>
    </row>
    <row r="254">
      <c r="A254" s="40" t="inlineStr">
        <is>
          <t>Total</t>
        </is>
      </c>
      <c r="B254" s="133" t="n"/>
      <c r="C254" s="133" t="n"/>
      <c r="D254" s="133" t="n"/>
      <c r="E254" s="133" t="n"/>
      <c r="F254" s="133" t="n"/>
      <c r="G254" s="133" t="n"/>
      <c r="H254" s="133" t="n"/>
      <c r="I254" s="133" t="n"/>
      <c r="J254" s="133" t="n"/>
      <c r="K254" s="133" t="n"/>
      <c r="L254" s="133" t="n"/>
      <c r="M254" s="133" t="n"/>
      <c r="N254" s="133" t="n"/>
      <c r="O254" s="133" t="n"/>
      <c r="P254" s="133" t="n"/>
      <c r="Q254" s="133" t="n">
        <v>1760</v>
      </c>
      <c r="R254" s="133" t="n"/>
      <c r="S254" s="133" t="n"/>
      <c r="T254" s="133" t="n"/>
      <c r="U254" s="133" t="n">
        <v>2137</v>
      </c>
      <c r="V254" s="133" t="n"/>
      <c r="W254" s="133" t="n"/>
      <c r="X254" s="133" t="n"/>
      <c r="Y254" s="133" t="n">
        <v>2400</v>
      </c>
      <c r="Z254" s="133" t="n"/>
      <c r="AA254" s="133" t="n"/>
      <c r="AB254" s="133" t="n"/>
      <c r="AC254" s="133" t="n">
        <v>2986</v>
      </c>
      <c r="AD254" s="133" t="n"/>
      <c r="AE254" s="133" t="n"/>
      <c r="AF254" s="133" t="n"/>
      <c r="AG254" s="133" t="n">
        <v>3263</v>
      </c>
      <c r="AH254" s="133" t="n"/>
      <c r="AI254" s="133" t="n"/>
      <c r="AJ254" s="133" t="n"/>
      <c r="AK254" s="133" t="n">
        <v>4021</v>
      </c>
      <c r="AL254" s="133" t="n"/>
      <c r="AM254" s="133" t="n"/>
      <c r="AN254" s="133" t="n"/>
      <c r="AO254" s="133" t="n">
        <v>4511</v>
      </c>
      <c r="AP254" s="133" t="n"/>
      <c r="AQ254" s="133" t="n"/>
      <c r="AR254" s="133" t="n"/>
      <c r="AS254" s="133" t="n">
        <v>5389</v>
      </c>
      <c r="AW254" s="133" t="n">
        <v>6231</v>
      </c>
      <c r="AX254" s="133" t="n"/>
      <c r="AY254" s="133" t="n"/>
      <c r="AZ254" s="133" t="n"/>
      <c r="BA254" s="133" t="n"/>
      <c r="BB254" s="133" t="n"/>
      <c r="BC254" s="133" t="n"/>
      <c r="BD254" s="133" t="n"/>
      <c r="BE254" s="133" t="n"/>
      <c r="BF254" s="133" t="n"/>
      <c r="BG254" s="133" t="n"/>
      <c r="BH254" s="133" t="n"/>
      <c r="BJ254" s="133" t="n"/>
      <c r="BN254" s="133" t="n"/>
      <c r="BO254" s="133" t="n"/>
    </row>
    <row r="255">
      <c r="A255" s="40" t="n"/>
      <c r="B255" s="133" t="n"/>
      <c r="C255" s="133" t="n"/>
      <c r="D255" s="133" t="n"/>
      <c r="E255" s="133" t="n"/>
      <c r="F255" s="133" t="n"/>
      <c r="G255" s="133" t="n"/>
      <c r="H255" s="133" t="n"/>
      <c r="I255" s="133" t="n"/>
      <c r="J255" s="133" t="n"/>
      <c r="K255" s="133" t="n"/>
      <c r="L255" s="133" t="n"/>
      <c r="M255" s="133" t="n"/>
      <c r="N255" s="133" t="n"/>
      <c r="O255" s="133" t="n"/>
      <c r="P255" s="133" t="n"/>
      <c r="Q255" s="133" t="n"/>
      <c r="R255" s="133" t="n"/>
      <c r="S255" s="133" t="n"/>
      <c r="T255" s="133" t="n"/>
      <c r="U255" s="133" t="n"/>
      <c r="V255" s="133" t="n"/>
      <c r="W255" s="133" t="n"/>
      <c r="X255" s="133" t="n"/>
      <c r="Y255" s="133" t="n"/>
      <c r="Z255" s="133" t="n"/>
      <c r="AA255" s="133" t="n"/>
      <c r="AB255" s="133" t="n"/>
      <c r="AC255" s="133" t="n"/>
      <c r="AD255" s="147" t="n"/>
      <c r="AE255" s="147" t="n"/>
      <c r="AF255" s="147" t="n"/>
      <c r="AG255" s="147" t="n"/>
      <c r="AH255" s="133" t="n"/>
      <c r="AI255" s="133" t="n"/>
      <c r="AJ255" s="133" t="n"/>
      <c r="AK255" s="133" t="n"/>
      <c r="AL255" s="133" t="n"/>
      <c r="AM255" s="133" t="n"/>
      <c r="AN255" s="133" t="n"/>
      <c r="AO255" s="133" t="n"/>
      <c r="AP255" s="133" t="n"/>
      <c r="AQ255" s="133" t="n"/>
      <c r="AR255" s="133" t="n"/>
      <c r="AS255" s="133" t="n"/>
      <c r="AW255" s="133" t="n"/>
      <c r="AX255" s="133" t="n"/>
      <c r="AY255" s="133" t="n"/>
      <c r="AZ255" s="133" t="n"/>
      <c r="BA255" s="133" t="n"/>
      <c r="BB255" s="133" t="n"/>
      <c r="BC255" s="133" t="n"/>
      <c r="BD255" s="133" t="n"/>
      <c r="BE255" s="133" t="n"/>
      <c r="BF255" s="133" t="n"/>
      <c r="BG255" s="133" t="n"/>
      <c r="BH255" s="133" t="n"/>
      <c r="BJ255" s="133" t="n"/>
      <c r="BN255" s="133" t="n"/>
      <c r="BO255" s="133" t="n"/>
    </row>
    <row r="256">
      <c r="A256" s="40" t="inlineStr">
        <is>
          <t>Property, plant, and equipment (in '000 USD)</t>
        </is>
      </c>
      <c r="B256" s="133" t="n"/>
      <c r="C256" s="133" t="n"/>
      <c r="D256" s="133" t="n"/>
      <c r="E256" s="133" t="n"/>
      <c r="F256" s="133" t="n"/>
      <c r="G256" s="133" t="n"/>
      <c r="H256" s="133" t="n"/>
      <c r="I256" s="133" t="n"/>
      <c r="J256" s="133" t="n"/>
      <c r="K256" s="133" t="n"/>
      <c r="L256" s="133" t="n"/>
      <c r="M256" s="133" t="n"/>
      <c r="N256" s="133" t="n"/>
      <c r="O256" s="133" t="n"/>
      <c r="P256" s="133" t="n"/>
      <c r="Q256" s="133" t="n"/>
      <c r="R256" s="133" t="n"/>
      <c r="S256" s="133" t="n"/>
      <c r="T256" s="133" t="n"/>
      <c r="U256" s="133" t="n"/>
      <c r="V256" s="133" t="n"/>
      <c r="W256" s="133" t="n"/>
      <c r="X256" s="133" t="n"/>
      <c r="Y256" s="133" t="n"/>
      <c r="Z256" s="133" t="n"/>
      <c r="AA256" s="133" t="n"/>
      <c r="AB256" s="133" t="n"/>
      <c r="AC256" s="133" t="n"/>
      <c r="AD256" s="147" t="n"/>
      <c r="AE256" s="147" t="n"/>
      <c r="AF256" s="147" t="n"/>
      <c r="AG256" s="147" t="n"/>
      <c r="AH256" s="133" t="n"/>
      <c r="AI256" s="133" t="n"/>
      <c r="AJ256" s="133" t="n"/>
      <c r="AK256" s="133" t="n"/>
      <c r="AL256" s="133" t="n"/>
      <c r="AM256" s="133" t="n"/>
      <c r="AN256" s="133" t="n"/>
      <c r="AO256" s="133" t="n"/>
      <c r="AP256" s="133" t="n"/>
      <c r="AQ256" s="133" t="n"/>
      <c r="AR256" s="133" t="n"/>
      <c r="AS256" s="133" t="n"/>
      <c r="AW256" s="133" t="n"/>
      <c r="AX256" s="133" t="n"/>
      <c r="AY256" s="133" t="n"/>
      <c r="AZ256" s="133" t="n"/>
      <c r="BA256" s="133" t="n"/>
      <c r="BB256" s="133" t="n"/>
      <c r="BC256" s="133" t="n"/>
      <c r="BD256" s="133" t="n"/>
      <c r="BE256" s="133" t="n"/>
      <c r="BF256" s="133" t="n"/>
      <c r="BG256" s="133" t="n"/>
      <c r="BH256" s="133" t="n"/>
      <c r="BJ256" s="133" t="n"/>
      <c r="BN256" s="133" t="n"/>
      <c r="BO256" s="133" t="n"/>
    </row>
    <row r="257">
      <c r="A257" s="74" t="inlineStr">
        <is>
          <t>Land</t>
        </is>
      </c>
      <c r="B257" s="133" t="n"/>
      <c r="C257" s="133" t="n"/>
      <c r="D257" s="133" t="n"/>
      <c r="E257" s="133" t="n"/>
      <c r="F257" s="133" t="n"/>
      <c r="G257" s="133" t="n"/>
      <c r="H257" s="133" t="n"/>
      <c r="I257" s="133" t="n"/>
      <c r="J257" s="133" t="n"/>
      <c r="K257" s="133" t="n"/>
      <c r="L257" s="133" t="n"/>
      <c r="M257" s="133" t="n"/>
      <c r="N257" s="133" t="n"/>
      <c r="O257" s="133" t="n"/>
      <c r="P257" s="133" t="n"/>
      <c r="Q257" s="133" t="n">
        <v>12380</v>
      </c>
      <c r="R257" s="133" t="n"/>
      <c r="S257" s="133" t="n"/>
      <c r="T257" s="133" t="n"/>
      <c r="U257" s="133" t="n">
        <v>16168</v>
      </c>
      <c r="V257" s="133" t="n"/>
      <c r="W257" s="133" t="n"/>
      <c r="X257" s="133" t="n"/>
      <c r="Y257" s="133" t="n">
        <v>17303</v>
      </c>
      <c r="Z257" s="133" t="n"/>
      <c r="AA257" s="133" t="n"/>
      <c r="AB257" s="133" t="n"/>
      <c r="AC257" s="133" t="n">
        <v>15448</v>
      </c>
      <c r="AD257" s="133" t="n"/>
      <c r="AE257" s="133" t="n"/>
      <c r="AF257" s="133" t="n"/>
      <c r="AG257" s="133" t="n">
        <v>19248</v>
      </c>
      <c r="AH257" s="133" t="n"/>
      <c r="AI257" s="133" t="n"/>
      <c r="AJ257" s="133" t="n"/>
      <c r="AK257" s="133" t="n">
        <v>18962</v>
      </c>
      <c r="AL257" s="133" t="n"/>
      <c r="AM257" s="133" t="n"/>
      <c r="AN257" s="133" t="n"/>
      <c r="AO257" s="133" t="n">
        <v>21811</v>
      </c>
      <c r="AP257" s="133" t="n"/>
      <c r="AQ257" s="133" t="n"/>
      <c r="AR257" s="133" t="n"/>
      <c r="AS257" s="133" t="n">
        <v>26623</v>
      </c>
      <c r="AW257" s="133" t="n"/>
      <c r="AX257" s="133" t="n"/>
      <c r="AY257" s="133" t="n"/>
      <c r="AZ257" s="133" t="n"/>
      <c r="BA257" s="133" t="n"/>
      <c r="BB257" s="133" t="n"/>
      <c r="BC257" s="133" t="n"/>
      <c r="BD257" s="133" t="n"/>
      <c r="BE257" s="133" t="n"/>
      <c r="BF257" s="133" t="n"/>
      <c r="BG257" s="133" t="n"/>
      <c r="BH257" s="133" t="n"/>
      <c r="BJ257" s="133" t="n"/>
      <c r="BN257" s="133" t="n"/>
      <c r="BO257" s="133" t="n"/>
    </row>
    <row r="258">
      <c r="A258" s="74" t="inlineStr">
        <is>
          <t>Buildings</t>
        </is>
      </c>
      <c r="B258" s="133" t="n"/>
      <c r="C258" s="133" t="n"/>
      <c r="D258" s="133" t="n"/>
      <c r="E258" s="133" t="n"/>
      <c r="F258" s="133" t="n"/>
      <c r="G258" s="133" t="n"/>
      <c r="H258" s="133" t="n"/>
      <c r="I258" s="133" t="n"/>
      <c r="J258" s="133" t="n"/>
      <c r="K258" s="133" t="n"/>
      <c r="L258" s="133" t="n"/>
      <c r="M258" s="133" t="n"/>
      <c r="N258" s="145" t="n"/>
      <c r="O258" s="145" t="n"/>
      <c r="P258" s="145" t="n"/>
      <c r="Q258" s="145" t="n">
        <v>87492</v>
      </c>
      <c r="R258" s="145" t="n"/>
      <c r="S258" s="145" t="n"/>
      <c r="T258" s="145" t="n"/>
      <c r="U258" s="145" t="n">
        <v>96556</v>
      </c>
      <c r="V258" s="145" t="n"/>
      <c r="W258" s="145" t="n"/>
      <c r="X258" s="145" t="n"/>
      <c r="Y258" s="145" t="n">
        <v>109288</v>
      </c>
      <c r="Z258" s="145" t="n"/>
      <c r="AA258" s="145" t="n"/>
      <c r="AB258" s="145" t="n"/>
      <c r="AC258" s="145" t="n">
        <v>146730</v>
      </c>
      <c r="AD258" s="145" t="n"/>
      <c r="AE258" s="145" t="n"/>
      <c r="AF258" s="145" t="n"/>
      <c r="AG258" s="145" t="n">
        <v>144629</v>
      </c>
      <c r="AH258" s="145" t="n"/>
      <c r="AI258" s="145" t="n"/>
      <c r="AJ258" s="145" t="n"/>
      <c r="AK258" s="145" t="n">
        <v>166784</v>
      </c>
      <c r="AL258" s="145" t="n"/>
      <c r="AM258" s="145" t="n"/>
      <c r="AN258" s="145" t="n"/>
      <c r="AO258" s="145" t="n">
        <v>214830</v>
      </c>
      <c r="AP258" s="145" t="n"/>
      <c r="AQ258" s="145" t="n"/>
      <c r="AR258" s="145" t="n"/>
      <c r="AS258" s="145" t="n">
        <v>267256</v>
      </c>
      <c r="AW258" s="145" t="n"/>
      <c r="AX258" s="145" t="n"/>
      <c r="AY258" s="145" t="n"/>
      <c r="AZ258" s="145" t="n"/>
      <c r="BA258" s="145" t="n"/>
      <c r="BB258" s="145" t="n"/>
      <c r="BC258" s="145" t="n"/>
      <c r="BD258" s="145" t="n"/>
      <c r="BE258" s="145" t="n"/>
      <c r="BF258" s="145" t="n"/>
      <c r="BG258" s="145" t="n"/>
      <c r="BH258" s="145" t="n"/>
      <c r="BJ258" s="145" t="n"/>
      <c r="BN258" s="145" t="n"/>
      <c r="BO258" s="145" t="n"/>
    </row>
    <row r="259">
      <c r="A259" s="74" t="inlineStr">
        <is>
          <t>Machinery and equipment</t>
        </is>
      </c>
      <c r="B259" s="133" t="n"/>
      <c r="C259" s="133" t="n"/>
      <c r="D259" s="133" t="n"/>
      <c r="E259" s="133" t="n"/>
      <c r="F259" s="133" t="n"/>
      <c r="G259" s="133" t="n"/>
      <c r="H259" s="133" t="n"/>
      <c r="I259" s="133" t="n"/>
      <c r="J259" s="133" t="n"/>
      <c r="K259" s="133" t="n"/>
      <c r="L259" s="133" t="n"/>
      <c r="M259" s="133" t="n"/>
      <c r="N259" s="145" t="n"/>
      <c r="O259" s="145" t="n"/>
      <c r="P259" s="145" t="n"/>
      <c r="Q259" s="145" t="n">
        <v>92363</v>
      </c>
      <c r="R259" s="145" t="n"/>
      <c r="S259" s="145" t="n"/>
      <c r="T259" s="145" t="n"/>
      <c r="U259" s="145" t="n">
        <v>110331</v>
      </c>
      <c r="V259" s="145" t="n"/>
      <c r="W259" s="145" t="n"/>
      <c r="X259" s="145" t="n"/>
      <c r="Y259" s="145" t="n">
        <v>135756</v>
      </c>
      <c r="Z259" s="145" t="n"/>
      <c r="AA259" s="145" t="n"/>
      <c r="AB259" s="145" t="n"/>
      <c r="AC259" s="145" t="n">
        <v>165050</v>
      </c>
      <c r="AD259" s="145" t="n"/>
      <c r="AE259" s="145" t="n"/>
      <c r="AF259" s="145" t="n"/>
      <c r="AG259" s="145" t="n">
        <v>202075</v>
      </c>
      <c r="AH259" s="145" t="n"/>
      <c r="AI259" s="145" t="n"/>
      <c r="AJ259" s="145" t="n"/>
      <c r="AK259" s="145" t="n">
        <v>226724</v>
      </c>
      <c r="AL259" s="145" t="n"/>
      <c r="AM259" s="145" t="n"/>
      <c r="AN259" s="145" t="n"/>
      <c r="AO259" s="145" t="n">
        <v>279372</v>
      </c>
      <c r="AP259" s="145" t="n"/>
      <c r="AQ259" s="145" t="n"/>
      <c r="AR259" s="145" t="n"/>
      <c r="AS259" s="145" t="n">
        <v>344905</v>
      </c>
      <c r="AW259" s="145" t="n"/>
      <c r="AX259" s="145" t="n"/>
      <c r="AY259" s="145" t="n"/>
      <c r="AZ259" s="145" t="n"/>
      <c r="BA259" s="145" t="n"/>
      <c r="BB259" s="145" t="n"/>
      <c r="BC259" s="145" t="n"/>
      <c r="BD259" s="145" t="n"/>
      <c r="BE259" s="145" t="n"/>
      <c r="BF259" s="145" t="n"/>
      <c r="BG259" s="145" t="n"/>
      <c r="BH259" s="145" t="n"/>
      <c r="BJ259" s="145" t="n"/>
      <c r="BN259" s="145" t="n"/>
      <c r="BO259" s="145" t="n"/>
    </row>
    <row r="260">
      <c r="A260" s="74" t="inlineStr">
        <is>
          <t>Office furniture and fixtures</t>
        </is>
      </c>
      <c r="B260" s="133" t="n"/>
      <c r="C260" s="133" t="n"/>
      <c r="D260" s="133" t="n"/>
      <c r="E260" s="133" t="n"/>
      <c r="F260" s="133" t="n"/>
      <c r="G260" s="133" t="n"/>
      <c r="H260" s="133" t="n"/>
      <c r="I260" s="133" t="n"/>
      <c r="J260" s="133" t="n"/>
      <c r="K260" s="133" t="n"/>
      <c r="L260" s="133" t="n"/>
      <c r="M260" s="133" t="n"/>
      <c r="N260" s="145" t="n"/>
      <c r="O260" s="145" t="n"/>
      <c r="P260" s="145" t="n"/>
      <c r="Q260" s="145" t="n">
        <v>16607</v>
      </c>
      <c r="R260" s="145" t="n"/>
      <c r="S260" s="145" t="n"/>
      <c r="T260" s="145" t="n"/>
      <c r="U260" s="145" t="n">
        <v>18268</v>
      </c>
      <c r="V260" s="145" t="n"/>
      <c r="W260" s="145" t="n"/>
      <c r="X260" s="145" t="n"/>
      <c r="Y260" s="145" t="n">
        <v>22446</v>
      </c>
      <c r="Z260" s="145" t="n"/>
      <c r="AA260" s="145" t="n"/>
      <c r="AB260" s="145" t="n"/>
      <c r="AC260" s="145" t="n">
        <v>23589</v>
      </c>
      <c r="AD260" s="145" t="n"/>
      <c r="AE260" s="145" t="n"/>
      <c r="AF260" s="145" t="n"/>
      <c r="AG260" s="145" t="n">
        <v>25816</v>
      </c>
      <c r="AH260" s="145" t="n"/>
      <c r="AI260" s="145" t="n"/>
      <c r="AJ260" s="145" t="n"/>
      <c r="AK260" s="145" t="n">
        <v>26981</v>
      </c>
      <c r="AL260" s="145" t="n"/>
      <c r="AM260" s="145" t="n"/>
      <c r="AN260" s="145" t="n"/>
      <c r="AO260" s="145" t="n">
        <v>31210</v>
      </c>
      <c r="AP260" s="145" t="n"/>
      <c r="AQ260" s="145" t="n"/>
      <c r="AR260" s="145" t="n"/>
      <c r="AS260" s="145" t="n">
        <v>55885</v>
      </c>
      <c r="AW260" s="145" t="n"/>
      <c r="AX260" s="145" t="n"/>
      <c r="AY260" s="145" t="n"/>
      <c r="AZ260" s="145" t="n"/>
      <c r="BA260" s="145" t="n"/>
      <c r="BB260" s="145" t="n"/>
      <c r="BC260" s="145" t="n"/>
      <c r="BD260" s="145" t="n"/>
      <c r="BE260" s="145" t="n"/>
      <c r="BF260" s="145" t="n"/>
      <c r="BG260" s="145" t="n"/>
      <c r="BH260" s="145" t="n"/>
      <c r="BJ260" s="145" t="n"/>
      <c r="BN260" s="145" t="n"/>
      <c r="BO260" s="145" t="n"/>
    </row>
    <row r="261">
      <c r="A261" s="74" t="inlineStr">
        <is>
          <t>Construction-in-progress</t>
        </is>
      </c>
      <c r="B261" s="133" t="n"/>
      <c r="C261" s="133" t="n"/>
      <c r="D261" s="133" t="n"/>
      <c r="E261" s="133" t="n"/>
      <c r="F261" s="133" t="n"/>
      <c r="G261" s="133" t="n"/>
      <c r="H261" s="133" t="n"/>
      <c r="I261" s="133" t="n"/>
      <c r="J261" s="133" t="n"/>
      <c r="K261" s="133" t="n"/>
      <c r="L261" s="133" t="n"/>
      <c r="M261" s="133" t="n"/>
      <c r="N261" s="145" t="n"/>
      <c r="O261" s="145" t="n"/>
      <c r="P261" s="145" t="n"/>
      <c r="Q261" s="145" t="n">
        <v>5392</v>
      </c>
      <c r="R261" s="145" t="n"/>
      <c r="S261" s="145" t="n"/>
      <c r="T261" s="145" t="n"/>
      <c r="U261" s="145" t="n">
        <v>20953</v>
      </c>
      <c r="V261" s="145" t="n"/>
      <c r="W261" s="145" t="n"/>
      <c r="X261" s="145" t="n"/>
      <c r="Y261" s="145" t="n">
        <v>52457</v>
      </c>
      <c r="Z261" s="145" t="n"/>
      <c r="AA261" s="145" t="n"/>
      <c r="AB261" s="145" t="n"/>
      <c r="AC261" s="145" t="n">
        <v>52911</v>
      </c>
      <c r="AD261" s="145" t="n"/>
      <c r="AE261" s="145" t="n"/>
      <c r="AF261" s="145" t="n"/>
      <c r="AG261" s="145" t="n">
        <v>47285</v>
      </c>
      <c r="AH261" s="145" t="n"/>
      <c r="AI261" s="145" t="n"/>
      <c r="AJ261" s="145" t="n"/>
      <c r="AK261" s="145" t="n">
        <v>35946</v>
      </c>
      <c r="AL261" s="145" t="n"/>
      <c r="AM261" s="145" t="n"/>
      <c r="AN261" s="145" t="n"/>
      <c r="AO261" s="145" t="n">
        <v>59391</v>
      </c>
      <c r="AP261" s="145" t="n"/>
      <c r="AQ261" s="145" t="n"/>
      <c r="AR261" s="145" t="n"/>
      <c r="AS261" s="145" t="n">
        <v>49256</v>
      </c>
      <c r="AW261" s="145" t="n"/>
      <c r="AX261" s="145" t="n"/>
      <c r="AY261" s="145" t="n"/>
      <c r="AZ261" s="145" t="n"/>
      <c r="BA261" s="145" t="n"/>
      <c r="BB261" s="145" t="n"/>
      <c r="BC261" s="145" t="n"/>
      <c r="BD261" s="145" t="n"/>
      <c r="BE261" s="145" t="n"/>
      <c r="BF261" s="145" t="n"/>
      <c r="BG261" s="145" t="n"/>
      <c r="BH261" s="145" t="n"/>
      <c r="BJ261" s="145" t="n"/>
      <c r="BN261" s="145" t="n"/>
      <c r="BO261" s="145" t="n"/>
    </row>
    <row r="262">
      <c r="A262" s="40" t="inlineStr">
        <is>
          <t>Total property, plant and equipment</t>
        </is>
      </c>
      <c r="B262" s="133" t="n"/>
      <c r="C262" s="133" t="n"/>
      <c r="D262" s="133" t="n"/>
      <c r="E262" s="133" t="n"/>
      <c r="F262" s="133" t="n"/>
      <c r="G262" s="133" t="n"/>
      <c r="H262" s="133" t="n"/>
      <c r="I262" s="133" t="n"/>
      <c r="J262" s="133" t="n"/>
      <c r="K262" s="133" t="n"/>
      <c r="L262" s="133" t="n"/>
      <c r="M262" s="133" t="n"/>
      <c r="N262" s="133" t="n"/>
      <c r="O262" s="133" t="n"/>
      <c r="P262" s="133" t="n"/>
      <c r="Q262" s="133" t="n">
        <v>214234</v>
      </c>
      <c r="R262" s="133" t="n"/>
      <c r="S262" s="133" t="n"/>
      <c r="T262" s="133" t="n"/>
      <c r="U262" s="133" t="n">
        <v>262276</v>
      </c>
      <c r="V262" s="133" t="n"/>
      <c r="W262" s="133" t="n"/>
      <c r="X262" s="133" t="n"/>
      <c r="Y262" s="133" t="n">
        <v>337250</v>
      </c>
      <c r="Z262" s="133" t="n"/>
      <c r="AA262" s="133" t="n"/>
      <c r="AB262" s="133" t="n"/>
      <c r="AC262" s="133" t="n">
        <v>403728</v>
      </c>
      <c r="AD262" s="133" t="n"/>
      <c r="AE262" s="133" t="n"/>
      <c r="AF262" s="133" t="n"/>
      <c r="AG262" s="133" t="n">
        <v>439053</v>
      </c>
      <c r="AH262" s="133" t="n"/>
      <c r="AI262" s="133" t="n"/>
      <c r="AJ262" s="133" t="n"/>
      <c r="AK262" s="133" t="n">
        <v>475397</v>
      </c>
      <c r="AL262" s="133" t="n"/>
      <c r="AM262" s="133" t="n"/>
      <c r="AN262" s="133" t="n"/>
      <c r="AO262" s="133" t="n">
        <v>606614</v>
      </c>
      <c r="AP262" s="133" t="n"/>
      <c r="AQ262" s="133" t="n"/>
      <c r="AR262" s="133" t="n"/>
      <c r="AS262" s="133" t="n">
        <v>743925</v>
      </c>
      <c r="AW262" s="133" t="n"/>
      <c r="AX262" s="133" t="n"/>
      <c r="AY262" s="133" t="n"/>
      <c r="AZ262" s="133" t="n"/>
      <c r="BA262" s="133" t="n"/>
      <c r="BB262" s="133" t="n"/>
      <c r="BC262" s="133" t="n"/>
      <c r="BD262" s="133" t="n"/>
      <c r="BE262" s="133" t="n"/>
      <c r="BF262" s="133" t="n"/>
      <c r="BG262" s="133" t="n"/>
      <c r="BH262" s="133" t="n"/>
      <c r="BJ262" s="133" t="n"/>
      <c r="BN262" s="133" t="n"/>
      <c r="BO262" s="133" t="n"/>
    </row>
    <row r="263">
      <c r="A263" s="74" t="inlineStr">
        <is>
          <t>Accumulated depreciation</t>
        </is>
      </c>
      <c r="B263" s="133" t="n"/>
      <c r="C263" s="133" t="n"/>
      <c r="D263" s="133" t="n"/>
      <c r="E263" s="133" t="n"/>
      <c r="F263" s="133" t="n"/>
      <c r="G263" s="133" t="n"/>
      <c r="H263" s="133" t="n"/>
      <c r="I263" s="133" t="n"/>
      <c r="J263" s="133" t="n"/>
      <c r="K263" s="133" t="n"/>
      <c r="L263" s="133" t="n"/>
      <c r="M263" s="133" t="n"/>
      <c r="N263" s="145" t="n"/>
      <c r="O263" s="145" t="n"/>
      <c r="P263" s="145" t="n"/>
      <c r="Q263" s="145" t="n">
        <v>-93551</v>
      </c>
      <c r="R263" s="145" t="n"/>
      <c r="S263" s="145" t="n"/>
      <c r="T263" s="145" t="n"/>
      <c r="U263" s="145" t="n">
        <v>-107074</v>
      </c>
      <c r="V263" s="145" t="n"/>
      <c r="W263" s="145" t="n"/>
      <c r="X263" s="145" t="n"/>
      <c r="Y263" s="145" t="n">
        <v>-126687</v>
      </c>
      <c r="Z263" s="145" t="n"/>
      <c r="AA263" s="145" t="n"/>
      <c r="AB263" s="145" t="n"/>
      <c r="AC263" s="145" t="n">
        <v>-151483</v>
      </c>
      <c r="AD263" s="145" t="n"/>
      <c r="AE263" s="145" t="n"/>
      <c r="AF263" s="145" t="n"/>
      <c r="AG263" s="145" t="n">
        <v>-163971</v>
      </c>
      <c r="AH263" s="145" t="n"/>
      <c r="AI263" s="145" t="n"/>
      <c r="AJ263" s="145" t="n"/>
      <c r="AK263" s="145" t="n">
        <v>-186793</v>
      </c>
      <c r="AL263" s="145" t="n"/>
      <c r="AM263" s="145" t="n"/>
      <c r="AN263" s="145" t="n"/>
      <c r="AO263" s="145" t="n">
        <v>-227239</v>
      </c>
      <c r="AP263" s="145" t="n"/>
      <c r="AQ263" s="145" t="n"/>
      <c r="AR263" s="145" t="n"/>
      <c r="AS263" s="145" t="n">
        <v>-283719</v>
      </c>
      <c r="AW263" s="145" t="n"/>
      <c r="AX263" s="145" t="n"/>
      <c r="AY263" s="145" t="n"/>
      <c r="AZ263" s="145" t="n"/>
      <c r="BA263" s="145" t="n"/>
      <c r="BB263" s="145" t="n"/>
      <c r="BC263" s="145" t="n"/>
      <c r="BD263" s="145" t="n"/>
      <c r="BE263" s="145" t="n"/>
      <c r="BF263" s="145" t="n"/>
      <c r="BG263" s="145" t="n"/>
      <c r="BH263" s="145" t="n"/>
      <c r="BJ263" s="145" t="n"/>
      <c r="BN263" s="145" t="n"/>
      <c r="BO263" s="145" t="n"/>
    </row>
    <row r="264">
      <c r="A264" s="40" t="inlineStr">
        <is>
          <t>Total property, plant and equipment — net</t>
        </is>
      </c>
      <c r="B264" s="133" t="n"/>
      <c r="C264" s="133" t="n"/>
      <c r="D264" s="133" t="n"/>
      <c r="E264" s="133" t="n"/>
      <c r="F264" s="133" t="n"/>
      <c r="G264" s="133" t="n"/>
      <c r="H264" s="133" t="n"/>
      <c r="I264" s="133" t="n"/>
      <c r="J264" s="133" t="n"/>
      <c r="K264" s="133" t="n"/>
      <c r="L264" s="133" t="n"/>
      <c r="M264" s="133" t="n"/>
      <c r="N264" s="133" t="n"/>
      <c r="O264" s="133" t="n"/>
      <c r="P264" s="133" t="n"/>
      <c r="Q264" s="133" t="n">
        <v>120683</v>
      </c>
      <c r="R264" s="133" t="n"/>
      <c r="S264" s="133" t="n"/>
      <c r="T264" s="133" t="n"/>
      <c r="U264" s="133" t="n">
        <v>155202</v>
      </c>
      <c r="V264" s="133" t="n"/>
      <c r="W264" s="133" t="n"/>
      <c r="X264" s="133" t="n"/>
      <c r="Y264" s="133" t="n">
        <v>210563</v>
      </c>
      <c r="Z264" s="133" t="n"/>
      <c r="AA264" s="133" t="n"/>
      <c r="AB264" s="133" t="n"/>
      <c r="AC264" s="133" t="n">
        <v>252245</v>
      </c>
      <c r="AD264" s="133" t="n"/>
      <c r="AE264" s="133" t="n"/>
      <c r="AF264" s="133" t="n"/>
      <c r="AG264" s="133" t="n">
        <v>275082</v>
      </c>
      <c r="AH264" s="133" t="n"/>
      <c r="AI264" s="133" t="n"/>
      <c r="AJ264" s="133" t="n"/>
      <c r="AK264" s="133" t="n">
        <v>288604</v>
      </c>
      <c r="AL264" s="133" t="n"/>
      <c r="AM264" s="133" t="n"/>
      <c r="AN264" s="133" t="n"/>
      <c r="AO264" s="133" t="n">
        <v>379375</v>
      </c>
      <c r="AP264" s="133" t="n"/>
      <c r="AQ264" s="133" t="n"/>
      <c r="AR264" s="133" t="n"/>
      <c r="AS264" s="133" t="n">
        <v>460206</v>
      </c>
      <c r="AW264" s="133" t="n">
        <v>543068</v>
      </c>
      <c r="AX264" s="133" t="n"/>
      <c r="AY264" s="133" t="n"/>
      <c r="AZ264" s="133" t="n"/>
      <c r="BA264" s="133" t="n"/>
      <c r="BB264" s="133" t="n"/>
      <c r="BC264" s="133" t="n"/>
      <c r="BD264" s="133" t="n"/>
      <c r="BE264" s="133" t="n"/>
      <c r="BF264" s="133" t="n"/>
      <c r="BG264" s="133" t="n"/>
      <c r="BH264" s="133" t="n"/>
      <c r="BJ264" s="133" t="n"/>
      <c r="BN264" s="133" t="n"/>
      <c r="BO264" s="133" t="n"/>
    </row>
    <row r="265">
      <c r="A265" s="40" t="n"/>
      <c r="B265" s="133" t="n"/>
      <c r="C265" s="133" t="n"/>
      <c r="D265" s="133" t="n"/>
      <c r="E265" s="133" t="n"/>
      <c r="F265" s="133" t="n"/>
      <c r="G265" s="133" t="n"/>
      <c r="H265" s="133" t="n"/>
      <c r="I265" s="133" t="n"/>
      <c r="J265" s="133" t="n"/>
      <c r="K265" s="133" t="n"/>
      <c r="L265" s="133" t="n"/>
      <c r="M265" s="133" t="n"/>
      <c r="N265" s="133" t="n"/>
      <c r="O265" s="133" t="n"/>
      <c r="P265" s="133" t="n"/>
      <c r="Q265" s="133" t="n"/>
      <c r="R265" s="133" t="n"/>
      <c r="S265" s="133" t="n"/>
      <c r="T265" s="133" t="n"/>
      <c r="U265" s="133" t="n"/>
      <c r="V265" s="133" t="n"/>
      <c r="W265" s="133" t="n"/>
      <c r="X265" s="133" t="n"/>
      <c r="Y265" s="133" t="n"/>
      <c r="Z265" s="133" t="n"/>
      <c r="AA265" s="133" t="n"/>
      <c r="AB265" s="133" t="n"/>
      <c r="AC265" s="133" t="n"/>
      <c r="AD265" s="133" t="n"/>
      <c r="AE265" s="133" t="n"/>
      <c r="AF265" s="133" t="n"/>
      <c r="AG265" s="133" t="n"/>
      <c r="AH265" s="133" t="n"/>
      <c r="AI265" s="133" t="n"/>
      <c r="AJ265" s="133" t="n"/>
      <c r="AK265" s="133" t="n"/>
      <c r="AL265" s="133" t="n"/>
      <c r="AM265" s="133" t="n"/>
      <c r="AN265" s="133" t="n"/>
      <c r="AO265" s="133" t="n"/>
      <c r="AP265" s="133" t="n"/>
      <c r="AQ265" s="133" t="n"/>
      <c r="AR265" s="133" t="n"/>
      <c r="AS265" s="133" t="n"/>
      <c r="AW265" s="133" t="n"/>
      <c r="AX265" s="133" t="n"/>
      <c r="AY265" s="133" t="n"/>
      <c r="AZ265" s="133" t="n"/>
      <c r="BA265" s="133" t="n"/>
      <c r="BB265" s="133" t="n"/>
      <c r="BC265" s="133" t="n"/>
      <c r="BD265" s="133" t="n"/>
      <c r="BE265" s="133" t="n"/>
      <c r="BF265" s="133" t="n"/>
      <c r="BG265" s="133" t="n"/>
      <c r="BH265" s="133" t="n"/>
      <c r="BJ265" s="133" t="n"/>
      <c r="BN265" s="133" t="n"/>
      <c r="BO265" s="133" t="n"/>
    </row>
    <row r="266">
      <c r="A266" s="40" t="inlineStr">
        <is>
          <t>Depreciation and amortization (YTD, in '000 USD)</t>
        </is>
      </c>
      <c r="B266" s="133" t="n"/>
      <c r="C266" s="133" t="n"/>
      <c r="D266" s="133" t="n"/>
      <c r="E266" s="133" t="n"/>
      <c r="F266" s="133" t="n"/>
      <c r="G266" s="133" t="n"/>
      <c r="H266" s="133" t="n"/>
      <c r="I266" s="133" t="n"/>
      <c r="J266" s="133" t="n"/>
      <c r="K266" s="133" t="n"/>
      <c r="L266" s="133" t="n"/>
      <c r="M266" s="133" t="n"/>
      <c r="N266" s="133" t="n"/>
      <c r="O266" s="133" t="n"/>
      <c r="P266" s="133" t="n"/>
      <c r="Q266" s="133" t="n"/>
      <c r="R266" s="133" t="n"/>
      <c r="S266" s="133" t="n"/>
      <c r="T266" s="133" t="n"/>
      <c r="U266" s="133" t="n"/>
      <c r="V266" s="133" t="n"/>
      <c r="W266" s="133" t="n"/>
      <c r="X266" s="133" t="n"/>
      <c r="Y266" s="133" t="n"/>
      <c r="Z266" s="133" t="n"/>
      <c r="AA266" s="133" t="n"/>
      <c r="AB266" s="133" t="n"/>
      <c r="AC266" s="133" t="n"/>
      <c r="AD266" s="147" t="n"/>
      <c r="AE266" s="147" t="n"/>
      <c r="AF266" s="147" t="n"/>
      <c r="AG266" s="147" t="n"/>
      <c r="AH266" s="133" t="n"/>
      <c r="AI266" s="133" t="n"/>
      <c r="AJ266" s="133" t="n"/>
      <c r="AK266" s="133" t="n"/>
      <c r="AL266" s="133" t="n"/>
      <c r="AM266" s="133" t="n"/>
      <c r="AN266" s="133" t="n"/>
      <c r="AO266" s="133" t="n"/>
      <c r="AP266" s="133" t="n"/>
      <c r="AQ266" s="133" t="n"/>
      <c r="AR266" s="133" t="n"/>
      <c r="AS266" s="133" t="n"/>
      <c r="AW266" s="133" t="n"/>
      <c r="AX266" s="133" t="n"/>
      <c r="AY266" s="133" t="n"/>
      <c r="AZ266" s="133" t="n"/>
      <c r="BA266" s="133" t="n"/>
      <c r="BB266" s="133" t="n"/>
      <c r="BC266" s="133" t="n"/>
      <c r="BD266" s="133" t="n"/>
      <c r="BE266" s="133" t="n"/>
      <c r="BF266" s="133" t="n"/>
      <c r="BG266" s="133" t="n"/>
      <c r="BH266" s="133" t="n"/>
      <c r="BJ266" s="133" t="n"/>
      <c r="BN266" s="133" t="n"/>
      <c r="BO266" s="133" t="n"/>
    </row>
    <row r="267">
      <c r="A267" s="74" t="inlineStr">
        <is>
          <t>Depreciation</t>
        </is>
      </c>
      <c r="B267" s="133" t="n"/>
      <c r="C267" s="133" t="n"/>
      <c r="D267" s="133" t="n"/>
      <c r="E267" s="133" t="n"/>
      <c r="F267" s="133" t="n"/>
      <c r="G267" s="133" t="n"/>
      <c r="H267" s="133" t="n"/>
      <c r="I267" s="133" t="n"/>
      <c r="J267" s="133" t="n"/>
      <c r="K267" s="133" t="n"/>
      <c r="L267" s="133" t="n"/>
      <c r="M267" s="133" t="n"/>
      <c r="N267" s="133" t="n"/>
      <c r="O267" s="133" t="n"/>
      <c r="P267" s="133" t="n"/>
      <c r="Q267" s="133" t="n">
        <v>16212</v>
      </c>
      <c r="R267" s="133" t="n"/>
      <c r="S267" s="133" t="n"/>
      <c r="T267" s="133" t="n"/>
      <c r="U267" s="133" t="n">
        <v>18796</v>
      </c>
      <c r="V267" s="133" t="n"/>
      <c r="W267" s="133" t="n"/>
      <c r="X267" s="133" t="n"/>
      <c r="Y267" s="133" t="n">
        <v>21108</v>
      </c>
      <c r="Z267" s="133" t="n"/>
      <c r="AA267" s="133" t="n"/>
      <c r="AB267" s="133" t="n"/>
      <c r="AC267" s="133" t="n">
        <v>26489</v>
      </c>
      <c r="AD267" s="133" t="n"/>
      <c r="AE267" s="133" t="n"/>
      <c r="AF267" s="133" t="n"/>
      <c r="AG267" s="133" t="n">
        <v>31334</v>
      </c>
      <c r="AH267" s="133" t="n"/>
      <c r="AI267" s="133" t="n"/>
      <c r="AJ267" s="133" t="n"/>
      <c r="AK267" s="133" t="n">
        <v>37796</v>
      </c>
      <c r="AL267" s="133" t="n"/>
      <c r="AM267" s="133" t="n"/>
      <c r="AN267" s="133" t="n"/>
      <c r="AO267" s="133" t="n">
        <v>44757</v>
      </c>
      <c r="AP267" s="133" t="n"/>
      <c r="AQ267" s="133" t="n"/>
      <c r="AR267" s="133" t="n"/>
      <c r="AS267" s="133" t="n">
        <v>54900</v>
      </c>
      <c r="AW267" s="133" t="n"/>
      <c r="AX267" s="133" t="n"/>
      <c r="AY267" s="133" t="n"/>
      <c r="AZ267" s="133" t="n"/>
      <c r="BA267" s="133" t="n"/>
      <c r="BB267" s="133" t="n"/>
      <c r="BC267" s="133" t="n"/>
      <c r="BD267" s="133" t="n"/>
      <c r="BE267" s="133" t="n"/>
      <c r="BF267" s="133" t="n"/>
      <c r="BG267" s="133" t="n"/>
      <c r="BH267" s="133" t="n"/>
      <c r="BJ267" s="133" t="n"/>
      <c r="BN267" s="133" t="n"/>
      <c r="BO267" s="133" t="n"/>
    </row>
    <row r="268">
      <c r="A268" s="74" t="inlineStr">
        <is>
          <t>Amortization</t>
        </is>
      </c>
      <c r="B268" s="133" t="n"/>
      <c r="C268" s="133" t="n"/>
      <c r="D268" s="133" t="n"/>
      <c r="E268" s="133" t="n"/>
      <c r="F268" s="133" t="n"/>
      <c r="G268" s="133" t="n"/>
      <c r="H268" s="133" t="n"/>
      <c r="I268" s="133" t="n"/>
      <c r="J268" s="133" t="n"/>
      <c r="K268" s="133" t="n"/>
      <c r="L268" s="133" t="n"/>
      <c r="M268" s="133" t="n"/>
      <c r="N268" s="133" t="n"/>
      <c r="O268" s="133" t="n"/>
      <c r="P268" s="133" t="n"/>
      <c r="Q268" s="133" t="n">
        <v>3694</v>
      </c>
      <c r="R268" s="133" t="n"/>
      <c r="S268" s="133" t="n"/>
      <c r="T268" s="133" t="n"/>
      <c r="U268" s="133" t="n">
        <v>2920</v>
      </c>
      <c r="V268" s="133" t="n"/>
      <c r="W268" s="133" t="n"/>
      <c r="X268" s="133" t="n"/>
      <c r="Y268" s="133" t="n">
        <v>2797</v>
      </c>
      <c r="Z268" s="133" t="n"/>
      <c r="AA268" s="133" t="n"/>
      <c r="AB268" s="133" t="n"/>
      <c r="AC268" s="133" t="n">
        <v>2725</v>
      </c>
      <c r="AD268" s="133" t="n"/>
      <c r="AE268" s="133" t="n"/>
      <c r="AF268" s="133" t="n"/>
      <c r="AG268" s="133" t="n">
        <v>2210</v>
      </c>
      <c r="AH268" s="133" t="n"/>
      <c r="AI268" s="133" t="n"/>
      <c r="AJ268" s="133" t="n"/>
      <c r="AK268" s="133" t="n">
        <v>2274</v>
      </c>
      <c r="AL268" s="133" t="n"/>
      <c r="AM268" s="133" t="n"/>
      <c r="AN268" s="133" t="n"/>
      <c r="AO268" s="133" t="n">
        <v>3759</v>
      </c>
      <c r="AP268" s="133" t="n"/>
      <c r="AQ268" s="133" t="n"/>
      <c r="AR268" s="133" t="n"/>
      <c r="AS268" s="133" t="n">
        <v>5899</v>
      </c>
      <c r="AW268" s="133" t="n"/>
      <c r="AX268" s="133" t="n"/>
      <c r="AY268" s="133" t="n"/>
      <c r="AZ268" s="133" t="n"/>
      <c r="BA268" s="133" t="n"/>
      <c r="BB268" s="133" t="n"/>
      <c r="BC268" s="133" t="n"/>
      <c r="BD268" s="133" t="n"/>
      <c r="BE268" s="133" t="n"/>
      <c r="BF268" s="133" t="n"/>
      <c r="BG268" s="133" t="n"/>
      <c r="BH268" s="133" t="n"/>
      <c r="BJ268" s="133" t="n"/>
      <c r="BN268" s="133" t="n"/>
      <c r="BO268" s="133" t="n"/>
    </row>
    <row r="269">
      <c r="A269" s="74" t="inlineStr">
        <is>
          <t>Others</t>
        </is>
      </c>
      <c r="B269" s="133" t="n"/>
      <c r="C269" s="133" t="n"/>
      <c r="D269" s="133" t="n"/>
      <c r="E269" s="133" t="n"/>
      <c r="F269" s="133" t="n"/>
      <c r="G269" s="133" t="n"/>
      <c r="H269" s="133" t="n"/>
      <c r="I269" s="133" t="n"/>
      <c r="J269" s="133" t="n"/>
      <c r="K269" s="133" t="n"/>
      <c r="L269" s="133" t="n"/>
      <c r="M269" s="133" t="n"/>
      <c r="N269" s="147" t="n"/>
      <c r="O269" s="147" t="n"/>
      <c r="P269" s="147" t="n"/>
      <c r="Q269" s="147">
        <f>Q270-SUM(Q267:Q268)</f>
        <v/>
      </c>
      <c r="R269" s="147" t="n"/>
      <c r="S269" s="147" t="n"/>
      <c r="T269" s="147" t="n"/>
      <c r="U269" s="147">
        <f>U270-SUM(U267:U268)</f>
        <v/>
      </c>
      <c r="V269" s="147" t="n"/>
      <c r="W269" s="147" t="n"/>
      <c r="X269" s="147" t="n"/>
      <c r="Y269" s="147">
        <f>Y270-SUM(Y267:Y268)</f>
        <v/>
      </c>
      <c r="Z269" s="147" t="n"/>
      <c r="AA269" s="147" t="n"/>
      <c r="AB269" s="147" t="n"/>
      <c r="AC269" s="147">
        <f>AC270-SUM(AC267:AC268)</f>
        <v/>
      </c>
      <c r="AD269" s="147" t="n"/>
      <c r="AE269" s="147" t="n"/>
      <c r="AF269" s="147" t="n"/>
      <c r="AG269" s="147">
        <f>AG270-SUM(AG267:AG268)</f>
        <v/>
      </c>
      <c r="AH269" s="147" t="n"/>
      <c r="AI269" s="147" t="n"/>
      <c r="AJ269" s="147" t="n"/>
      <c r="AK269" s="147">
        <f>AK270-SUM(AK267:AK268)</f>
        <v/>
      </c>
      <c r="AL269" s="147" t="n"/>
      <c r="AM269" s="147" t="n"/>
      <c r="AN269" s="147" t="n"/>
      <c r="AO269" s="147">
        <f>AO270-SUM(AO267:AO268)</f>
        <v/>
      </c>
      <c r="AP269" s="147" t="n"/>
      <c r="AQ269" s="147" t="n"/>
      <c r="AR269" s="147" t="n"/>
      <c r="AS269" s="147">
        <f>AS270-SUM(AS267:AS268)</f>
        <v/>
      </c>
      <c r="AW269" s="147" t="n"/>
      <c r="AX269" s="147" t="n"/>
      <c r="AY269" s="147" t="n"/>
      <c r="AZ269" s="147" t="n"/>
      <c r="BA269" s="147" t="n"/>
      <c r="BB269" s="147" t="n"/>
      <c r="BC269" s="147" t="n"/>
      <c r="BD269" s="147" t="n"/>
      <c r="BE269" s="147" t="n"/>
      <c r="BF269" s="147" t="n"/>
      <c r="BG269" s="147" t="n"/>
      <c r="BH269" s="147" t="n"/>
      <c r="BJ269" s="147" t="n"/>
      <c r="BN269" s="147" t="n"/>
      <c r="BO269" s="147" t="n"/>
    </row>
    <row r="270">
      <c r="A270" s="40" t="inlineStr">
        <is>
          <t>Total</t>
        </is>
      </c>
      <c r="B270" s="133" t="n"/>
      <c r="C270" s="133" t="n"/>
      <c r="D270" s="133" t="n"/>
      <c r="E270" s="133" t="n"/>
      <c r="F270" s="133" t="n"/>
      <c r="G270" s="133" t="n"/>
      <c r="H270" s="133" t="n"/>
      <c r="I270" s="133" t="n"/>
      <c r="J270" s="133" t="n"/>
      <c r="K270" s="133" t="n"/>
      <c r="L270" s="133" t="n"/>
      <c r="M270" s="133" t="n"/>
      <c r="N270" s="671" t="n"/>
      <c r="O270" s="671" t="n"/>
      <c r="P270" s="671" t="n"/>
      <c r="Q270" s="671">
        <f>Q173</f>
        <v/>
      </c>
      <c r="R270" s="671" t="n"/>
      <c r="S270" s="671" t="n"/>
      <c r="T270" s="671" t="n"/>
      <c r="U270" s="671">
        <f>U173</f>
        <v/>
      </c>
      <c r="V270" s="671" t="n"/>
      <c r="W270" s="671" t="n"/>
      <c r="X270" s="671" t="n"/>
      <c r="Y270" s="671">
        <f>Y173</f>
        <v/>
      </c>
      <c r="Z270" s="671" t="n"/>
      <c r="AA270" s="671" t="n"/>
      <c r="AB270" s="671" t="n"/>
      <c r="AC270" s="671">
        <f>AC173</f>
        <v/>
      </c>
      <c r="AD270" s="671" t="n"/>
      <c r="AE270" s="671" t="n"/>
      <c r="AF270" s="671" t="n"/>
      <c r="AG270" s="671">
        <f>AG173</f>
        <v/>
      </c>
      <c r="AH270" s="671" t="n"/>
      <c r="AI270" s="671" t="n"/>
      <c r="AJ270" s="671" t="n"/>
      <c r="AK270" s="671">
        <f>AK173</f>
        <v/>
      </c>
      <c r="AL270" s="671" t="n"/>
      <c r="AM270" s="671" t="n"/>
      <c r="AN270" s="671" t="n"/>
      <c r="AO270" s="671">
        <f>AO173</f>
        <v/>
      </c>
      <c r="AP270" s="671" t="n"/>
      <c r="AQ270" s="671" t="n"/>
      <c r="AR270" s="671" t="n"/>
      <c r="AS270" s="671">
        <f>AS173</f>
        <v/>
      </c>
      <c r="AW270" s="671" t="n"/>
      <c r="AX270" s="671" t="n"/>
      <c r="AY270" s="671" t="n"/>
      <c r="AZ270" s="671" t="n"/>
      <c r="BA270" s="671" t="n"/>
      <c r="BB270" s="671" t="n"/>
      <c r="BC270" s="671" t="n"/>
      <c r="BD270" s="671" t="n"/>
      <c r="BE270" s="671" t="n"/>
      <c r="BF270" s="671" t="n"/>
      <c r="BG270" s="671" t="n"/>
      <c r="BH270" s="671" t="n"/>
      <c r="BJ270" s="671" t="n"/>
      <c r="BN270" s="671" t="n"/>
      <c r="BO270" s="671" t="n"/>
    </row>
    <row r="271">
      <c r="A271" s="40" t="n"/>
      <c r="B271" s="133" t="n"/>
      <c r="C271" s="133" t="n"/>
      <c r="D271" s="133" t="n"/>
      <c r="E271" s="133" t="n"/>
      <c r="F271" s="133" t="n"/>
      <c r="G271" s="133" t="n"/>
      <c r="H271" s="133" t="n"/>
      <c r="I271" s="133" t="n"/>
      <c r="J271" s="133" t="n"/>
      <c r="K271" s="133" t="n"/>
      <c r="L271" s="133" t="n"/>
      <c r="M271" s="133" t="n"/>
      <c r="N271" s="671" t="n"/>
      <c r="O271" s="671" t="n"/>
      <c r="P271" s="671" t="n"/>
      <c r="Q271" s="671" t="n"/>
      <c r="R271" s="671" t="n"/>
      <c r="S271" s="671" t="n"/>
      <c r="T271" s="671" t="n"/>
      <c r="U271" s="671" t="n"/>
      <c r="V271" s="671" t="n"/>
      <c r="W271" s="671" t="n"/>
      <c r="X271" s="671" t="n"/>
      <c r="Y271" s="671" t="n"/>
      <c r="Z271" s="671" t="n"/>
      <c r="AA271" s="671" t="n"/>
      <c r="AB271" s="671" t="n"/>
      <c r="AC271" s="671" t="n"/>
      <c r="AD271" s="671" t="n"/>
      <c r="AE271" s="671" t="n"/>
      <c r="AF271" s="671" t="n"/>
      <c r="AG271" s="671" t="n"/>
      <c r="AH271" s="671" t="n"/>
      <c r="AI271" s="671" t="n"/>
      <c r="AJ271" s="671" t="n"/>
      <c r="AK271" s="671" t="n"/>
      <c r="AL271" s="671" t="n"/>
      <c r="AM271" s="671" t="n"/>
      <c r="AN271" s="671" t="n"/>
      <c r="AO271" s="671" t="n"/>
      <c r="AP271" s="671" t="n"/>
      <c r="AQ271" s="671" t="n"/>
      <c r="AR271" s="671" t="n"/>
      <c r="AS271" s="671" t="n"/>
      <c r="AW271" s="671" t="n"/>
      <c r="AX271" s="671" t="n"/>
      <c r="AY271" s="671" t="n"/>
      <c r="AZ271" s="671" t="n"/>
      <c r="BA271" s="671" t="n"/>
      <c r="BB271" s="671" t="n"/>
      <c r="BC271" s="671" t="n"/>
      <c r="BD271" s="671" t="n"/>
      <c r="BE271" s="671" t="n"/>
      <c r="BF271" s="671" t="n"/>
      <c r="BG271" s="671" t="n"/>
      <c r="BH271" s="671" t="n"/>
      <c r="BJ271" s="671" t="n"/>
      <c r="BN271" s="671" t="n"/>
      <c r="BO271" s="671" t="n"/>
    </row>
    <row r="272">
      <c r="A272" s="40" t="inlineStr">
        <is>
          <t>Inventories (in '000 USD)</t>
        </is>
      </c>
      <c r="B272" s="133" t="n"/>
      <c r="C272" s="133" t="n"/>
      <c r="D272" s="133" t="n"/>
      <c r="E272" s="133" t="n"/>
      <c r="F272" s="133" t="n"/>
      <c r="G272" s="133" t="n"/>
      <c r="H272" s="133" t="n"/>
      <c r="I272" s="133" t="n"/>
      <c r="J272" s="133" t="n"/>
      <c r="K272" s="133" t="n"/>
      <c r="L272" s="133" t="n"/>
      <c r="M272" s="133" t="n"/>
      <c r="N272" s="671" t="n"/>
      <c r="O272" s="671" t="n"/>
      <c r="P272" s="671" t="n"/>
      <c r="Q272" s="671" t="n"/>
      <c r="R272" s="671" t="n"/>
      <c r="S272" s="671" t="n"/>
      <c r="T272" s="671" t="n"/>
      <c r="U272" s="671" t="n"/>
      <c r="V272" s="671" t="n"/>
      <c r="W272" s="671" t="n"/>
      <c r="X272" s="671" t="n"/>
      <c r="Y272" s="671" t="n"/>
      <c r="Z272" s="671" t="n"/>
      <c r="AA272" s="671" t="n"/>
      <c r="AB272" s="671" t="n"/>
      <c r="AC272" s="671" t="n"/>
      <c r="AD272" s="671" t="n"/>
      <c r="AE272" s="671" t="n"/>
      <c r="AF272" s="671" t="n"/>
      <c r="AG272" s="671" t="n"/>
      <c r="AH272" s="671" t="n"/>
      <c r="AI272" s="671" t="n"/>
      <c r="AJ272" s="671" t="n"/>
      <c r="AK272" s="671" t="n"/>
      <c r="AL272" s="671" t="n"/>
      <c r="AM272" s="671" t="n"/>
      <c r="AN272" s="671" t="n"/>
      <c r="AO272" s="671" t="n"/>
      <c r="AP272" s="671" t="n"/>
      <c r="AQ272" s="671" t="n"/>
      <c r="AR272" s="671" t="n"/>
      <c r="AS272" s="671" t="n"/>
      <c r="AW272" s="671" t="n"/>
      <c r="AX272" s="671" t="n"/>
      <c r="AY272" s="671" t="n"/>
      <c r="AZ272" s="671" t="n"/>
      <c r="BA272" s="671" t="n"/>
      <c r="BB272" s="671" t="n"/>
      <c r="BC272" s="671" t="n"/>
      <c r="BD272" s="671" t="n"/>
      <c r="BE272" s="671" t="n"/>
      <c r="BF272" s="671" t="n"/>
      <c r="BG272" s="671" t="n"/>
      <c r="BH272" s="671" t="n"/>
      <c r="BJ272" s="671" t="n"/>
      <c r="BN272" s="671" t="n"/>
      <c r="BO272" s="671" t="n"/>
    </row>
    <row r="273">
      <c r="A273" s="74" t="inlineStr">
        <is>
          <t>Components and raw materials</t>
        </is>
      </c>
      <c r="B273" s="133" t="n"/>
      <c r="C273" s="133" t="n"/>
      <c r="D273" s="133" t="n"/>
      <c r="E273" s="133" t="n"/>
      <c r="F273" s="133" t="n"/>
      <c r="G273" s="133" t="n"/>
      <c r="H273" s="133" t="n"/>
      <c r="I273" s="133" t="n"/>
      <c r="J273" s="133" t="n"/>
      <c r="K273" s="133" t="n"/>
      <c r="L273" s="133" t="n"/>
      <c r="M273" s="133" t="n"/>
      <c r="N273" s="145" t="n">
        <v>17092</v>
      </c>
      <c r="O273" s="145" t="n">
        <v>17605</v>
      </c>
      <c r="P273" s="145" t="n">
        <v>22261</v>
      </c>
      <c r="Q273" s="145" t="n">
        <v>25126</v>
      </c>
      <c r="R273" s="145" t="n">
        <v>29772</v>
      </c>
      <c r="S273" s="145" t="n">
        <v>38963</v>
      </c>
      <c r="T273" s="145" t="n">
        <v>42428</v>
      </c>
      <c r="U273" s="145" t="n">
        <v>41107</v>
      </c>
      <c r="V273" s="145" t="n">
        <v>42380</v>
      </c>
      <c r="W273" s="145" t="n">
        <v>44053</v>
      </c>
      <c r="X273" s="145" t="n">
        <v>48744</v>
      </c>
      <c r="Y273" s="145" t="n">
        <v>53436</v>
      </c>
      <c r="Z273" s="145" t="n">
        <v>53603</v>
      </c>
      <c r="AA273" s="145" t="n">
        <v>58578</v>
      </c>
      <c r="AB273" s="145" t="n">
        <v>56738</v>
      </c>
      <c r="AC273" s="145" t="n">
        <v>54539</v>
      </c>
      <c r="AD273" s="145" t="n">
        <v>48513</v>
      </c>
      <c r="AE273" s="145" t="n">
        <v>54376</v>
      </c>
      <c r="AF273" s="145" t="n">
        <v>58172</v>
      </c>
      <c r="AG273" s="145" t="n">
        <v>54925</v>
      </c>
      <c r="AH273" s="145" t="n">
        <v>54004</v>
      </c>
      <c r="AI273" s="145" t="n">
        <v>66618</v>
      </c>
      <c r="AJ273" s="145" t="n">
        <v>71297</v>
      </c>
      <c r="AK273" s="145" t="n">
        <v>70394</v>
      </c>
      <c r="AL273" s="145" t="n">
        <v>81922</v>
      </c>
      <c r="AM273" s="145" t="n">
        <v>89686</v>
      </c>
      <c r="AN273" s="145" t="n">
        <v>99251</v>
      </c>
      <c r="AO273" s="145" t="n">
        <v>93284</v>
      </c>
      <c r="AP273" s="145" t="n">
        <v>106829</v>
      </c>
      <c r="AQ273" s="145" t="n">
        <v>116399</v>
      </c>
      <c r="AR273" s="145" t="n">
        <v>131920</v>
      </c>
      <c r="AS273" s="145" t="n">
        <v>145261</v>
      </c>
      <c r="AT273" s="660" t="n"/>
      <c r="AU273" s="660" t="n"/>
      <c r="AV273" s="660" t="n"/>
      <c r="AW273" s="145" t="n"/>
      <c r="AX273" s="145" t="n"/>
      <c r="AY273" s="145" t="n"/>
      <c r="AZ273" s="145" t="n"/>
      <c r="BA273" s="145" t="n"/>
      <c r="BB273" s="145" t="n"/>
      <c r="BC273" s="145" t="n"/>
      <c r="BD273" s="145" t="n"/>
      <c r="BE273" s="145" t="n"/>
      <c r="BF273" s="145" t="n"/>
      <c r="BG273" s="145" t="n"/>
      <c r="BH273" s="145" t="n"/>
      <c r="BJ273" s="145" t="n"/>
      <c r="BN273" s="145" t="n"/>
      <c r="BO273" s="145" t="n"/>
    </row>
    <row r="274">
      <c r="A274" s="74" t="inlineStr">
        <is>
          <t>Work-in-process</t>
        </is>
      </c>
      <c r="B274" s="133" t="n"/>
      <c r="C274" s="133" t="n"/>
      <c r="D274" s="133" t="n"/>
      <c r="E274" s="133" t="n"/>
      <c r="F274" s="133" t="n"/>
      <c r="G274" s="133" t="n"/>
      <c r="H274" s="133" t="n"/>
      <c r="I274" s="133" t="n"/>
      <c r="J274" s="133" t="n"/>
      <c r="K274" s="133" t="n"/>
      <c r="L274" s="133" t="n"/>
      <c r="M274" s="133" t="n"/>
      <c r="N274" s="145" t="n">
        <v>22089</v>
      </c>
      <c r="O274" s="145" t="n">
        <v>21240</v>
      </c>
      <c r="P274" s="145" t="n">
        <v>23008</v>
      </c>
      <c r="Q274" s="145" t="n">
        <v>24392</v>
      </c>
      <c r="R274" s="145" t="n">
        <v>30666</v>
      </c>
      <c r="S274" s="145" t="n">
        <v>36929</v>
      </c>
      <c r="T274" s="145" t="n">
        <v>39300</v>
      </c>
      <c r="U274" s="145" t="n">
        <v>40380</v>
      </c>
      <c r="V274" s="145" t="n">
        <v>45614</v>
      </c>
      <c r="W274" s="145" t="n">
        <v>40586</v>
      </c>
      <c r="X274" s="145" t="n">
        <v>43002</v>
      </c>
      <c r="Y274" s="145" t="n">
        <v>46240</v>
      </c>
      <c r="Z274" s="145" t="n">
        <v>50394</v>
      </c>
      <c r="AA274" s="145" t="n">
        <v>50412</v>
      </c>
      <c r="AB274" s="145" t="n">
        <v>60391</v>
      </c>
      <c r="AC274" s="145" t="n">
        <v>64927</v>
      </c>
      <c r="AD274" s="145" t="n">
        <v>64385</v>
      </c>
      <c r="AE274" s="145" t="n">
        <v>67886</v>
      </c>
      <c r="AF274" s="145" t="n">
        <v>63823</v>
      </c>
      <c r="AG274" s="145" t="n">
        <v>58603</v>
      </c>
      <c r="AH274" s="145" t="n">
        <v>52016</v>
      </c>
      <c r="AI274" s="145" t="n">
        <v>46387</v>
      </c>
      <c r="AJ274" s="145" t="n">
        <v>35272</v>
      </c>
      <c r="AK274" s="145" t="n">
        <v>43259</v>
      </c>
      <c r="AL274" s="145" t="n">
        <v>39648</v>
      </c>
      <c r="AM274" s="145" t="n">
        <v>35353</v>
      </c>
      <c r="AN274" s="145" t="n">
        <v>29316</v>
      </c>
      <c r="AO274" s="145" t="n">
        <v>44723</v>
      </c>
      <c r="AP274" s="145" t="n">
        <v>24666</v>
      </c>
      <c r="AQ274" s="145" t="n">
        <v>26755</v>
      </c>
      <c r="AR274" s="145" t="n">
        <v>35097</v>
      </c>
      <c r="AS274" s="145" t="n">
        <v>43646</v>
      </c>
      <c r="AT274" s="660" t="n"/>
      <c r="AU274" s="660" t="n"/>
      <c r="AV274" s="660" t="n"/>
      <c r="AW274" s="145" t="n"/>
      <c r="AX274" s="145" t="n"/>
      <c r="AY274" s="145" t="n"/>
      <c r="AZ274" s="145" t="n"/>
      <c r="BA274" s="145" t="n"/>
      <c r="BB274" s="145" t="n"/>
      <c r="BC274" s="145" t="n"/>
      <c r="BD274" s="145" t="n"/>
      <c r="BE274" s="145" t="n"/>
      <c r="BF274" s="145" t="n"/>
      <c r="BG274" s="145" t="n"/>
      <c r="BH274" s="145" t="n"/>
      <c r="BJ274" s="145" t="n"/>
      <c r="BN274" s="145" t="n"/>
      <c r="BO274" s="145" t="n"/>
    </row>
    <row r="275">
      <c r="A275" s="74" t="inlineStr">
        <is>
          <t>Finished goods</t>
        </is>
      </c>
      <c r="B275" s="133" t="n"/>
      <c r="C275" s="133" t="n"/>
      <c r="D275" s="133" t="n"/>
      <c r="E275" s="133" t="n"/>
      <c r="F275" s="133" t="n"/>
      <c r="G275" s="133" t="n"/>
      <c r="H275" s="133" t="n"/>
      <c r="I275" s="133" t="n"/>
      <c r="J275" s="133" t="n"/>
      <c r="K275" s="133" t="n"/>
      <c r="L275" s="133" t="n"/>
      <c r="M275" s="133" t="n"/>
      <c r="N275" s="145" t="n">
        <v>12954</v>
      </c>
      <c r="O275" s="145" t="n">
        <v>15184</v>
      </c>
      <c r="P275" s="145" t="n">
        <v>19629</v>
      </c>
      <c r="Q275" s="145" t="n">
        <v>22952</v>
      </c>
      <c r="R275" s="145" t="n">
        <v>28260</v>
      </c>
      <c r="S275" s="145" t="n">
        <v>33381</v>
      </c>
      <c r="T275" s="145" t="n">
        <v>35548</v>
      </c>
      <c r="U275" s="145" t="n">
        <v>35491</v>
      </c>
      <c r="V275" s="145" t="n">
        <v>35436</v>
      </c>
      <c r="W275" s="145" t="n">
        <v>37340</v>
      </c>
      <c r="X275" s="145" t="n">
        <v>43375</v>
      </c>
      <c r="Y275" s="145" t="n">
        <v>39942</v>
      </c>
      <c r="Z275" s="145" t="n">
        <v>38099</v>
      </c>
      <c r="AA275" s="145" t="n">
        <v>45103</v>
      </c>
      <c r="AB275" s="145" t="n">
        <v>54139</v>
      </c>
      <c r="AC275" s="145" t="n">
        <v>53234</v>
      </c>
      <c r="AD275" s="145" t="n">
        <v>57658</v>
      </c>
      <c r="AE275" s="145" t="n">
        <v>56663</v>
      </c>
      <c r="AF275" s="145" t="n">
        <v>57481</v>
      </c>
      <c r="AG275" s="145" t="n">
        <v>57481</v>
      </c>
      <c r="AH275" s="145" t="n">
        <v>68120</v>
      </c>
      <c r="AI275" s="145" t="n">
        <v>77843</v>
      </c>
      <c r="AJ275" s="145" t="n">
        <v>91066</v>
      </c>
      <c r="AK275" s="145" t="n">
        <v>90085</v>
      </c>
      <c r="AL275" s="145" t="n">
        <v>105337</v>
      </c>
      <c r="AM275" s="145" t="n">
        <v>116243</v>
      </c>
      <c r="AN275" s="145" t="n">
        <v>113803</v>
      </c>
      <c r="AO275" s="145" t="n">
        <v>101003</v>
      </c>
      <c r="AP275" s="145" t="n">
        <v>130398</v>
      </c>
      <c r="AQ275" s="145" t="n">
        <v>117507</v>
      </c>
      <c r="AR275" s="145" t="n">
        <v>115478</v>
      </c>
      <c r="AS275" s="145" t="n">
        <v>118805</v>
      </c>
      <c r="AT275" s="660" t="n"/>
      <c r="AU275" s="660" t="n"/>
      <c r="AV275" s="660" t="n"/>
      <c r="AW275" s="145" t="n"/>
      <c r="AX275" s="145" t="n"/>
      <c r="AY275" s="145" t="n"/>
      <c r="AZ275" s="145" t="n"/>
      <c r="BA275" s="145" t="n"/>
      <c r="BB275" s="145" t="n"/>
      <c r="BC275" s="145" t="n"/>
      <c r="BD275" s="145" t="n"/>
      <c r="BE275" s="145" t="n"/>
      <c r="BF275" s="145" t="n"/>
      <c r="BG275" s="145" t="n"/>
      <c r="BH275" s="145" t="n"/>
      <c r="BJ275" s="145" t="n"/>
      <c r="BN275" s="145" t="n"/>
      <c r="BO275" s="145" t="n"/>
    </row>
    <row r="276">
      <c r="A276" s="40" t="inlineStr">
        <is>
          <t>Total</t>
        </is>
      </c>
      <c r="B276" s="145" t="n"/>
      <c r="C276" s="145" t="n"/>
      <c r="D276" s="145" t="n"/>
      <c r="E276" s="145" t="n"/>
      <c r="F276" s="145" t="n"/>
      <c r="G276" s="145" t="n"/>
      <c r="H276" s="145" t="n"/>
      <c r="I276" s="145" t="n"/>
      <c r="J276" s="145" t="n"/>
      <c r="K276" s="145" t="n"/>
      <c r="L276" s="145" t="n"/>
      <c r="M276" s="145" t="n"/>
      <c r="N276" s="133" t="n">
        <v>52135</v>
      </c>
      <c r="O276" s="133" t="n">
        <v>54029</v>
      </c>
      <c r="P276" s="133" t="n">
        <v>64898</v>
      </c>
      <c r="Q276" s="133" t="n">
        <v>72470</v>
      </c>
      <c r="R276" s="133" t="n">
        <v>88698</v>
      </c>
      <c r="S276" s="133" t="n">
        <v>109273</v>
      </c>
      <c r="T276" s="133" t="n">
        <v>117276</v>
      </c>
      <c r="U276" s="133" t="n">
        <v>116978</v>
      </c>
      <c r="V276" s="133" t="n">
        <v>123430</v>
      </c>
      <c r="W276" s="133" t="n">
        <v>121979</v>
      </c>
      <c r="X276" s="133" t="n">
        <v>135121</v>
      </c>
      <c r="Y276" s="133" t="n">
        <v>139618</v>
      </c>
      <c r="Z276" s="133" t="n">
        <v>142096</v>
      </c>
      <c r="AA276" s="133" t="n">
        <v>154093</v>
      </c>
      <c r="AB276" s="133" t="n">
        <v>171268</v>
      </c>
      <c r="AC276" s="133" t="n">
        <v>172700</v>
      </c>
      <c r="AD276" s="133" t="n">
        <v>170556</v>
      </c>
      <c r="AE276" s="133" t="n">
        <v>178925</v>
      </c>
      <c r="AF276" s="133" t="n">
        <v>179476</v>
      </c>
      <c r="AG276" s="133" t="n">
        <v>171009</v>
      </c>
      <c r="AH276" s="133" t="n">
        <v>174140</v>
      </c>
      <c r="AI276" s="133" t="n">
        <v>190848</v>
      </c>
      <c r="AJ276" s="133" t="n">
        <v>197635</v>
      </c>
      <c r="AK276" s="133" t="n">
        <v>203738</v>
      </c>
      <c r="AL276" s="133" t="n">
        <v>226907</v>
      </c>
      <c r="AM276" s="133" t="n">
        <v>241282</v>
      </c>
      <c r="AN276" s="133" t="n">
        <v>242370</v>
      </c>
      <c r="AO276" s="133" t="n">
        <v>239010</v>
      </c>
      <c r="AP276" s="133" t="n">
        <v>261893</v>
      </c>
      <c r="AQ276" s="133" t="n">
        <v>260661</v>
      </c>
      <c r="AR276" s="133" t="n">
        <v>282495</v>
      </c>
      <c r="AS276" s="133" t="n">
        <v>307712</v>
      </c>
      <c r="AT276" s="660" t="n"/>
      <c r="AU276" s="660" t="n"/>
      <c r="AV276" s="660" t="n"/>
      <c r="AW276" s="133" t="n"/>
      <c r="AX276" s="133" t="n"/>
      <c r="AY276" s="133" t="n"/>
      <c r="AZ276" s="133" t="n"/>
      <c r="BA276" s="133" t="n"/>
      <c r="BB276" s="133" t="n"/>
      <c r="BC276" s="133" t="n"/>
      <c r="BD276" s="133" t="n"/>
      <c r="BE276" s="133" t="n"/>
      <c r="BF276" s="133" t="n"/>
      <c r="BG276" s="133" t="n"/>
      <c r="BH276" s="133" t="n"/>
      <c r="BJ276" s="133" t="n"/>
      <c r="BN276" s="133" t="n"/>
      <c r="BO276" s="133" t="n"/>
    </row>
    <row r="277">
      <c r="A277" s="105" t="n"/>
      <c r="B277" s="145" t="n"/>
      <c r="C277" s="145" t="n"/>
      <c r="D277" s="145" t="n"/>
      <c r="E277" s="145" t="n"/>
      <c r="F277" s="145" t="n"/>
      <c r="G277" s="145" t="n"/>
      <c r="H277" s="145" t="n"/>
      <c r="I277" s="145" t="n"/>
      <c r="J277" s="145" t="n"/>
      <c r="K277" s="145" t="n"/>
      <c r="L277" s="145" t="n"/>
      <c r="M277" s="145" t="n"/>
      <c r="N277" s="145" t="n"/>
      <c r="O277" s="145" t="n"/>
      <c r="P277" s="145" t="n"/>
      <c r="Q277" s="145" t="n"/>
      <c r="R277" s="145" t="n"/>
      <c r="S277" s="145" t="n"/>
      <c r="T277" s="145" t="n"/>
      <c r="U277" s="145" t="n"/>
      <c r="V277" s="145" t="n"/>
      <c r="W277" s="145" t="n"/>
      <c r="X277" s="145" t="n"/>
      <c r="Y277" s="145" t="n"/>
      <c r="Z277" s="145" t="n"/>
      <c r="AA277" s="145" t="n"/>
      <c r="AB277" s="145" t="n"/>
      <c r="AC277" s="145" t="n"/>
      <c r="AD277" s="145" t="n"/>
      <c r="AE277" s="145" t="n"/>
      <c r="AF277" s="145" t="n"/>
      <c r="AG277" s="145" t="n"/>
      <c r="AH277" s="145" t="n"/>
      <c r="AI277" s="145" t="n"/>
      <c r="AJ277" s="145" t="n"/>
      <c r="AK277" s="145" t="n"/>
      <c r="AL277" s="145" t="n"/>
      <c r="AM277" s="145" t="n"/>
      <c r="AN277" s="145" t="n"/>
      <c r="AO277" s="145" t="n"/>
      <c r="AP277" s="145" t="n"/>
      <c r="AQ277" s="145" t="n"/>
      <c r="AR277" s="145" t="n"/>
      <c r="AS277" s="145" t="n"/>
      <c r="AW277" s="145" t="n"/>
      <c r="AX277" s="145" t="n"/>
      <c r="AY277" s="145" t="n"/>
      <c r="AZ277" s="145" t="n"/>
      <c r="BA277" s="145" t="n"/>
      <c r="BB277" s="145" t="n"/>
      <c r="BC277" s="145" t="n"/>
      <c r="BD277" s="145" t="n"/>
      <c r="BE277" s="145" t="n"/>
      <c r="BF277" s="145" t="n"/>
      <c r="BG277" s="145" t="n"/>
      <c r="BH277" s="145" t="n"/>
      <c r="BJ277" s="145" t="n"/>
      <c r="BN277" s="145" t="n"/>
      <c r="BO277" s="145" t="n"/>
    </row>
    <row r="278">
      <c r="A278" s="455" t="inlineStr">
        <is>
          <t>Check</t>
        </is>
      </c>
      <c r="B278" s="145" t="n"/>
      <c r="C278" s="145" t="n"/>
      <c r="D278" s="145" t="n"/>
      <c r="E278" s="145" t="n"/>
      <c r="F278" s="145" t="n"/>
      <c r="G278" s="145" t="n"/>
      <c r="H278" s="145" t="n"/>
      <c r="I278" s="145" t="n"/>
      <c r="J278" s="145" t="n"/>
      <c r="K278" s="145" t="n"/>
      <c r="L278" s="145" t="n"/>
      <c r="M278" s="145" t="n"/>
      <c r="N278" s="400">
        <f>SUM(N244:N245)-N246</f>
        <v/>
      </c>
      <c r="O278" s="400">
        <f>SUM(O244:O245)-O246</f>
        <v/>
      </c>
      <c r="P278" s="400">
        <f>SUM(P244:P245)-P246</f>
        <v/>
      </c>
      <c r="Q278" s="400">
        <f>SUM(Q244:Q245)-Q246</f>
        <v/>
      </c>
      <c r="R278" s="400">
        <f>SUM(R244:R245)-R246</f>
        <v/>
      </c>
      <c r="S278" s="400">
        <f>SUM(S244:S245)-S246</f>
        <v/>
      </c>
      <c r="T278" s="400">
        <f>SUM(T244:T245)-T246</f>
        <v/>
      </c>
      <c r="U278" s="400">
        <f>SUM(U244:U245)-U246</f>
        <v/>
      </c>
      <c r="V278" s="400">
        <f>SUM(V244:V245)-V246</f>
        <v/>
      </c>
      <c r="W278" s="400">
        <f>SUM(W244:W245)-W246</f>
        <v/>
      </c>
      <c r="X278" s="400">
        <f>SUM(X244:X245)-X246</f>
        <v/>
      </c>
      <c r="Y278" s="400">
        <f>SUM(Y244:Y245)-Y246</f>
        <v/>
      </c>
      <c r="Z278" s="400">
        <f>SUM(Z244:Z245)-Z246</f>
        <v/>
      </c>
      <c r="AA278" s="400">
        <f>SUM(AA244:AA245)-AA246</f>
        <v/>
      </c>
      <c r="AB278" s="400">
        <f>SUM(AB244:AB245)-AB246</f>
        <v/>
      </c>
      <c r="AC278" s="400">
        <f>SUM(AC244:AC245)-AC246</f>
        <v/>
      </c>
      <c r="AD278" s="400">
        <f>SUM(AD244:AD245)-AD246</f>
        <v/>
      </c>
      <c r="AE278" s="400">
        <f>SUM(AE244:AE245)-AE246</f>
        <v/>
      </c>
      <c r="AF278" s="400">
        <f>SUM(AF244:AF245)-AF246</f>
        <v/>
      </c>
      <c r="AG278" s="400">
        <f>SUM(AG244:AG245)-AG246</f>
        <v/>
      </c>
      <c r="AH278" s="400">
        <f>SUM(AH244:AH245)-AH246</f>
        <v/>
      </c>
      <c r="AI278" s="400">
        <f>SUM(AI244:AI245)-AI246</f>
        <v/>
      </c>
      <c r="AJ278" s="400">
        <f>SUM(AJ244:AJ245)-AJ246</f>
        <v/>
      </c>
      <c r="AK278" s="400">
        <f>SUM(AK244:AK245)-AK246</f>
        <v/>
      </c>
      <c r="AL278" s="400">
        <f>SUM(AL244:AL245)-AL246</f>
        <v/>
      </c>
      <c r="AM278" s="400">
        <f>SUM(AM244:AM245)-AM246</f>
        <v/>
      </c>
      <c r="AN278" s="400">
        <f>SUM(AN244:AN245)-AN246</f>
        <v/>
      </c>
      <c r="AO278" s="400">
        <f>SUM(AO244:AO245)-AO246</f>
        <v/>
      </c>
      <c r="AP278" s="400">
        <f>SUM(AP244:AP245)-AP246</f>
        <v/>
      </c>
      <c r="AQ278" s="400">
        <f>SUM(AQ244:AQ245)-AQ246</f>
        <v/>
      </c>
      <c r="AR278" s="400">
        <f>SUM(AR244:AR245)-AR246</f>
        <v/>
      </c>
      <c r="AS278" s="400">
        <f>SUM(AS244:AS245)-AS246</f>
        <v/>
      </c>
      <c r="AW278" s="400" t="n"/>
      <c r="AX278" s="400" t="n"/>
      <c r="AY278" s="400" t="n"/>
      <c r="AZ278" s="400" t="n"/>
      <c r="BA278" s="400" t="n"/>
      <c r="BB278" s="400" t="n"/>
      <c r="BC278" s="400" t="n"/>
      <c r="BD278" s="400" t="n"/>
      <c r="BE278" s="400" t="n"/>
      <c r="BF278" s="400" t="n"/>
      <c r="BG278" s="400" t="n"/>
      <c r="BH278" s="400" t="n"/>
      <c r="BJ278" s="400" t="n"/>
      <c r="BN278" s="400" t="n"/>
      <c r="BO278" s="400" t="n"/>
    </row>
    <row r="279">
      <c r="A279" s="455">
        <f>A278</f>
        <v/>
      </c>
      <c r="B279" s="145" t="n"/>
      <c r="C279" s="145" t="n"/>
      <c r="D279" s="145" t="n"/>
      <c r="E279" s="145" t="n"/>
      <c r="F279" s="145" t="n"/>
      <c r="G279" s="145" t="n"/>
      <c r="H279" s="145" t="n"/>
      <c r="I279" s="145" t="n"/>
      <c r="J279" s="145" t="n"/>
      <c r="K279" s="145" t="n"/>
      <c r="L279" s="145" t="n"/>
      <c r="M279" s="145" t="n"/>
      <c r="N279" s="400">
        <f>SUM(N249:N253)-N254</f>
        <v/>
      </c>
      <c r="O279" s="400">
        <f>SUM(O249:O253)-O254</f>
        <v/>
      </c>
      <c r="P279" s="400">
        <f>SUM(P249:P253)-P254</f>
        <v/>
      </c>
      <c r="Q279" s="400">
        <f>SUM(Q249:Q253)-Q254</f>
        <v/>
      </c>
      <c r="R279" s="400">
        <f>SUM(R249:R253)-R254</f>
        <v/>
      </c>
      <c r="S279" s="400">
        <f>SUM(S249:S253)-S254</f>
        <v/>
      </c>
      <c r="T279" s="400">
        <f>SUM(T249:T253)-T254</f>
        <v/>
      </c>
      <c r="U279" s="400">
        <f>SUM(U249:U253)-U254</f>
        <v/>
      </c>
      <c r="V279" s="400">
        <f>SUM(V249:V253)-V254</f>
        <v/>
      </c>
      <c r="W279" s="400">
        <f>SUM(W249:W253)-W254</f>
        <v/>
      </c>
      <c r="X279" s="400">
        <f>SUM(X249:X253)-X254</f>
        <v/>
      </c>
      <c r="Y279" s="400">
        <f>SUM(Y249:Y253)-Y254</f>
        <v/>
      </c>
      <c r="Z279" s="400">
        <f>SUM(Z249:Z253)-Z254</f>
        <v/>
      </c>
      <c r="AA279" s="400">
        <f>SUM(AA249:AA253)-AA254</f>
        <v/>
      </c>
      <c r="AB279" s="400">
        <f>SUM(AB249:AB253)-AB254</f>
        <v/>
      </c>
      <c r="AC279" s="400">
        <f>SUM(AC249:AC253)-AC254</f>
        <v/>
      </c>
      <c r="AD279" s="400">
        <f>SUM(AD249:AD253)-AD254</f>
        <v/>
      </c>
      <c r="AE279" s="400">
        <f>SUM(AE249:AE253)-AE254</f>
        <v/>
      </c>
      <c r="AF279" s="400">
        <f>SUM(AF249:AF253)-AF254</f>
        <v/>
      </c>
      <c r="AG279" s="400">
        <f>SUM(AG249:AG253)-AG254</f>
        <v/>
      </c>
      <c r="AH279" s="400">
        <f>SUM(AH249:AH253)-AH254</f>
        <v/>
      </c>
      <c r="AI279" s="400">
        <f>SUM(AI249:AI253)-AI254</f>
        <v/>
      </c>
      <c r="AJ279" s="400">
        <f>SUM(AJ249:AJ253)-AJ254</f>
        <v/>
      </c>
      <c r="AK279" s="400">
        <f>SUM(AK249:AK253)-AK254</f>
        <v/>
      </c>
      <c r="AL279" s="400">
        <f>SUM(AL249:AL253)-AL254</f>
        <v/>
      </c>
      <c r="AM279" s="400">
        <f>SUM(AM249:AM253)-AM254</f>
        <v/>
      </c>
      <c r="AN279" s="400">
        <f>SUM(AN249:AN253)-AN254</f>
        <v/>
      </c>
      <c r="AO279" s="400">
        <f>SUM(AO249:AO253)-AO254</f>
        <v/>
      </c>
      <c r="AP279" s="400">
        <f>SUM(AP249:AP253)-AP254</f>
        <v/>
      </c>
      <c r="AQ279" s="400">
        <f>SUM(AQ249:AQ253)-AQ254</f>
        <v/>
      </c>
      <c r="AR279" s="400">
        <f>SUM(AR249:AR253)-AR254</f>
        <v/>
      </c>
      <c r="AS279" s="400">
        <f>SUM(AS249:AS253)-AS254</f>
        <v/>
      </c>
      <c r="AW279" s="400" t="n"/>
      <c r="AX279" s="400" t="n"/>
      <c r="AY279" s="400" t="n"/>
      <c r="AZ279" s="400" t="n"/>
      <c r="BA279" s="400" t="n"/>
      <c r="BB279" s="400" t="n"/>
      <c r="BC279" s="400" t="n"/>
      <c r="BD279" s="400" t="n"/>
      <c r="BE279" s="400" t="n"/>
      <c r="BF279" s="400" t="n"/>
      <c r="BG279" s="400" t="n"/>
      <c r="BH279" s="400" t="n"/>
      <c r="BJ279" s="400" t="n"/>
      <c r="BN279" s="400" t="n"/>
      <c r="BO279" s="400" t="n"/>
    </row>
    <row r="280">
      <c r="A280" s="455">
        <f>A278</f>
        <v/>
      </c>
      <c r="B280" s="145" t="n"/>
      <c r="C280" s="145" t="n"/>
      <c r="D280" s="145" t="n"/>
      <c r="E280" s="145" t="n"/>
      <c r="F280" s="145" t="n"/>
      <c r="G280" s="145" t="n"/>
      <c r="H280" s="145" t="n"/>
      <c r="I280" s="145" t="n"/>
      <c r="J280" s="145" t="n"/>
      <c r="K280" s="145" t="n"/>
      <c r="L280" s="145" t="n"/>
      <c r="M280" s="145" t="n"/>
      <c r="N280" s="400">
        <f>SUM(N257:N261)+N263-N264</f>
        <v/>
      </c>
      <c r="O280" s="400">
        <f>SUM(O257:O261)+O263-O264</f>
        <v/>
      </c>
      <c r="P280" s="400">
        <f>SUM(P257:P261)+P263-P264</f>
        <v/>
      </c>
      <c r="Q280" s="400">
        <f>SUM(Q257:Q261)+Q263-Q264</f>
        <v/>
      </c>
      <c r="R280" s="400">
        <f>SUM(R257:R261)+R263-R264</f>
        <v/>
      </c>
      <c r="S280" s="400">
        <f>SUM(S257:S261)+S263-S264</f>
        <v/>
      </c>
      <c r="T280" s="400">
        <f>SUM(T257:T261)+T263-T264</f>
        <v/>
      </c>
      <c r="U280" s="400">
        <f>SUM(U257:U261)+U263-U264</f>
        <v/>
      </c>
      <c r="V280" s="400">
        <f>SUM(V257:V261)+V263-V264</f>
        <v/>
      </c>
      <c r="W280" s="400">
        <f>SUM(W257:W261)+W263-W264</f>
        <v/>
      </c>
      <c r="X280" s="400">
        <f>SUM(X257:X261)+X263-X264</f>
        <v/>
      </c>
      <c r="Y280" s="400">
        <f>SUM(Y257:Y261)+Y263-Y264</f>
        <v/>
      </c>
      <c r="Z280" s="400">
        <f>SUM(Z257:Z261)+Z263-Z264</f>
        <v/>
      </c>
      <c r="AA280" s="400">
        <f>SUM(AA257:AA261)+AA263-AA264</f>
        <v/>
      </c>
      <c r="AB280" s="400">
        <f>SUM(AB257:AB261)+AB263-AB264</f>
        <v/>
      </c>
      <c r="AC280" s="400">
        <f>SUM(AC257:AC261)+AC263-AC264</f>
        <v/>
      </c>
      <c r="AD280" s="400">
        <f>SUM(AD257:AD261)+AD263-AD264</f>
        <v/>
      </c>
      <c r="AE280" s="400">
        <f>SUM(AE257:AE261)+AE263-AE264</f>
        <v/>
      </c>
      <c r="AF280" s="400">
        <f>SUM(AF257:AF261)+AF263-AF264</f>
        <v/>
      </c>
      <c r="AG280" s="400">
        <f>SUM(AG257:AG261)+AG263-AG264</f>
        <v/>
      </c>
      <c r="AH280" s="400">
        <f>SUM(AH257:AH261)+AH263-AH264</f>
        <v/>
      </c>
      <c r="AI280" s="400">
        <f>SUM(AI257:AI261)+AI263-AI264</f>
        <v/>
      </c>
      <c r="AJ280" s="400">
        <f>SUM(AJ257:AJ261)+AJ263-AJ264</f>
        <v/>
      </c>
      <c r="AK280" s="400">
        <f>SUM(AK257:AK261)+AK263-AK264</f>
        <v/>
      </c>
      <c r="AL280" s="400">
        <f>SUM(AL257:AL261)+AL263-AL264</f>
        <v/>
      </c>
      <c r="AM280" s="400">
        <f>SUM(AM257:AM261)+AM263-AM264</f>
        <v/>
      </c>
      <c r="AN280" s="400">
        <f>SUM(AN257:AN261)+AN263-AN264</f>
        <v/>
      </c>
      <c r="AO280" s="400">
        <f>SUM(AO257:AO261)+AO263-AO264</f>
        <v/>
      </c>
      <c r="AP280" s="400">
        <f>SUM(AP257:AP261)+AP263-AP264</f>
        <v/>
      </c>
      <c r="AQ280" s="400">
        <f>SUM(AQ257:AQ261)+AQ263-AQ264</f>
        <v/>
      </c>
      <c r="AR280" s="400">
        <f>SUM(AR257:AR261)+AR263-AR264</f>
        <v/>
      </c>
      <c r="AS280" s="400">
        <f>SUM(AS257:AS261)+AS263-AS264</f>
        <v/>
      </c>
      <c r="AW280" s="400" t="n"/>
      <c r="AX280" s="400" t="n"/>
      <c r="AY280" s="400" t="n"/>
      <c r="AZ280" s="400" t="n"/>
      <c r="BA280" s="400" t="n"/>
      <c r="BB280" s="400" t="n"/>
      <c r="BC280" s="400" t="n"/>
      <c r="BD280" s="400" t="n"/>
      <c r="BE280" s="400" t="n"/>
      <c r="BF280" s="400" t="n"/>
      <c r="BG280" s="400" t="n"/>
      <c r="BH280" s="400" t="n"/>
      <c r="BJ280" s="400" t="n"/>
      <c r="BN280" s="400" t="n"/>
      <c r="BO280" s="400" t="n"/>
    </row>
    <row r="281">
      <c r="A281" s="455">
        <f>A279</f>
        <v/>
      </c>
      <c r="B281" s="145" t="n"/>
      <c r="C281" s="145" t="n"/>
      <c r="D281" s="145" t="n"/>
      <c r="E281" s="145" t="n"/>
      <c r="F281" s="145" t="n"/>
      <c r="G281" s="145" t="n"/>
      <c r="H281" s="145" t="n"/>
      <c r="I281" s="145" t="n"/>
      <c r="J281" s="145" t="n"/>
      <c r="K281" s="145" t="n"/>
      <c r="L281" s="145" t="n"/>
      <c r="M281" s="145" t="n"/>
      <c r="N281" s="400">
        <f>SUM(N273:N275)-N276</f>
        <v/>
      </c>
      <c r="O281" s="400">
        <f>SUM(O273:O275)-O276</f>
        <v/>
      </c>
      <c r="P281" s="400">
        <f>SUM(P273:P275)-P276</f>
        <v/>
      </c>
      <c r="Q281" s="400">
        <f>SUM(Q273:Q275)-Q276</f>
        <v/>
      </c>
      <c r="R281" s="400">
        <f>SUM(R273:R275)-R276</f>
        <v/>
      </c>
      <c r="S281" s="400">
        <f>SUM(S273:S275)-S276</f>
        <v/>
      </c>
      <c r="T281" s="400">
        <f>SUM(T273:T275)-T276</f>
        <v/>
      </c>
      <c r="U281" s="400">
        <f>SUM(U273:U275)-U276</f>
        <v/>
      </c>
      <c r="V281" s="400">
        <f>SUM(V273:V275)-V276</f>
        <v/>
      </c>
      <c r="W281" s="400">
        <f>SUM(W273:W275)-W276</f>
        <v/>
      </c>
      <c r="X281" s="400">
        <f>SUM(X273:X275)-X276</f>
        <v/>
      </c>
      <c r="Y281" s="400">
        <f>SUM(Y273:Y275)-Y276</f>
        <v/>
      </c>
      <c r="Z281" s="400">
        <f>SUM(Z273:Z275)-Z276</f>
        <v/>
      </c>
      <c r="AA281" s="400">
        <f>SUM(AA273:AA275)-AA276</f>
        <v/>
      </c>
      <c r="AB281" s="400">
        <f>SUM(AB273:AB275)-AB276</f>
        <v/>
      </c>
      <c r="AC281" s="400">
        <f>SUM(AC273:AC275)-AC276</f>
        <v/>
      </c>
      <c r="AD281" s="400">
        <f>SUM(AD273:AD275)-AD276</f>
        <v/>
      </c>
      <c r="AE281" s="400">
        <f>SUM(AE273:AE275)-AE276</f>
        <v/>
      </c>
      <c r="AF281" s="400">
        <f>SUM(AF273:AF275)-AF276</f>
        <v/>
      </c>
      <c r="AG281" s="400">
        <f>SUM(AG273:AG275)-AG276</f>
        <v/>
      </c>
      <c r="AH281" s="400">
        <f>SUM(AH273:AH275)-AH276</f>
        <v/>
      </c>
      <c r="AI281" s="400">
        <f>SUM(AI273:AI275)-AI276</f>
        <v/>
      </c>
      <c r="AJ281" s="400">
        <f>SUM(AJ273:AJ275)-AJ276</f>
        <v/>
      </c>
      <c r="AK281" s="400">
        <f>SUM(AK273:AK275)-AK276</f>
        <v/>
      </c>
      <c r="AL281" s="400">
        <f>SUM(AL273:AL275)-AL276</f>
        <v/>
      </c>
      <c r="AM281" s="400">
        <f>SUM(AM273:AM275)-AM276</f>
        <v/>
      </c>
      <c r="AN281" s="400">
        <f>SUM(AN273:AN275)-AN276</f>
        <v/>
      </c>
      <c r="AO281" s="400">
        <f>SUM(AO273:AO275)-AO276</f>
        <v/>
      </c>
      <c r="AP281" s="400">
        <f>SUM(AP273:AP275)-AP276</f>
        <v/>
      </c>
      <c r="AQ281" s="400">
        <f>SUM(AQ273:AQ275)-AQ276</f>
        <v/>
      </c>
      <c r="AR281" s="400">
        <f>SUM(AR273:AR275)-AR276</f>
        <v/>
      </c>
      <c r="AS281" s="400">
        <f>SUM(AS273:AS275)-AS276</f>
        <v/>
      </c>
      <c r="AW281" s="400" t="n"/>
      <c r="AX281" s="400" t="n"/>
      <c r="AY281" s="400" t="n"/>
      <c r="AZ281" s="400" t="n"/>
      <c r="BA281" s="400" t="n"/>
      <c r="BB281" s="400" t="n"/>
      <c r="BC281" s="400" t="n"/>
      <c r="BD281" s="400" t="n"/>
      <c r="BE281" s="400" t="n"/>
      <c r="BF281" s="400" t="n"/>
      <c r="BG281" s="400" t="n"/>
      <c r="BH281" s="400" t="n"/>
      <c r="BJ281" s="400" t="n"/>
      <c r="BN281" s="400" t="n"/>
      <c r="BO281" s="400" t="n"/>
    </row>
    <row r="282">
      <c r="A282" s="455">
        <f>A280</f>
        <v/>
      </c>
      <c r="B282" s="145" t="n"/>
      <c r="C282" s="145" t="n"/>
      <c r="D282" s="145" t="n"/>
      <c r="E282" s="145" t="n"/>
      <c r="F282" s="145" t="n"/>
      <c r="G282" s="145" t="n"/>
      <c r="H282" s="145" t="n"/>
      <c r="I282" s="145" t="n"/>
      <c r="J282" s="145" t="n"/>
      <c r="K282" s="145" t="n"/>
      <c r="L282" s="145" t="n"/>
      <c r="M282" s="145" t="n"/>
      <c r="N282" s="400">
        <f>IF(ISBLANK(N264),0,N264-N134)</f>
        <v/>
      </c>
      <c r="O282" s="400">
        <f>IF(ISBLANK(O264),0,O264-O134)</f>
        <v/>
      </c>
      <c r="P282" s="400">
        <f>IF(ISBLANK(P264),0,P264-P134)</f>
        <v/>
      </c>
      <c r="Q282" s="400">
        <f>IF(ISBLANK(Q264),0,Q264-Q134)</f>
        <v/>
      </c>
      <c r="R282" s="400">
        <f>IF(ISBLANK(R264),0,R264-R134)</f>
        <v/>
      </c>
      <c r="S282" s="400">
        <f>IF(ISBLANK(S264),0,S264-S134)</f>
        <v/>
      </c>
      <c r="T282" s="400">
        <f>IF(ISBLANK(T264),0,T264-T134)</f>
        <v/>
      </c>
      <c r="U282" s="400">
        <f>IF(ISBLANK(U264),0,U264-U134)</f>
        <v/>
      </c>
      <c r="V282" s="400">
        <f>IF(ISBLANK(V264),0,V264-V134)</f>
        <v/>
      </c>
      <c r="W282" s="400">
        <f>IF(ISBLANK(W264),0,W264-W134)</f>
        <v/>
      </c>
      <c r="X282" s="400">
        <f>IF(ISBLANK(X264),0,X264-X134)</f>
        <v/>
      </c>
      <c r="Y282" s="400">
        <f>IF(ISBLANK(Y264),0,Y264-Y134)</f>
        <v/>
      </c>
      <c r="Z282" s="400">
        <f>IF(ISBLANK(Z264),0,Z264-Z134)</f>
        <v/>
      </c>
      <c r="AA282" s="400">
        <f>IF(ISBLANK(AA264),0,AA264-AA134)</f>
        <v/>
      </c>
      <c r="AB282" s="400">
        <f>IF(ISBLANK(AB264),0,AB264-AB134)</f>
        <v/>
      </c>
      <c r="AC282" s="400">
        <f>IF(ISBLANK(AC264),0,AC264-AC134)</f>
        <v/>
      </c>
      <c r="AD282" s="400">
        <f>IF(ISBLANK(AD264),0,AD264-AD134)</f>
        <v/>
      </c>
      <c r="AE282" s="400">
        <f>IF(ISBLANK(AE264),0,AE264-AE134)</f>
        <v/>
      </c>
      <c r="AF282" s="400">
        <f>IF(ISBLANK(AF264),0,AF264-AF134)</f>
        <v/>
      </c>
      <c r="AG282" s="400">
        <f>IF(ISBLANK(AG264),0,AG264-AG134)</f>
        <v/>
      </c>
      <c r="AH282" s="400">
        <f>IF(ISBLANK(AH264),0,AH264-AH134)</f>
        <v/>
      </c>
      <c r="AI282" s="400">
        <f>IF(ISBLANK(AI264),0,AI264-AI134)</f>
        <v/>
      </c>
      <c r="AJ282" s="400">
        <f>IF(ISBLANK(AJ264),0,AJ264-AJ134)</f>
        <v/>
      </c>
      <c r="AK282" s="400">
        <f>IF(ISBLANK(AK264),0,AK264-AK134)</f>
        <v/>
      </c>
      <c r="AL282" s="400">
        <f>IF(ISBLANK(AL264),0,AL264-AL134)</f>
        <v/>
      </c>
      <c r="AM282" s="400">
        <f>IF(ISBLANK(AM264),0,AM264-AM134)</f>
        <v/>
      </c>
      <c r="AN282" s="400">
        <f>IF(ISBLANK(AN264),0,AN264-AN134)</f>
        <v/>
      </c>
      <c r="AO282" s="400">
        <f>IF(ISBLANK(AO264),0,AO264-AO134)</f>
        <v/>
      </c>
      <c r="AP282" s="400">
        <f>IF(ISBLANK(AP264),0,AP264-AP134)</f>
        <v/>
      </c>
      <c r="AQ282" s="400">
        <f>IF(ISBLANK(AQ264),0,AQ264-AQ134)</f>
        <v/>
      </c>
      <c r="AR282" s="400">
        <f>IF(ISBLANK(AR264),0,AR264-AR134)</f>
        <v/>
      </c>
      <c r="AS282" s="400">
        <f>IF(ISBLANK(AS264),0,AS264-AS134)</f>
        <v/>
      </c>
      <c r="AW282" s="400" t="n"/>
      <c r="AX282" s="400" t="n"/>
      <c r="AY282" s="400" t="n"/>
      <c r="AZ282" s="400" t="n"/>
      <c r="BA282" s="400" t="n"/>
      <c r="BB282" s="400" t="n"/>
      <c r="BC282" s="400" t="n"/>
      <c r="BD282" s="400" t="n"/>
      <c r="BE282" s="400" t="n"/>
      <c r="BF282" s="400" t="n"/>
      <c r="BG282" s="400" t="n"/>
      <c r="BH282" s="400" t="n"/>
      <c r="BJ282" s="400" t="n"/>
      <c r="BN282" s="400" t="n"/>
      <c r="BO282" s="400" t="n"/>
    </row>
    <row r="283">
      <c r="A283" s="455">
        <f>A281</f>
        <v/>
      </c>
      <c r="B283" s="145" t="n"/>
      <c r="C283" s="145" t="n"/>
      <c r="D283" s="145" t="n"/>
      <c r="E283" s="145" t="n"/>
      <c r="F283" s="145" t="n"/>
      <c r="G283" s="145" t="n"/>
      <c r="H283" s="145" t="n"/>
      <c r="I283" s="145" t="n"/>
      <c r="J283" s="145" t="n"/>
      <c r="K283" s="145" t="n"/>
      <c r="L283" s="145" t="n"/>
      <c r="M283" s="145" t="n"/>
      <c r="N283" s="400">
        <f>N276-N126</f>
        <v/>
      </c>
      <c r="O283" s="400">
        <f>O276-O126</f>
        <v/>
      </c>
      <c r="P283" s="400">
        <f>P276-P126</f>
        <v/>
      </c>
      <c r="Q283" s="400">
        <f>Q276-Q126</f>
        <v/>
      </c>
      <c r="R283" s="400">
        <f>R276-R126</f>
        <v/>
      </c>
      <c r="S283" s="400">
        <f>S276-S126</f>
        <v/>
      </c>
      <c r="T283" s="400">
        <f>T276-T126</f>
        <v/>
      </c>
      <c r="U283" s="400">
        <f>U276-U126</f>
        <v/>
      </c>
      <c r="V283" s="400">
        <f>V276-V126</f>
        <v/>
      </c>
      <c r="W283" s="400">
        <f>W276-W126</f>
        <v/>
      </c>
      <c r="X283" s="400">
        <f>X276-X126</f>
        <v/>
      </c>
      <c r="Y283" s="400">
        <f>Y276-Y126</f>
        <v/>
      </c>
      <c r="Z283" s="400">
        <f>Z276-Z126</f>
        <v/>
      </c>
      <c r="AA283" s="400">
        <f>AA276-AA126</f>
        <v/>
      </c>
      <c r="AB283" s="400">
        <f>AB276-AB126</f>
        <v/>
      </c>
      <c r="AC283" s="400">
        <f>AC276-AC126</f>
        <v/>
      </c>
      <c r="AD283" s="400">
        <f>AD276-AD126</f>
        <v/>
      </c>
      <c r="AE283" s="400">
        <f>AE276-AE126</f>
        <v/>
      </c>
      <c r="AF283" s="400">
        <f>AF276-AF126</f>
        <v/>
      </c>
      <c r="AG283" s="400">
        <f>AG276-AG126</f>
        <v/>
      </c>
      <c r="AH283" s="400">
        <f>AH276-AH126</f>
        <v/>
      </c>
      <c r="AI283" s="400">
        <f>AI276-AI126</f>
        <v/>
      </c>
      <c r="AJ283" s="400">
        <f>AJ276-AJ126</f>
        <v/>
      </c>
      <c r="AK283" s="400">
        <f>AK276-AK126</f>
        <v/>
      </c>
      <c r="AL283" s="400">
        <f>AL276-AL126</f>
        <v/>
      </c>
      <c r="AM283" s="400">
        <f>AM276-AM126</f>
        <v/>
      </c>
      <c r="AN283" s="400">
        <f>AN276-AN126</f>
        <v/>
      </c>
      <c r="AO283" s="400">
        <f>AO276-AO126</f>
        <v/>
      </c>
      <c r="AP283" s="400">
        <f>AP276-AP126</f>
        <v/>
      </c>
      <c r="AQ283" s="400">
        <f>AQ276-AQ126</f>
        <v/>
      </c>
      <c r="AR283" s="400">
        <f>AR276-AR126</f>
        <v/>
      </c>
      <c r="AS283" s="400">
        <f>AS276-AS126</f>
        <v/>
      </c>
      <c r="AW283" s="400" t="n"/>
      <c r="AX283" s="400" t="n"/>
      <c r="AY283" s="400" t="n"/>
      <c r="AZ283" s="400" t="n"/>
      <c r="BA283" s="400" t="n"/>
      <c r="BB283" s="400" t="n"/>
      <c r="BC283" s="400" t="n"/>
      <c r="BD283" s="400" t="n"/>
      <c r="BE283" s="400" t="n"/>
      <c r="BF283" s="400" t="n"/>
      <c r="BG283" s="400" t="n"/>
      <c r="BH283" s="400" t="n"/>
      <c r="BJ283" s="400" t="n"/>
      <c r="BN283" s="400" t="n"/>
      <c r="BO283" s="400" t="n"/>
    </row>
  </sheetData>
  <pageMargins left="0.7" right="0.7" top="0.75" bottom="0.75" header="0.3" footer="0.3"/>
  <pageSetup orientation="portrait" paperSize="9"/>
  <legacyDrawing xmlns:r="http://schemas.openxmlformats.org/officeDocument/2006/relationships" r:id="anysvml"/>
</worksheet>
</file>

<file path=xl/worksheets/sheet10.xml><?xml version="1.0" encoding="utf-8"?>
<worksheet xmlns="http://schemas.openxmlformats.org/spreadsheetml/2006/main">
  <sheetPr codeName="Sheet2">
    <tabColor rgb="FF96D8CF"/>
    <outlinePr summaryBelow="1" summaryRight="1"/>
    <pageSetUpPr/>
  </sheetPr>
  <dimension ref="B1:T139"/>
  <sheetViews>
    <sheetView workbookViewId="0">
      <selection activeCell="V42" sqref="V42"/>
    </sheetView>
  </sheetViews>
  <sheetFormatPr baseColWidth="10" defaultColWidth="9.33203125" defaultRowHeight="14"/>
  <cols>
    <col width="9.33203125" customWidth="1" style="566" min="1" max="1"/>
    <col width="29.6640625" bestFit="1" customWidth="1" style="566" min="2" max="2"/>
    <col hidden="1" style="567" min="3" max="3"/>
    <col hidden="1" style="568" min="4" max="4"/>
    <col hidden="1" width="8.6640625" customWidth="1" style="566" min="5" max="5"/>
    <col hidden="1" style="566" min="6" max="7"/>
    <col hidden="1" style="568" min="8" max="8"/>
    <col hidden="1" style="566" min="9" max="12"/>
    <col width="11.33203125" bestFit="1" customWidth="1" style="566" min="13" max="13"/>
    <col width="12" bestFit="1" customWidth="1" style="566" min="14" max="16"/>
    <col width="9.33203125" customWidth="1" style="566" min="17" max="16384"/>
  </cols>
  <sheetData>
    <row r="1" ht="42.75" customHeight="1">
      <c r="B1" s="576" t="inlineStr">
        <is>
          <t>IPG Photonics Corp</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IPGP</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2044</v>
      </c>
      <c r="N5" s="588" t="n"/>
      <c r="O5" s="578" t="n"/>
      <c r="P5" s="578" t="n"/>
      <c r="R5" s="646" t="inlineStr">
        <is>
          <t>DATA LAST SUBMITTED</t>
        </is>
      </c>
      <c r="S5" s="644" t="n"/>
      <c r="T5" s="645" t="inlineStr">
        <is>
          <t>Feb 16, 2022 02:07 PM</t>
        </is>
      </c>
    </row>
    <row r="6">
      <c r="B6" s="577" t="inlineStr">
        <is>
          <t>BERN CompanyId</t>
        </is>
      </c>
      <c r="C6" s="579" t="inlineStr">
        <is>
          <t>COMPANYID</t>
        </is>
      </c>
      <c r="D6" s="580" t="inlineStr">
        <is>
          <t>T</t>
        </is>
      </c>
      <c r="E6" s="577" t="n"/>
      <c r="F6" s="577" t="n"/>
      <c r="G6" s="577" t="n"/>
      <c r="H6" s="580" t="n"/>
      <c r="I6" s="577" t="n"/>
      <c r="J6" s="577" t="n"/>
      <c r="K6" s="577" t="n"/>
      <c r="L6" s="577" t="n"/>
      <c r="M6" s="582" t="n">
        <v>1573</v>
      </c>
      <c r="N6" s="588" t="n"/>
      <c r="O6" s="578" t="n"/>
      <c r="P6" s="578" t="n"/>
      <c r="R6" s="646" t="inlineStr">
        <is>
          <t>ESTIMATES SUBMITTED</t>
        </is>
      </c>
      <c r="S6" s="644" t="n"/>
      <c r="T6" s="644" t="inlineStr">
        <is>
          <t>Yes</t>
        </is>
      </c>
    </row>
    <row r="7">
      <c r="B7" s="577" t="inlineStr">
        <is>
          <t>BERN CoverageId</t>
        </is>
      </c>
      <c r="C7" s="579" t="inlineStr">
        <is>
          <t>COVERAGEID</t>
        </is>
      </c>
      <c r="D7" s="580" t="inlineStr">
        <is>
          <t>T</t>
        </is>
      </c>
      <c r="E7" s="577" t="n"/>
      <c r="F7" s="577" t="n"/>
      <c r="G7" s="577" t="n"/>
      <c r="H7" s="580" t="n"/>
      <c r="I7" s="577" t="n"/>
      <c r="J7" s="577" t="n"/>
      <c r="K7" s="577" t="n"/>
      <c r="L7" s="577" t="n"/>
      <c r="M7" s="582" t="n">
        <v>2288</v>
      </c>
      <c r="N7" s="588" t="n"/>
      <c r="O7" s="578" t="n"/>
      <c r="P7" s="578" t="n"/>
      <c r="R7" s="646" t="inlineStr">
        <is>
          <t>SUBMITTED BY</t>
        </is>
      </c>
      <c r="S7" s="644" t="n"/>
      <c r="T7" s="644" t="inlineStr">
        <is>
          <t>kxiao</t>
        </is>
      </c>
    </row>
    <row r="8">
      <c r="B8" s="577" t="inlineStr">
        <is>
          <t>Benchmark Index</t>
        </is>
      </c>
      <c r="C8" s="579" t="inlineStr">
        <is>
          <t>BENCHMARKINDEX</t>
        </is>
      </c>
      <c r="D8" s="580" t="inlineStr">
        <is>
          <t>T</t>
        </is>
      </c>
      <c r="E8" s="577" t="n"/>
      <c r="F8" s="577" t="n"/>
      <c r="G8" s="577" t="n"/>
      <c r="H8" s="580" t="n"/>
      <c r="I8" s="577" t="n"/>
      <c r="J8" s="577" t="n"/>
      <c r="K8" s="577" t="n"/>
      <c r="L8" s="577" t="n"/>
      <c r="M8" s="582" t="inlineStr">
        <is>
          <t>SPX</t>
        </is>
      </c>
      <c r="N8" s="588" t="n"/>
      <c r="O8" s="578" t="n"/>
      <c r="P8" s="578" t="n"/>
    </row>
    <row r="9">
      <c r="B9" s="577" t="inlineStr">
        <is>
          <t>Exchange</t>
        </is>
      </c>
      <c r="C9" s="579" t="inlineStr">
        <is>
          <t>EXCHANGE</t>
        </is>
      </c>
      <c r="D9" s="580" t="inlineStr">
        <is>
          <t>T</t>
        </is>
      </c>
      <c r="E9" s="577" t="n"/>
      <c r="F9" s="577" t="n"/>
      <c r="G9" s="577" t="n"/>
      <c r="H9" s="580" t="n"/>
      <c r="I9" s="577" t="n"/>
      <c r="J9" s="577" t="n"/>
      <c r="K9" s="577" t="n"/>
      <c r="L9" s="577" t="n"/>
      <c r="M9" s="582" t="inlineStr">
        <is>
          <t>NASDAQ</t>
        </is>
      </c>
      <c r="N9" s="588" t="n"/>
      <c r="O9" s="578" t="n"/>
      <c r="P9" s="578" t="n"/>
    </row>
    <row r="10">
      <c r="B10" s="577" t="inlineStr">
        <is>
          <t>Exchange Currency</t>
        </is>
      </c>
      <c r="C10" s="579" t="inlineStr">
        <is>
          <t>CURRENCY</t>
        </is>
      </c>
      <c r="D10" s="580" t="inlineStr">
        <is>
          <t>T</t>
        </is>
      </c>
      <c r="E10" s="577" t="n"/>
      <c r="F10" s="577" t="n"/>
      <c r="G10" s="577" t="n"/>
      <c r="H10" s="580" t="n"/>
      <c r="I10" s="577" t="n"/>
      <c r="J10" s="577" t="n"/>
      <c r="K10" s="577" t="n"/>
      <c r="L10" s="577" t="n"/>
      <c r="M10" s="582" t="inlineStr">
        <is>
          <t>USD</t>
        </is>
      </c>
      <c r="N10" s="588" t="n"/>
      <c r="O10" s="578" t="n"/>
      <c r="P10" s="578" t="n"/>
    </row>
    <row r="11">
      <c r="B11" s="577" t="inlineStr">
        <is>
          <t>Estimate Currency</t>
        </is>
      </c>
      <c r="C11" s="579" t="inlineStr">
        <is>
          <t>ESTIMATECURRENCY</t>
        </is>
      </c>
      <c r="D11" s="580" t="inlineStr">
        <is>
          <t>T</t>
        </is>
      </c>
      <c r="E11" s="577" t="n"/>
      <c r="F11" s="577" t="n"/>
      <c r="G11" s="577" t="n"/>
      <c r="H11" s="580" t="n"/>
      <c r="I11" s="577" t="n"/>
      <c r="J11" s="577" t="n"/>
      <c r="K11" s="577" t="n"/>
      <c r="L11" s="577" t="n"/>
      <c r="M11" s="582" t="inlineStr">
        <is>
          <t>USD</t>
        </is>
      </c>
      <c r="N11" s="588" t="n"/>
      <c r="O11" s="578" t="n"/>
      <c r="P11" s="578" t="n"/>
    </row>
    <row r="12">
      <c r="B12" s="577" t="inlineStr">
        <is>
          <t>Primary Ticker</t>
        </is>
      </c>
      <c r="C12" s="579" t="inlineStr">
        <is>
          <t>ISPRIMARY</t>
        </is>
      </c>
      <c r="D12" s="580" t="inlineStr">
        <is>
          <t>T</t>
        </is>
      </c>
      <c r="E12" s="577" t="n"/>
      <c r="F12" s="577" t="n"/>
      <c r="G12" s="577" t="n"/>
      <c r="H12" s="580" t="n"/>
      <c r="I12" s="577" t="n"/>
      <c r="J12" s="577" t="n"/>
      <c r="K12" s="577" t="n"/>
      <c r="L12" s="577" t="n"/>
      <c r="M12" s="582" t="inlineStr">
        <is>
          <t>Yes</t>
        </is>
      </c>
      <c r="N12" s="588" t="n"/>
      <c r="O12" s="578" t="n"/>
      <c r="P12" s="578" t="n"/>
    </row>
    <row r="13">
      <c r="B13" s="577" t="inlineStr">
        <is>
          <t>Last Reported Year</t>
        </is>
      </c>
      <c r="C13" s="579" t="inlineStr">
        <is>
          <t>BASEYEARACTUAL</t>
        </is>
      </c>
      <c r="D13" s="580" t="inlineStr">
        <is>
          <t>T</t>
        </is>
      </c>
      <c r="E13" s="577" t="n"/>
      <c r="F13" s="577" t="n"/>
      <c r="G13" s="577" t="n"/>
      <c r="H13" s="580" t="n"/>
      <c r="I13" s="577" t="n"/>
      <c r="J13" s="577" t="n"/>
      <c r="K13" s="577" t="n"/>
      <c r="L13" s="577" t="n"/>
      <c r="M13" s="582" t="n">
        <v>2021</v>
      </c>
      <c r="N13" s="588" t="n"/>
      <c r="O13" s="578" t="n"/>
      <c r="P13" s="578" t="n"/>
    </row>
    <row r="14" ht="15" customHeight="1" thickBot="1">
      <c r="B14" s="577" t="inlineStr">
        <is>
          <t>Model Units</t>
        </is>
      </c>
      <c r="C14" s="579" t="inlineStr">
        <is>
          <t>MODELUNITS</t>
        </is>
      </c>
      <c r="D14" s="580" t="inlineStr">
        <is>
          <t>T</t>
        </is>
      </c>
      <c r="E14" s="577" t="n"/>
      <c r="F14" s="577" t="n"/>
      <c r="G14" s="577" t="n"/>
      <c r="H14" s="580" t="n"/>
      <c r="I14" s="577" t="n"/>
      <c r="J14" s="577" t="n"/>
      <c r="K14" s="577" t="n"/>
      <c r="L14" s="577" t="n"/>
      <c r="M14" s="647" t="n">
        <v>1000</v>
      </c>
      <c r="N14" s="588" t="n"/>
      <c r="O14" s="578" t="n"/>
      <c r="P14" s="578" t="n"/>
    </row>
    <row r="15" ht="17" customHeight="1" thickBot="1" thickTop="1">
      <c r="B15" s="584" t="inlineStr">
        <is>
          <t>ANALYST DATA</t>
        </is>
      </c>
      <c r="C15" s="585" t="n">
        <v>2</v>
      </c>
      <c r="D15" s="585" t="n"/>
      <c r="E15" s="585" t="n"/>
      <c r="F15" s="585" t="n"/>
      <c r="G15" s="585" t="n"/>
      <c r="H15" s="585" t="n"/>
      <c r="I15" s="585" t="n"/>
      <c r="J15" s="585" t="n"/>
      <c r="K15" s="585" t="n"/>
      <c r="L15" s="585" t="n"/>
      <c r="M15" s="585" t="n"/>
      <c r="N15" s="587" t="n"/>
      <c r="O15" s="585" t="n"/>
      <c r="P15" s="585" t="n"/>
    </row>
    <row r="16" ht="15" customHeight="1" thickTop="1">
      <c r="B16" s="581" t="inlineStr">
        <is>
          <t>Rating</t>
        </is>
      </c>
      <c r="C16" s="579" t="inlineStr">
        <is>
          <t>RATING</t>
        </is>
      </c>
      <c r="D16" s="580" t="inlineStr">
        <is>
          <t>A</t>
        </is>
      </c>
      <c r="E16" s="590" t="n">
        <v>1</v>
      </c>
      <c r="F16" s="577" t="n">
        <v>1</v>
      </c>
      <c r="G16" s="577" t="n">
        <v>0</v>
      </c>
      <c r="H16" s="580" t="n"/>
      <c r="I16" s="577" t="n"/>
      <c r="J16" s="577" t="n">
        <v>10</v>
      </c>
      <c r="K16" s="577" t="n"/>
      <c r="L16" s="577" t="n"/>
      <c r="M16" s="592" t="inlineStr">
        <is>
          <t>M</t>
        </is>
      </c>
      <c r="N16" s="568" t="n"/>
    </row>
    <row r="17">
      <c r="B17" s="648" t="inlineStr">
        <is>
          <t>Draft</t>
        </is>
      </c>
      <c r="C17" s="594" t="inlineStr">
        <is>
          <t>RATING_DRAFT</t>
        </is>
      </c>
      <c r="D17" s="595" t="inlineStr">
        <is>
          <t>A</t>
        </is>
      </c>
      <c r="E17" s="596" t="n">
        <v>1</v>
      </c>
      <c r="F17" s="597" t="n">
        <v>1</v>
      </c>
      <c r="G17" s="597" t="n">
        <v>1</v>
      </c>
      <c r="H17" s="595" t="n"/>
      <c r="I17" s="597" t="n"/>
      <c r="J17" s="597" t="n">
        <v>11</v>
      </c>
      <c r="K17" s="597" t="n"/>
      <c r="L17" s="597" t="n"/>
      <c r="M17" s="599" t="inlineStr">
        <is>
          <t>M</t>
        </is>
      </c>
      <c r="N17" s="568" t="n"/>
    </row>
    <row r="18">
      <c r="B18" s="581" t="inlineStr">
        <is>
          <t>Target Price</t>
        </is>
      </c>
      <c r="C18" s="579" t="inlineStr">
        <is>
          <t>TARGETPRICE</t>
        </is>
      </c>
      <c r="D18" s="580" t="inlineStr">
        <is>
          <t>A</t>
        </is>
      </c>
      <c r="E18" s="590" t="n">
        <v>2</v>
      </c>
      <c r="F18" s="577" t="n">
        <v>2</v>
      </c>
      <c r="G18" s="577" t="n">
        <v>0</v>
      </c>
      <c r="H18" s="580" t="n"/>
      <c r="I18" s="577" t="n"/>
      <c r="J18" s="577" t="n">
        <v>20</v>
      </c>
      <c r="K18" s="577" t="n"/>
      <c r="L18" s="577" t="n"/>
      <c r="M18" s="592" t="n">
        <v>160</v>
      </c>
      <c r="N18" s="568" t="n"/>
    </row>
    <row r="19" ht="15" customHeight="1" thickBot="1">
      <c r="B19" s="648" t="inlineStr">
        <is>
          <t>Draft</t>
        </is>
      </c>
      <c r="C19" s="594" t="inlineStr">
        <is>
          <t>TARGETPRICE_DRAFT</t>
        </is>
      </c>
      <c r="D19" s="595" t="inlineStr">
        <is>
          <t>A</t>
        </is>
      </c>
      <c r="E19" s="596" t="n">
        <v>2</v>
      </c>
      <c r="F19" s="597" t="n">
        <v>2</v>
      </c>
      <c r="G19" s="597" t="n">
        <v>1</v>
      </c>
      <c r="H19" s="595" t="n"/>
      <c r="I19" s="597" t="n"/>
      <c r="J19" s="597" t="n">
        <v>21</v>
      </c>
      <c r="K19" s="597" t="n"/>
      <c r="L19" s="597" t="n"/>
      <c r="M19" s="599">
        <f>Valuation!B53</f>
        <v/>
      </c>
      <c r="N19" s="568" t="n"/>
    </row>
    <row r="20" ht="17" customHeight="1" thickBot="1" thickTop="1">
      <c r="B20" s="584" t="inlineStr">
        <is>
          <t>ESTIMATES - ANNUALS</t>
        </is>
      </c>
      <c r="C20" s="585" t="n">
        <v>103</v>
      </c>
      <c r="D20" s="585" t="n">
        <v>4</v>
      </c>
      <c r="E20" s="585" t="n"/>
      <c r="F20" s="585" t="n"/>
      <c r="G20" s="585" t="n"/>
      <c r="H20" s="585" t="n"/>
      <c r="I20" s="585" t="n"/>
      <c r="J20" s="585" t="n"/>
      <c r="K20" s="585" t="n"/>
      <c r="L20" s="585" t="n"/>
      <c r="M20" s="602" t="inlineStr">
        <is>
          <t>2021A</t>
        </is>
      </c>
      <c r="N20" s="603" t="inlineStr">
        <is>
          <t>2022E</t>
        </is>
      </c>
      <c r="O20" s="603" t="inlineStr">
        <is>
          <t>2023E</t>
        </is>
      </c>
      <c r="P20" s="585" t="inlineStr">
        <is>
          <t>2024E</t>
        </is>
      </c>
      <c r="Q20" s="589" t="n"/>
      <c r="R20" s="589" t="n"/>
    </row>
    <row r="21" hidden="1" ht="15" customFormat="1" customHeight="1" s="569" thickTop="1">
      <c r="B21" s="591" t="inlineStr">
        <is>
          <t>Year PeriodId</t>
        </is>
      </c>
      <c r="C21" s="604" t="n"/>
      <c r="D21" s="605" t="n"/>
      <c r="E21" s="590" t="n"/>
      <c r="F21" s="591" t="n"/>
      <c r="G21" s="591" t="n"/>
      <c r="H21" s="605" t="n"/>
      <c r="I21" s="577" t="n"/>
      <c r="J21" s="591" t="n"/>
      <c r="K21" s="591" t="n"/>
      <c r="L21" s="591" t="n"/>
      <c r="M21" s="606" t="n">
        <v>1</v>
      </c>
      <c r="N21" s="607" t="n">
        <v>2</v>
      </c>
      <c r="O21" s="607" t="n">
        <v>3</v>
      </c>
      <c r="P21" s="592" t="n">
        <v>4</v>
      </c>
      <c r="Q21" s="589" t="n"/>
      <c r="R21" s="589" t="n"/>
    </row>
    <row r="22" ht="15" customFormat="1" customHeight="1" s="569" thickTop="1">
      <c r="B22" s="608" t="inlineStr">
        <is>
          <t>EPS Reported</t>
        </is>
      </c>
      <c r="C22" s="604" t="inlineStr">
        <is>
          <t>EPSRPT</t>
        </is>
      </c>
      <c r="D22" s="605" t="inlineStr">
        <is>
          <t>E</t>
        </is>
      </c>
      <c r="E22" s="590" t="n">
        <v>3</v>
      </c>
      <c r="F22" s="591" t="n">
        <v>1</v>
      </c>
      <c r="G22" s="591" t="n">
        <v>0</v>
      </c>
      <c r="H22" s="605" t="n"/>
      <c r="I22" s="577" t="inlineStr">
        <is>
          <t>USD</t>
        </is>
      </c>
      <c r="J22" s="591" t="n">
        <v>30</v>
      </c>
      <c r="K22" s="591" t="n">
        <v>1</v>
      </c>
      <c r="L22" s="591" t="n"/>
      <c r="M22" s="606" t="n">
        <v>2.97</v>
      </c>
      <c r="N22" s="607" t="n">
        <v>6.1262</v>
      </c>
      <c r="O22" s="607" t="n">
        <v>6.8989</v>
      </c>
      <c r="P22" s="592" t="n"/>
      <c r="Q22" s="589" t="n"/>
      <c r="R22" s="589" t="n"/>
    </row>
    <row r="23" customFormat="1" s="569">
      <c r="B23" s="649" t="inlineStr">
        <is>
          <t>Draft</t>
        </is>
      </c>
      <c r="C23" s="610" t="inlineStr">
        <is>
          <t>EPSRPT_DRAFT</t>
        </is>
      </c>
      <c r="D23" s="611" t="inlineStr">
        <is>
          <t>E</t>
        </is>
      </c>
      <c r="E23" s="596" t="n">
        <v>3</v>
      </c>
      <c r="F23" s="598" t="n">
        <v>1</v>
      </c>
      <c r="G23" s="598" t="n">
        <v>1</v>
      </c>
      <c r="H23" s="611" t="n"/>
      <c r="I23" s="597" t="inlineStr">
        <is>
          <t>USD</t>
        </is>
      </c>
      <c r="J23" s="598" t="n">
        <v>31</v>
      </c>
      <c r="K23" s="598" t="n">
        <v>1</v>
      </c>
      <c r="L23" s="598" t="n"/>
      <c r="M23" s="612">
        <f>FS_Y!P30</f>
        <v/>
      </c>
      <c r="N23" s="612">
        <f>FS_Y!Q30</f>
        <v/>
      </c>
      <c r="O23" s="612">
        <f>FS_Y!R30</f>
        <v/>
      </c>
      <c r="P23" s="612">
        <f>FS_Y!S30</f>
        <v/>
      </c>
      <c r="Q23" s="589" t="n"/>
      <c r="R23" s="589" t="n"/>
    </row>
    <row r="24" customFormat="1" s="569">
      <c r="B24" s="591" t="inlineStr">
        <is>
          <t>EPS Adjusted</t>
        </is>
      </c>
      <c r="C24" s="604" t="inlineStr">
        <is>
          <t>EPSADJ</t>
        </is>
      </c>
      <c r="D24" s="605" t="inlineStr">
        <is>
          <t>E</t>
        </is>
      </c>
      <c r="E24" s="590" t="n">
        <v>4</v>
      </c>
      <c r="F24" s="591" t="n">
        <v>2</v>
      </c>
      <c r="G24" s="591" t="n">
        <v>0</v>
      </c>
      <c r="H24" s="605" t="n"/>
      <c r="I24" s="577" t="inlineStr">
        <is>
          <t>USD</t>
        </is>
      </c>
      <c r="J24" s="591" t="n">
        <v>40</v>
      </c>
      <c r="K24" s="591" t="n">
        <v>1</v>
      </c>
      <c r="L24" s="591" t="n"/>
      <c r="M24" s="606" t="n"/>
      <c r="N24" s="607" t="n"/>
      <c r="O24" s="607" t="n"/>
      <c r="P24" s="592" t="n"/>
      <c r="Q24" s="589" t="n"/>
      <c r="R24" s="589" t="n"/>
    </row>
    <row r="25" customFormat="1" s="569">
      <c r="B25" s="650" t="inlineStr">
        <is>
          <t>Draft</t>
        </is>
      </c>
      <c r="C25" s="610" t="inlineStr">
        <is>
          <t>EPSADJ_DRAFT</t>
        </is>
      </c>
      <c r="D25" s="611" t="inlineStr">
        <is>
          <t>E</t>
        </is>
      </c>
      <c r="E25" s="596" t="n">
        <v>4</v>
      </c>
      <c r="F25" s="598" t="n">
        <v>2</v>
      </c>
      <c r="G25" s="598" t="n">
        <v>1</v>
      </c>
      <c r="H25" s="611" t="n"/>
      <c r="I25" s="597" t="inlineStr">
        <is>
          <t>USD</t>
        </is>
      </c>
      <c r="J25" s="598" t="n">
        <v>41</v>
      </c>
      <c r="K25" s="598" t="n">
        <v>1</v>
      </c>
      <c r="L25" s="598" t="n"/>
      <c r="M25" s="612" t="n"/>
      <c r="N25" s="613" t="n"/>
      <c r="O25" s="613" t="n"/>
      <c r="P25" s="599" t="n"/>
      <c r="Q25" s="589" t="n"/>
      <c r="R25" s="589" t="n"/>
    </row>
    <row r="26" customFormat="1" s="569">
      <c r="B26" s="608" t="inlineStr">
        <is>
          <t>Revenues</t>
        </is>
      </c>
      <c r="C26" s="604" t="inlineStr">
        <is>
          <t>SALES</t>
        </is>
      </c>
      <c r="D26" s="605" t="inlineStr">
        <is>
          <t>E</t>
        </is>
      </c>
      <c r="E26" s="590" t="n">
        <v>5</v>
      </c>
      <c r="F26" s="591" t="n">
        <v>10</v>
      </c>
      <c r="G26" s="591" t="n">
        <v>0</v>
      </c>
      <c r="H26" s="605" t="n"/>
      <c r="I26" s="577" t="inlineStr">
        <is>
          <t>USD</t>
        </is>
      </c>
      <c r="J26" s="591" t="n">
        <v>50</v>
      </c>
      <c r="K26" s="591" t="n">
        <v>0</v>
      </c>
      <c r="L26" s="591" t="n"/>
      <c r="M26" s="606" t="n">
        <v>1200724</v>
      </c>
      <c r="N26" s="607" t="n">
        <v>1541012.227</v>
      </c>
      <c r="O26" s="607" t="n">
        <v>1625978.2753</v>
      </c>
      <c r="P26" s="592" t="n"/>
      <c r="Q26" s="589" t="n"/>
      <c r="R26" s="589" t="n"/>
    </row>
    <row r="27" customFormat="1" s="569">
      <c r="B27" s="649" t="inlineStr">
        <is>
          <t>Draft</t>
        </is>
      </c>
      <c r="C27" s="610" t="inlineStr">
        <is>
          <t>SALES_DRAFT</t>
        </is>
      </c>
      <c r="D27" s="611" t="inlineStr">
        <is>
          <t>E</t>
        </is>
      </c>
      <c r="E27" s="596" t="n">
        <v>5</v>
      </c>
      <c r="F27" s="598" t="n">
        <v>10</v>
      </c>
      <c r="G27" s="598" t="n">
        <v>1</v>
      </c>
      <c r="H27" s="611" t="n"/>
      <c r="I27" s="597" t="inlineStr">
        <is>
          <t>USD</t>
        </is>
      </c>
      <c r="J27" s="598" t="n">
        <v>51</v>
      </c>
      <c r="K27" s="598" t="n">
        <v>0</v>
      </c>
      <c r="L27" s="598" t="n"/>
      <c r="M27" s="612">
        <f>FS_Y!P11</f>
        <v/>
      </c>
      <c r="N27" s="612">
        <f>FS_Y!Q11</f>
        <v/>
      </c>
      <c r="O27" s="612">
        <f>FS_Y!R11</f>
        <v/>
      </c>
      <c r="P27" s="612">
        <f>FS_Y!S11</f>
        <v/>
      </c>
      <c r="Q27" s="589" t="n"/>
      <c r="R27" s="589" t="n"/>
    </row>
    <row r="28" customFormat="1" s="569">
      <c r="B28" s="591" t="inlineStr">
        <is>
          <t>Cost of Goods Sold</t>
        </is>
      </c>
      <c r="C28" s="604" t="inlineStr">
        <is>
          <t>COGS</t>
        </is>
      </c>
      <c r="D28" s="605" t="inlineStr">
        <is>
          <t>E</t>
        </is>
      </c>
      <c r="E28" s="590" t="n">
        <v>32</v>
      </c>
      <c r="F28" s="591" t="n">
        <v>11</v>
      </c>
      <c r="G28" s="591" t="n">
        <v>0</v>
      </c>
      <c r="H28" s="605" t="n"/>
      <c r="I28" s="577" t="inlineStr">
        <is>
          <t>USD</t>
        </is>
      </c>
      <c r="J28" s="591" t="n">
        <v>320</v>
      </c>
      <c r="K28" s="591" t="n">
        <v>0</v>
      </c>
      <c r="L28" s="591" t="n"/>
      <c r="M28" s="606" t="n">
        <v>661728</v>
      </c>
      <c r="N28" s="607" t="n">
        <v>784230.8408</v>
      </c>
      <c r="O28" s="607" t="n">
        <v>825315.387</v>
      </c>
      <c r="P28" s="592" t="n"/>
      <c r="Q28" s="589" t="n"/>
      <c r="R28" s="589" t="n"/>
    </row>
    <row r="29" customFormat="1" s="569">
      <c r="B29" s="650" t="inlineStr">
        <is>
          <t>Draft</t>
        </is>
      </c>
      <c r="C29" s="610" t="inlineStr">
        <is>
          <t>COGS_DRAFT</t>
        </is>
      </c>
      <c r="D29" s="611" t="inlineStr">
        <is>
          <t>E</t>
        </is>
      </c>
      <c r="E29" s="596" t="n">
        <v>32</v>
      </c>
      <c r="F29" s="598" t="n">
        <v>11</v>
      </c>
      <c r="G29" s="598" t="n">
        <v>1</v>
      </c>
      <c r="H29" s="611" t="n"/>
      <c r="I29" s="597" t="inlineStr">
        <is>
          <t>USD</t>
        </is>
      </c>
      <c r="J29" s="598" t="n">
        <v>321</v>
      </c>
      <c r="K29" s="598" t="n">
        <v>0</v>
      </c>
      <c r="L29" s="598" t="n"/>
      <c r="M29" s="612">
        <f>FS_Y!P12</f>
        <v/>
      </c>
      <c r="N29" s="612">
        <f>FS_Y!Q12</f>
        <v/>
      </c>
      <c r="O29" s="612">
        <f>FS_Y!R12</f>
        <v/>
      </c>
      <c r="P29" s="612">
        <f>FS_Y!S12</f>
        <v/>
      </c>
      <c r="Q29" s="589" t="n"/>
      <c r="R29" s="589" t="n"/>
    </row>
    <row r="30" customFormat="1" s="569">
      <c r="B30" s="591" t="inlineStr">
        <is>
          <t>Gross Profit</t>
        </is>
      </c>
      <c r="C30" s="604" t="inlineStr">
        <is>
          <t>GROSSPROFIT</t>
        </is>
      </c>
      <c r="D30" s="605" t="inlineStr">
        <is>
          <t>E</t>
        </is>
      </c>
      <c r="E30" s="590" t="n">
        <v>33</v>
      </c>
      <c r="F30" s="591" t="n">
        <v>12</v>
      </c>
      <c r="G30" s="591" t="n">
        <v>0</v>
      </c>
      <c r="H30" s="605" t="n"/>
      <c r="I30" s="577" t="inlineStr">
        <is>
          <t>USD</t>
        </is>
      </c>
      <c r="J30" s="591" t="n">
        <v>330</v>
      </c>
      <c r="K30" s="591" t="n">
        <v>0</v>
      </c>
      <c r="L30" s="591" t="n"/>
      <c r="M30" s="606" t="n">
        <v>538996</v>
      </c>
      <c r="N30" s="607" t="n">
        <v>756781.3861</v>
      </c>
      <c r="O30" s="607" t="n">
        <v>800662.8882</v>
      </c>
      <c r="P30" s="592" t="n"/>
      <c r="Q30" s="589" t="n"/>
      <c r="R30" s="589" t="n"/>
    </row>
    <row r="31" customFormat="1" s="569">
      <c r="B31" s="650" t="inlineStr">
        <is>
          <t>Draft</t>
        </is>
      </c>
      <c r="C31" s="610" t="inlineStr">
        <is>
          <t>GROSSPROFIT_DRAFT</t>
        </is>
      </c>
      <c r="D31" s="611" t="inlineStr">
        <is>
          <t>E</t>
        </is>
      </c>
      <c r="E31" s="596" t="n">
        <v>33</v>
      </c>
      <c r="F31" s="598" t="n">
        <v>12</v>
      </c>
      <c r="G31" s="598" t="n">
        <v>1</v>
      </c>
      <c r="H31" s="611" t="n"/>
      <c r="I31" s="597" t="inlineStr">
        <is>
          <t>USD</t>
        </is>
      </c>
      <c r="J31" s="598" t="n">
        <v>331</v>
      </c>
      <c r="K31" s="598" t="n">
        <v>0</v>
      </c>
      <c r="L31" s="598" t="n"/>
      <c r="M31" s="612">
        <f>FS_Y!P13</f>
        <v/>
      </c>
      <c r="N31" s="612">
        <f>FS_Y!Q13</f>
        <v/>
      </c>
      <c r="O31" s="612">
        <f>FS_Y!R13</f>
        <v/>
      </c>
      <c r="P31" s="612">
        <f>FS_Y!S13</f>
        <v/>
      </c>
      <c r="Q31" s="589" t="n"/>
      <c r="R31" s="589" t="n"/>
    </row>
    <row r="32" customFormat="1" s="569">
      <c r="B32" s="591" t="inlineStr">
        <is>
          <t>SG&amp;A</t>
        </is>
      </c>
      <c r="C32" s="604" t="inlineStr">
        <is>
          <t>SGA</t>
        </is>
      </c>
      <c r="D32" s="605" t="inlineStr">
        <is>
          <t>E</t>
        </is>
      </c>
      <c r="E32" s="590" t="n">
        <v>101</v>
      </c>
      <c r="F32" s="591" t="n">
        <v>14</v>
      </c>
      <c r="G32" s="591" t="n">
        <v>0</v>
      </c>
      <c r="H32" s="605" t="n"/>
      <c r="I32" s="577" t="inlineStr">
        <is>
          <t>USD</t>
        </is>
      </c>
      <c r="J32" s="591" t="n">
        <v>1010</v>
      </c>
      <c r="K32" s="591" t="n">
        <v>0</v>
      </c>
      <c r="L32" s="591" t="n"/>
      <c r="M32" s="606" t="n"/>
      <c r="N32" s="607" t="n"/>
      <c r="O32" s="607" t="n"/>
      <c r="P32" s="592" t="n"/>
      <c r="Q32" s="589" t="n"/>
      <c r="R32" s="589" t="n"/>
    </row>
    <row r="33" customFormat="1" s="569">
      <c r="B33" s="650" t="inlineStr">
        <is>
          <t>Draft</t>
        </is>
      </c>
      <c r="C33" s="610" t="inlineStr">
        <is>
          <t>SGA_DRAFT</t>
        </is>
      </c>
      <c r="D33" s="611" t="inlineStr">
        <is>
          <t>E</t>
        </is>
      </c>
      <c r="E33" s="596" t="n">
        <v>101</v>
      </c>
      <c r="F33" s="598" t="n">
        <v>14</v>
      </c>
      <c r="G33" s="598" t="n">
        <v>1</v>
      </c>
      <c r="H33" s="611" t="n"/>
      <c r="I33" s="597" t="inlineStr">
        <is>
          <t>USD</t>
        </is>
      </c>
      <c r="J33" s="598" t="n">
        <v>1011</v>
      </c>
      <c r="K33" s="598" t="n">
        <v>0</v>
      </c>
      <c r="L33" s="598" t="n"/>
      <c r="M33" s="612" t="n"/>
      <c r="N33" s="613" t="n"/>
      <c r="O33" s="613" t="n"/>
      <c r="P33" s="599" t="n"/>
      <c r="Q33" s="589" t="n"/>
      <c r="R33" s="589" t="n"/>
    </row>
    <row r="34" customFormat="1" s="569">
      <c r="B34" s="591" t="inlineStr">
        <is>
          <t>R&amp;D</t>
        </is>
      </c>
      <c r="C34" s="604" t="inlineStr">
        <is>
          <t>RD</t>
        </is>
      </c>
      <c r="D34" s="605" t="inlineStr">
        <is>
          <t>E</t>
        </is>
      </c>
      <c r="E34" s="590" t="n">
        <v>102</v>
      </c>
      <c r="F34" s="591" t="n">
        <v>15</v>
      </c>
      <c r="G34" s="591" t="n">
        <v>0</v>
      </c>
      <c r="H34" s="605" t="n"/>
      <c r="I34" s="577" t="inlineStr">
        <is>
          <t>USD</t>
        </is>
      </c>
      <c r="J34" s="591" t="n">
        <v>1020</v>
      </c>
      <c r="K34" s="591" t="n">
        <v>0</v>
      </c>
      <c r="L34" s="591" t="n"/>
      <c r="M34" s="606" t="n"/>
      <c r="N34" s="607" t="n"/>
      <c r="O34" s="607" t="n"/>
      <c r="P34" s="592" t="n"/>
      <c r="Q34" s="589" t="n"/>
      <c r="R34" s="589" t="n"/>
    </row>
    <row r="35" customFormat="1" s="569">
      <c r="B35" s="650" t="inlineStr">
        <is>
          <t>Draft</t>
        </is>
      </c>
      <c r="C35" s="610" t="inlineStr">
        <is>
          <t>RD_DRAFT</t>
        </is>
      </c>
      <c r="D35" s="611" t="inlineStr">
        <is>
          <t>E</t>
        </is>
      </c>
      <c r="E35" s="596" t="n">
        <v>102</v>
      </c>
      <c r="F35" s="598" t="n">
        <v>15</v>
      </c>
      <c r="G35" s="598" t="n">
        <v>1</v>
      </c>
      <c r="H35" s="611" t="n"/>
      <c r="I35" s="597" t="inlineStr">
        <is>
          <t>USD</t>
        </is>
      </c>
      <c r="J35" s="598" t="n">
        <v>1021</v>
      </c>
      <c r="K35" s="598" t="n">
        <v>0</v>
      </c>
      <c r="L35" s="598" t="n"/>
      <c r="M35" s="612" t="n"/>
      <c r="N35" s="613" t="n"/>
      <c r="O35" s="613" t="n"/>
      <c r="P35" s="599" t="n"/>
      <c r="Q35" s="589" t="n"/>
      <c r="R35" s="589" t="n"/>
    </row>
    <row r="36" customFormat="1" s="569">
      <c r="B36" s="608" t="inlineStr">
        <is>
          <t>EBITDA</t>
        </is>
      </c>
      <c r="C36" s="604" t="inlineStr">
        <is>
          <t>EBITDA</t>
        </is>
      </c>
      <c r="D36" s="605" t="inlineStr">
        <is>
          <t>E</t>
        </is>
      </c>
      <c r="E36" s="590" t="n">
        <v>7</v>
      </c>
      <c r="F36" s="591" t="n">
        <v>24</v>
      </c>
      <c r="G36" s="591" t="n">
        <v>0</v>
      </c>
      <c r="H36" s="605" t="n"/>
      <c r="I36" s="577" t="inlineStr">
        <is>
          <t>USD</t>
        </is>
      </c>
      <c r="J36" s="591" t="n">
        <v>70</v>
      </c>
      <c r="K36" s="591" t="n">
        <v>0</v>
      </c>
      <c r="L36" s="591" t="n"/>
      <c r="M36" s="606" t="n">
        <v>293213</v>
      </c>
      <c r="N36" s="607" t="n">
        <v>512703.2821</v>
      </c>
      <c r="O36" s="607" t="n">
        <v>565361.7463999999</v>
      </c>
      <c r="P36" s="592" t="n"/>
      <c r="Q36" s="589" t="n"/>
      <c r="R36" s="589" t="n"/>
    </row>
    <row r="37" customFormat="1" s="569">
      <c r="B37" s="649" t="inlineStr">
        <is>
          <t>Draft</t>
        </is>
      </c>
      <c r="C37" s="610" t="inlineStr">
        <is>
          <t>EBITDA_DRAFT</t>
        </is>
      </c>
      <c r="D37" s="611" t="inlineStr">
        <is>
          <t>E</t>
        </is>
      </c>
      <c r="E37" s="596" t="n">
        <v>7</v>
      </c>
      <c r="F37" s="598" t="n">
        <v>24</v>
      </c>
      <c r="G37" s="598" t="n">
        <v>1</v>
      </c>
      <c r="H37" s="611" t="n"/>
      <c r="I37" s="597" t="inlineStr">
        <is>
          <t>USD</t>
        </is>
      </c>
      <c r="J37" s="598" t="n">
        <v>71</v>
      </c>
      <c r="K37" s="598" t="n">
        <v>0</v>
      </c>
      <c r="L37" s="598" t="n"/>
      <c r="M37" s="612">
        <f>FS_Y!P137</f>
        <v/>
      </c>
      <c r="N37" s="612">
        <f>FS_Y!Q137</f>
        <v/>
      </c>
      <c r="O37" s="612">
        <f>FS_Y!R137</f>
        <v/>
      </c>
      <c r="P37" s="612">
        <f>FS_Y!S137</f>
        <v/>
      </c>
      <c r="Q37" s="589" t="n"/>
      <c r="R37" s="589" t="n"/>
    </row>
    <row r="38" customFormat="1" s="569">
      <c r="B38" s="591" t="inlineStr">
        <is>
          <t>EBIT</t>
        </is>
      </c>
      <c r="C38" s="604" t="inlineStr">
        <is>
          <t>EBIT</t>
        </is>
      </c>
      <c r="D38" s="605" t="inlineStr">
        <is>
          <t>E</t>
        </is>
      </c>
      <c r="E38" s="590" t="n">
        <v>6</v>
      </c>
      <c r="F38" s="591" t="n">
        <v>26</v>
      </c>
      <c r="G38" s="591" t="n">
        <v>0</v>
      </c>
      <c r="H38" s="605" t="n"/>
      <c r="I38" s="577" t="inlineStr">
        <is>
          <t>USD</t>
        </is>
      </c>
      <c r="J38" s="591" t="n">
        <v>60</v>
      </c>
      <c r="K38" s="591" t="n">
        <v>0</v>
      </c>
      <c r="L38" s="591" t="n"/>
      <c r="M38" s="606" t="n">
        <v>198659</v>
      </c>
      <c r="N38" s="607" t="n">
        <v>411503.5631</v>
      </c>
      <c r="O38" s="607" t="n">
        <v>460998.1976</v>
      </c>
      <c r="P38" s="592" t="n"/>
      <c r="Q38" s="589" t="n"/>
      <c r="R38" s="589" t="n"/>
    </row>
    <row r="39" customFormat="1" s="569">
      <c r="B39" s="650" t="inlineStr">
        <is>
          <t>Draft</t>
        </is>
      </c>
      <c r="C39" s="610" t="inlineStr">
        <is>
          <t>EBIT_DRAFT</t>
        </is>
      </c>
      <c r="D39" s="611" t="inlineStr">
        <is>
          <t>E</t>
        </is>
      </c>
      <c r="E39" s="596" t="n">
        <v>6</v>
      </c>
      <c r="F39" s="598" t="n">
        <v>26</v>
      </c>
      <c r="G39" s="598" t="n">
        <v>1</v>
      </c>
      <c r="H39" s="611" t="n"/>
      <c r="I39" s="597" t="inlineStr">
        <is>
          <t>USD</t>
        </is>
      </c>
      <c r="J39" s="598" t="n">
        <v>61</v>
      </c>
      <c r="K39" s="598" t="n">
        <v>0</v>
      </c>
      <c r="L39" s="598" t="n"/>
      <c r="M39" s="612">
        <f>FS_Y!P19</f>
        <v/>
      </c>
      <c r="N39" s="612">
        <f>FS_Y!Q19</f>
        <v/>
      </c>
      <c r="O39" s="612">
        <f>FS_Y!R19</f>
        <v/>
      </c>
      <c r="P39" s="612">
        <f>FS_Y!S19</f>
        <v/>
      </c>
      <c r="Q39" s="589" t="n"/>
      <c r="R39" s="589" t="n"/>
    </row>
    <row r="40" customFormat="1" s="569">
      <c r="B40" s="591" t="inlineStr">
        <is>
          <t>Pre-Tax Earnings</t>
        </is>
      </c>
      <c r="C40" s="604" t="inlineStr">
        <is>
          <t>EBT</t>
        </is>
      </c>
      <c r="D40" s="605" t="inlineStr">
        <is>
          <t>E</t>
        </is>
      </c>
      <c r="E40" s="590" t="n">
        <v>9</v>
      </c>
      <c r="F40" s="591" t="n">
        <v>27</v>
      </c>
      <c r="G40" s="591" t="n">
        <v>0</v>
      </c>
      <c r="H40" s="605" t="n"/>
      <c r="I40" s="577" t="inlineStr">
        <is>
          <t>USD</t>
        </is>
      </c>
      <c r="J40" s="591" t="n">
        <v>90</v>
      </c>
      <c r="K40" s="591" t="n">
        <v>0</v>
      </c>
      <c r="L40" s="591" t="n"/>
      <c r="M40" s="606" t="n">
        <v>205692</v>
      </c>
      <c r="N40" s="607" t="n">
        <v>426047.917</v>
      </c>
      <c r="O40" s="607" t="n">
        <v>479782.7249</v>
      </c>
      <c r="P40" s="592" t="n"/>
      <c r="Q40" s="589" t="n"/>
      <c r="R40" s="589" t="n"/>
    </row>
    <row r="41" customFormat="1" s="569">
      <c r="B41" s="650" t="inlineStr">
        <is>
          <t>Draft</t>
        </is>
      </c>
      <c r="C41" s="610" t="inlineStr">
        <is>
          <t>EBT_DRAFT</t>
        </is>
      </c>
      <c r="D41" s="611" t="inlineStr">
        <is>
          <t>E</t>
        </is>
      </c>
      <c r="E41" s="596" t="n">
        <v>9</v>
      </c>
      <c r="F41" s="598" t="n">
        <v>27</v>
      </c>
      <c r="G41" s="598" t="n">
        <v>1</v>
      </c>
      <c r="H41" s="611" t="n"/>
      <c r="I41" s="597" t="inlineStr">
        <is>
          <t>USD</t>
        </is>
      </c>
      <c r="J41" s="598" t="n">
        <v>91</v>
      </c>
      <c r="K41" s="598" t="n">
        <v>0</v>
      </c>
      <c r="L41" s="598" t="n"/>
      <c r="M41" s="612">
        <f>FS_Y!P23</f>
        <v/>
      </c>
      <c r="N41" s="612">
        <f>FS_Y!Q23</f>
        <v/>
      </c>
      <c r="O41" s="612">
        <f>FS_Y!R23</f>
        <v/>
      </c>
      <c r="P41" s="612">
        <f>FS_Y!S23</f>
        <v/>
      </c>
      <c r="Q41" s="589" t="n"/>
      <c r="R41" s="589" t="n"/>
    </row>
    <row r="42" customFormat="1" s="569">
      <c r="B42" s="591" t="inlineStr">
        <is>
          <t>Net Earnings</t>
        </is>
      </c>
      <c r="C42" s="604" t="inlineStr">
        <is>
          <t>NI</t>
        </is>
      </c>
      <c r="D42" s="605" t="inlineStr">
        <is>
          <t>E</t>
        </is>
      </c>
      <c r="E42" s="590" t="n">
        <v>10</v>
      </c>
      <c r="F42" s="591" t="n">
        <v>29</v>
      </c>
      <c r="G42" s="591" t="n">
        <v>0</v>
      </c>
      <c r="H42" s="605" t="n"/>
      <c r="I42" s="577" t="inlineStr">
        <is>
          <t>USD</t>
        </is>
      </c>
      <c r="J42" s="591" t="n">
        <v>100</v>
      </c>
      <c r="K42" s="591" t="n">
        <v>0</v>
      </c>
      <c r="L42" s="591" t="n"/>
      <c r="M42" s="606" t="n">
        <v>160338</v>
      </c>
      <c r="N42" s="607" t="n">
        <v>328056.8961</v>
      </c>
      <c r="O42" s="607" t="n">
        <v>369432.6982</v>
      </c>
      <c r="P42" s="592" t="n"/>
      <c r="Q42" s="589" t="n"/>
      <c r="R42" s="589" t="n"/>
    </row>
    <row r="43" customFormat="1" s="569">
      <c r="B43" s="650" t="inlineStr">
        <is>
          <t>Draft</t>
        </is>
      </c>
      <c r="C43" s="610" t="inlineStr">
        <is>
          <t>NI_DRAFT</t>
        </is>
      </c>
      <c r="D43" s="611" t="inlineStr">
        <is>
          <t>E</t>
        </is>
      </c>
      <c r="E43" s="596" t="n">
        <v>10</v>
      </c>
      <c r="F43" s="598" t="n">
        <v>29</v>
      </c>
      <c r="G43" s="598" t="n">
        <v>1</v>
      </c>
      <c r="H43" s="611" t="n"/>
      <c r="I43" s="597" t="inlineStr">
        <is>
          <t>USD</t>
        </is>
      </c>
      <c r="J43" s="598" t="n">
        <v>101</v>
      </c>
      <c r="K43" s="598" t="n">
        <v>0</v>
      </c>
      <c r="L43" s="598" t="n"/>
      <c r="M43" s="612">
        <f>FS_Y!P25</f>
        <v/>
      </c>
      <c r="N43" s="612">
        <f>FS_Y!Q25</f>
        <v/>
      </c>
      <c r="O43" s="612">
        <f>FS_Y!R25</f>
        <v/>
      </c>
      <c r="P43" s="612">
        <f>FS_Y!S25</f>
        <v/>
      </c>
      <c r="Q43" s="589" t="n"/>
      <c r="R43" s="589" t="n"/>
    </row>
    <row r="44" customFormat="1" s="569">
      <c r="B44" s="591" t="inlineStr">
        <is>
          <t>Distribution/Share</t>
        </is>
      </c>
      <c r="C44" s="604" t="inlineStr">
        <is>
          <t>DIST_PS</t>
        </is>
      </c>
      <c r="D44" s="605" t="inlineStr">
        <is>
          <t>E</t>
        </is>
      </c>
      <c r="E44" s="590" t="n">
        <v>106</v>
      </c>
      <c r="F44" s="591" t="n">
        <v>31</v>
      </c>
      <c r="G44" s="591" t="n">
        <v>0</v>
      </c>
      <c r="H44" s="605" t="n"/>
      <c r="I44" s="577" t="inlineStr">
        <is>
          <t>USD</t>
        </is>
      </c>
      <c r="J44" s="591" t="n">
        <v>1060</v>
      </c>
      <c r="K44" s="591" t="n">
        <v>1</v>
      </c>
      <c r="L44" s="591" t="n"/>
      <c r="M44" s="606" t="n"/>
      <c r="N44" s="607" t="n"/>
      <c r="O44" s="607" t="n"/>
      <c r="P44" s="592" t="n"/>
      <c r="Q44" s="589" t="n"/>
      <c r="R44" s="589" t="n"/>
    </row>
    <row r="45" customFormat="1" s="569">
      <c r="B45" s="650" t="inlineStr">
        <is>
          <t>Draft</t>
        </is>
      </c>
      <c r="C45" s="610" t="inlineStr">
        <is>
          <t>DIST_PS_DRAFT</t>
        </is>
      </c>
      <c r="D45" s="611" t="inlineStr">
        <is>
          <t>E</t>
        </is>
      </c>
      <c r="E45" s="596" t="n">
        <v>106</v>
      </c>
      <c r="F45" s="598" t="n">
        <v>31</v>
      </c>
      <c r="G45" s="598" t="n">
        <v>1</v>
      </c>
      <c r="H45" s="611" t="n"/>
      <c r="I45" s="597" t="inlineStr">
        <is>
          <t>USD</t>
        </is>
      </c>
      <c r="J45" s="598" t="n">
        <v>1061</v>
      </c>
      <c r="K45" s="598" t="n">
        <v>1</v>
      </c>
      <c r="L45" s="598" t="n"/>
      <c r="M45" s="612" t="n"/>
      <c r="N45" s="613" t="n"/>
      <c r="O45" s="613" t="n"/>
      <c r="P45" s="599" t="n"/>
      <c r="Q45" s="589" t="n"/>
      <c r="R45" s="589" t="n"/>
    </row>
    <row r="46" customFormat="1" s="569">
      <c r="B46" s="591" t="inlineStr">
        <is>
          <t>Fee Related Earnings/Share</t>
        </is>
      </c>
      <c r="C46" s="604" t="inlineStr">
        <is>
          <t>FEE_REL_EPS</t>
        </is>
      </c>
      <c r="D46" s="605" t="inlineStr">
        <is>
          <t>E</t>
        </is>
      </c>
      <c r="E46" s="590" t="n">
        <v>107</v>
      </c>
      <c r="F46" s="591" t="n">
        <v>32</v>
      </c>
      <c r="G46" s="591" t="n">
        <v>0</v>
      </c>
      <c r="H46" s="605" t="n"/>
      <c r="I46" s="577" t="inlineStr">
        <is>
          <t>USD</t>
        </is>
      </c>
      <c r="J46" s="591" t="n">
        <v>1070</v>
      </c>
      <c r="K46" s="591" t="n">
        <v>1</v>
      </c>
      <c r="L46" s="591" t="n"/>
      <c r="M46" s="606" t="n"/>
      <c r="N46" s="607" t="n"/>
      <c r="O46" s="607" t="n"/>
      <c r="P46" s="592" t="n"/>
      <c r="Q46" s="589" t="n"/>
      <c r="R46" s="589" t="n"/>
    </row>
    <row r="47" customFormat="1" s="569">
      <c r="B47" s="650" t="inlineStr">
        <is>
          <t>Draft</t>
        </is>
      </c>
      <c r="C47" s="610" t="inlineStr">
        <is>
          <t>FEE_REL_EPS_DRAFT</t>
        </is>
      </c>
      <c r="D47" s="611" t="inlineStr">
        <is>
          <t>E</t>
        </is>
      </c>
      <c r="E47" s="596" t="n">
        <v>107</v>
      </c>
      <c r="F47" s="598" t="n">
        <v>32</v>
      </c>
      <c r="G47" s="598" t="n">
        <v>1</v>
      </c>
      <c r="H47" s="611" t="n"/>
      <c r="I47" s="597" t="inlineStr">
        <is>
          <t>USD</t>
        </is>
      </c>
      <c r="J47" s="598" t="n">
        <v>1071</v>
      </c>
      <c r="K47" s="598" t="n">
        <v>1</v>
      </c>
      <c r="L47" s="598" t="n"/>
      <c r="M47" s="612" t="n"/>
      <c r="N47" s="613" t="n"/>
      <c r="O47" s="613" t="n"/>
      <c r="P47" s="599" t="n"/>
      <c r="Q47" s="589" t="n"/>
      <c r="R47" s="589" t="n"/>
    </row>
    <row r="48" customFormat="1" s="569">
      <c r="B48" s="591" t="inlineStr">
        <is>
          <t>Net Realized Performance Fee/Share</t>
        </is>
      </c>
      <c r="C48" s="604" t="inlineStr">
        <is>
          <t>NET_REAL_PERF_FEE_PS</t>
        </is>
      </c>
      <c r="D48" s="605" t="inlineStr">
        <is>
          <t>E</t>
        </is>
      </c>
      <c r="E48" s="590" t="n">
        <v>108</v>
      </c>
      <c r="F48" s="591" t="n">
        <v>33</v>
      </c>
      <c r="G48" s="591" t="n">
        <v>0</v>
      </c>
      <c r="H48" s="605" t="n"/>
      <c r="I48" s="577" t="inlineStr">
        <is>
          <t>USD</t>
        </is>
      </c>
      <c r="J48" s="591" t="n">
        <v>1080</v>
      </c>
      <c r="K48" s="591" t="n">
        <v>1</v>
      </c>
      <c r="L48" s="591" t="n"/>
      <c r="M48" s="606" t="n"/>
      <c r="N48" s="607" t="n"/>
      <c r="O48" s="607" t="n"/>
      <c r="P48" s="592" t="n"/>
      <c r="Q48" s="589" t="n"/>
      <c r="R48" s="589" t="n"/>
    </row>
    <row r="49" customFormat="1" s="569">
      <c r="B49" s="650" t="inlineStr">
        <is>
          <t>Draft</t>
        </is>
      </c>
      <c r="C49" s="610" t="inlineStr">
        <is>
          <t>NET_REAL_PERF_FEE_PS_DRAFT</t>
        </is>
      </c>
      <c r="D49" s="611" t="inlineStr">
        <is>
          <t>E</t>
        </is>
      </c>
      <c r="E49" s="596" t="n">
        <v>108</v>
      </c>
      <c r="F49" s="598" t="n">
        <v>33</v>
      </c>
      <c r="G49" s="598" t="n">
        <v>1</v>
      </c>
      <c r="H49" s="611" t="n"/>
      <c r="I49" s="597" t="inlineStr">
        <is>
          <t>USD</t>
        </is>
      </c>
      <c r="J49" s="598" t="n">
        <v>1081</v>
      </c>
      <c r="K49" s="598" t="n">
        <v>1</v>
      </c>
      <c r="L49" s="598" t="n"/>
      <c r="M49" s="612" t="n"/>
      <c r="N49" s="613" t="n"/>
      <c r="O49" s="613" t="n"/>
      <c r="P49" s="599" t="n"/>
      <c r="Q49" s="589" t="n"/>
      <c r="R49" s="589" t="n"/>
    </row>
    <row r="50" customFormat="1" s="569">
      <c r="B50" s="591" t="inlineStr">
        <is>
          <t>Economic Net Income/Share</t>
        </is>
      </c>
      <c r="C50" s="604" t="inlineStr">
        <is>
          <t>ECON_NET_INC_PS</t>
        </is>
      </c>
      <c r="D50" s="605" t="inlineStr">
        <is>
          <t>E</t>
        </is>
      </c>
      <c r="E50" s="590" t="n">
        <v>109</v>
      </c>
      <c r="F50" s="591" t="n">
        <v>34</v>
      </c>
      <c r="G50" s="591" t="n">
        <v>0</v>
      </c>
      <c r="H50" s="605" t="n"/>
      <c r="I50" s="577" t="inlineStr">
        <is>
          <t>USD</t>
        </is>
      </c>
      <c r="J50" s="591" t="n">
        <v>1090</v>
      </c>
      <c r="K50" s="591" t="n">
        <v>1</v>
      </c>
      <c r="L50" s="591" t="n"/>
      <c r="M50" s="606" t="n"/>
      <c r="N50" s="607" t="n"/>
      <c r="O50" s="607" t="n"/>
      <c r="P50" s="592" t="n"/>
      <c r="Q50" s="589" t="n"/>
      <c r="R50" s="589" t="n"/>
    </row>
    <row r="51" customFormat="1" s="569">
      <c r="B51" s="650" t="inlineStr">
        <is>
          <t>Draft</t>
        </is>
      </c>
      <c r="C51" s="610" t="inlineStr">
        <is>
          <t>ECON_NET_INC_PS_DRAFT</t>
        </is>
      </c>
      <c r="D51" s="611" t="inlineStr">
        <is>
          <t>E</t>
        </is>
      </c>
      <c r="E51" s="596" t="n">
        <v>109</v>
      </c>
      <c r="F51" s="598" t="n">
        <v>34</v>
      </c>
      <c r="G51" s="598" t="n">
        <v>1</v>
      </c>
      <c r="H51" s="611" t="n"/>
      <c r="I51" s="597" t="inlineStr">
        <is>
          <t>USD</t>
        </is>
      </c>
      <c r="J51" s="598" t="n">
        <v>1091</v>
      </c>
      <c r="K51" s="598" t="n">
        <v>1</v>
      </c>
      <c r="L51" s="598" t="n"/>
      <c r="M51" s="612" t="n"/>
      <c r="N51" s="613" t="n"/>
      <c r="O51" s="613" t="n"/>
      <c r="P51" s="599" t="n"/>
      <c r="Q51" s="589" t="n"/>
      <c r="R51" s="589" t="n"/>
    </row>
    <row r="52" customFormat="1" s="569">
      <c r="B52" s="591" t="inlineStr">
        <is>
          <t>Revenue/Share</t>
        </is>
      </c>
      <c r="C52" s="604" t="inlineStr">
        <is>
          <t>SALESPS</t>
        </is>
      </c>
      <c r="D52" s="605" t="inlineStr">
        <is>
          <t>E</t>
        </is>
      </c>
      <c r="E52" s="590" t="n">
        <v>21</v>
      </c>
      <c r="F52" s="591" t="n">
        <v>35</v>
      </c>
      <c r="G52" s="591" t="n">
        <v>0</v>
      </c>
      <c r="H52" s="605" t="n"/>
      <c r="I52" s="577" t="inlineStr">
        <is>
          <t>USD</t>
        </is>
      </c>
      <c r="J52" s="591" t="n">
        <v>210</v>
      </c>
      <c r="K52" s="591" t="n">
        <v>1</v>
      </c>
      <c r="L52" s="591" t="n"/>
      <c r="M52" s="606" t="n"/>
      <c r="N52" s="607" t="n"/>
      <c r="O52" s="607" t="n"/>
      <c r="P52" s="592" t="n"/>
      <c r="Q52" s="589" t="n"/>
      <c r="R52" s="589" t="n"/>
    </row>
    <row r="53" customFormat="1" s="569">
      <c r="B53" s="650" t="inlineStr">
        <is>
          <t>Draft</t>
        </is>
      </c>
      <c r="C53" s="610" t="inlineStr">
        <is>
          <t>SALESPS_DRAFT</t>
        </is>
      </c>
      <c r="D53" s="611" t="inlineStr">
        <is>
          <t>E</t>
        </is>
      </c>
      <c r="E53" s="596" t="n">
        <v>21</v>
      </c>
      <c r="F53" s="598" t="n">
        <v>35</v>
      </c>
      <c r="G53" s="598" t="n">
        <v>1</v>
      </c>
      <c r="H53" s="611" t="n"/>
      <c r="I53" s="597" t="inlineStr">
        <is>
          <t>USD</t>
        </is>
      </c>
      <c r="J53" s="598" t="n">
        <v>211</v>
      </c>
      <c r="K53" s="598" t="n">
        <v>1</v>
      </c>
      <c r="L53" s="598" t="n"/>
      <c r="M53" s="612" t="n"/>
      <c r="N53" s="613" t="n"/>
      <c r="O53" s="613" t="n"/>
      <c r="P53" s="599" t="n"/>
      <c r="Q53" s="589" t="n"/>
      <c r="R53" s="589" t="n"/>
    </row>
    <row r="54" customFormat="1" s="569">
      <c r="B54" s="591" t="inlineStr">
        <is>
          <t>Net Debt (Cash)</t>
        </is>
      </c>
      <c r="C54" s="604" t="inlineStr">
        <is>
          <t>NETDEBT_EST</t>
        </is>
      </c>
      <c r="D54" s="605" t="inlineStr">
        <is>
          <t>E</t>
        </is>
      </c>
      <c r="E54" s="590" t="n">
        <v>96</v>
      </c>
      <c r="F54" s="591" t="n">
        <v>37</v>
      </c>
      <c r="G54" s="591" t="n">
        <v>0</v>
      </c>
      <c r="H54" s="605" t="n"/>
      <c r="I54" s="577" t="inlineStr">
        <is>
          <t>USD</t>
        </is>
      </c>
      <c r="J54" s="591" t="n">
        <v>960</v>
      </c>
      <c r="K54" s="591" t="n">
        <v>0</v>
      </c>
      <c r="L54" s="591" t="n"/>
      <c r="M54" s="606" t="n">
        <v>-838264</v>
      </c>
      <c r="N54" s="607" t="n">
        <v>-1230279.7969</v>
      </c>
      <c r="O54" s="607" t="n">
        <v>-1435263.1661</v>
      </c>
      <c r="P54" s="592" t="n"/>
      <c r="Q54" s="589" t="n"/>
      <c r="R54" s="589" t="n"/>
    </row>
    <row r="55" customFormat="1" s="569">
      <c r="B55" s="650" t="inlineStr">
        <is>
          <t>Draft</t>
        </is>
      </c>
      <c r="C55" s="610" t="inlineStr">
        <is>
          <t>NETDEBT_EST_DRAFT</t>
        </is>
      </c>
      <c r="D55" s="611" t="inlineStr">
        <is>
          <t>E</t>
        </is>
      </c>
      <c r="E55" s="596" t="n">
        <v>96</v>
      </c>
      <c r="F55" s="598" t="n">
        <v>37</v>
      </c>
      <c r="G55" s="598" t="n">
        <v>1</v>
      </c>
      <c r="H55" s="611" t="n"/>
      <c r="I55" s="597" t="inlineStr">
        <is>
          <t>USD</t>
        </is>
      </c>
      <c r="J55" s="598" t="n">
        <v>961</v>
      </c>
      <c r="K55" s="598" t="n">
        <v>0</v>
      </c>
      <c r="L55" s="598" t="n"/>
      <c r="M55" s="612">
        <f>-FS_Y!P149</f>
        <v/>
      </c>
      <c r="N55" s="612">
        <f>-FS_Y!Q149</f>
        <v/>
      </c>
      <c r="O55" s="612">
        <f>-FS_Y!R149</f>
        <v/>
      </c>
      <c r="P55" s="612">
        <f>-FS_Y!S149</f>
        <v/>
      </c>
      <c r="Q55" s="589" t="n"/>
      <c r="R55" s="589" t="n"/>
    </row>
    <row r="56" customFormat="1" s="569">
      <c r="B56" s="591" t="inlineStr">
        <is>
          <t>BV/Share</t>
        </is>
      </c>
      <c r="C56" s="604" t="inlineStr">
        <is>
          <t>BVPS</t>
        </is>
      </c>
      <c r="D56" s="605" t="inlineStr">
        <is>
          <t>E</t>
        </is>
      </c>
      <c r="E56" s="590" t="n">
        <v>23</v>
      </c>
      <c r="F56" s="591" t="n">
        <v>41</v>
      </c>
      <c r="G56" s="591" t="n">
        <v>0</v>
      </c>
      <c r="H56" s="605" t="n"/>
      <c r="I56" s="577" t="inlineStr">
        <is>
          <t>USD</t>
        </is>
      </c>
      <c r="J56" s="591" t="n">
        <v>230</v>
      </c>
      <c r="K56" s="591" t="n">
        <v>1</v>
      </c>
      <c r="L56" s="591" t="n"/>
      <c r="M56" s="606" t="n">
        <v>48.7743</v>
      </c>
      <c r="N56" s="607" t="n">
        <v>58.6427</v>
      </c>
      <c r="O56" s="607" t="n">
        <v>65.5479</v>
      </c>
      <c r="P56" s="592" t="n"/>
      <c r="Q56" s="589" t="n"/>
      <c r="R56" s="589" t="n"/>
    </row>
    <row r="57" customFormat="1" s="569">
      <c r="B57" s="650" t="inlineStr">
        <is>
          <t>Draft</t>
        </is>
      </c>
      <c r="C57" s="610" t="inlineStr">
        <is>
          <t>BVPS_DRAFT</t>
        </is>
      </c>
      <c r="D57" s="611" t="inlineStr">
        <is>
          <t>E</t>
        </is>
      </c>
      <c r="E57" s="596" t="n">
        <v>23</v>
      </c>
      <c r="F57" s="598" t="n">
        <v>41</v>
      </c>
      <c r="G57" s="598" t="n">
        <v>1</v>
      </c>
      <c r="H57" s="611" t="n"/>
      <c r="I57" s="597" t="inlineStr">
        <is>
          <t>USD</t>
        </is>
      </c>
      <c r="J57" s="598" t="n">
        <v>231</v>
      </c>
      <c r="K57" s="598" t="n">
        <v>1</v>
      </c>
      <c r="L57" s="598" t="n"/>
      <c r="M57" s="612">
        <f>FS_Y!P181</f>
        <v/>
      </c>
      <c r="N57" s="612">
        <f>FS_Y!Q181</f>
        <v/>
      </c>
      <c r="O57" s="612">
        <f>FS_Y!R181</f>
        <v/>
      </c>
      <c r="P57" s="612">
        <f>FS_Y!S181</f>
        <v/>
      </c>
      <c r="Q57" s="589" t="n"/>
      <c r="R57" s="589" t="n"/>
    </row>
    <row r="58" customFormat="1" s="569">
      <c r="B58" s="591" t="inlineStr">
        <is>
          <t>TB/Share</t>
        </is>
      </c>
      <c r="C58" s="604" t="inlineStr">
        <is>
          <t>TBVPS</t>
        </is>
      </c>
      <c r="D58" s="605" t="inlineStr">
        <is>
          <t>E</t>
        </is>
      </c>
      <c r="E58" s="590" t="n">
        <v>24</v>
      </c>
      <c r="F58" s="591" t="n">
        <v>42</v>
      </c>
      <c r="G58" s="591" t="n">
        <v>0</v>
      </c>
      <c r="H58" s="605" t="n"/>
      <c r="I58" s="577" t="inlineStr">
        <is>
          <t>USD</t>
        </is>
      </c>
      <c r="J58" s="591" t="n">
        <v>240</v>
      </c>
      <c r="K58" s="591" t="n">
        <v>1</v>
      </c>
      <c r="L58" s="591" t="n"/>
      <c r="M58" s="606" t="n"/>
      <c r="N58" s="607" t="n"/>
      <c r="O58" s="607" t="n"/>
      <c r="P58" s="592" t="n"/>
      <c r="Q58" s="589" t="n"/>
      <c r="R58" s="589" t="n"/>
    </row>
    <row r="59" customFormat="1" s="569">
      <c r="B59" s="650" t="inlineStr">
        <is>
          <t>Draft</t>
        </is>
      </c>
      <c r="C59" s="610" t="inlineStr">
        <is>
          <t>TBVPS_DRAFT</t>
        </is>
      </c>
      <c r="D59" s="611" t="inlineStr">
        <is>
          <t>E</t>
        </is>
      </c>
      <c r="E59" s="596" t="n">
        <v>24</v>
      </c>
      <c r="F59" s="598" t="n">
        <v>42</v>
      </c>
      <c r="G59" s="598" t="n">
        <v>1</v>
      </c>
      <c r="H59" s="611" t="n"/>
      <c r="I59" s="597" t="inlineStr">
        <is>
          <t>USD</t>
        </is>
      </c>
      <c r="J59" s="598" t="n">
        <v>241</v>
      </c>
      <c r="K59" s="598" t="n">
        <v>1</v>
      </c>
      <c r="L59" s="598" t="n"/>
      <c r="M59" s="612" t="n"/>
      <c r="N59" s="613" t="n"/>
      <c r="O59" s="613" t="n"/>
      <c r="P59" s="599" t="n"/>
      <c r="Q59" s="589" t="n"/>
      <c r="R59" s="589" t="n"/>
    </row>
    <row r="60" customFormat="1" s="569">
      <c r="B60" s="591" t="inlineStr">
        <is>
          <t>CFO</t>
        </is>
      </c>
      <c r="C60" s="604" t="inlineStr">
        <is>
          <t>OCF</t>
        </is>
      </c>
      <c r="D60" s="605" t="inlineStr">
        <is>
          <t>E</t>
        </is>
      </c>
      <c r="E60" s="590" t="n">
        <v>11</v>
      </c>
      <c r="F60" s="591" t="n">
        <v>48</v>
      </c>
      <c r="G60" s="591" t="n">
        <v>0</v>
      </c>
      <c r="H60" s="605" t="n"/>
      <c r="I60" s="577" t="inlineStr">
        <is>
          <t>USD</t>
        </is>
      </c>
      <c r="J60" s="591" t="n">
        <v>110</v>
      </c>
      <c r="K60" s="591" t="n">
        <v>0</v>
      </c>
      <c r="L60" s="591" t="n"/>
      <c r="M60" s="606" t="n">
        <v>285335</v>
      </c>
      <c r="N60" s="607" t="n">
        <v>421196.0776</v>
      </c>
      <c r="O60" s="607" t="n">
        <v>411733.9802</v>
      </c>
      <c r="P60" s="592" t="n"/>
      <c r="Q60" s="589" t="n"/>
      <c r="R60" s="589" t="n"/>
    </row>
    <row r="61" customFormat="1" s="569">
      <c r="B61" s="650" t="inlineStr">
        <is>
          <t>Draft</t>
        </is>
      </c>
      <c r="C61" s="610" t="inlineStr">
        <is>
          <t>OCF_DRAFT</t>
        </is>
      </c>
      <c r="D61" s="611" t="inlineStr">
        <is>
          <t>E</t>
        </is>
      </c>
      <c r="E61" s="596" t="n">
        <v>11</v>
      </c>
      <c r="F61" s="598" t="n">
        <v>48</v>
      </c>
      <c r="G61" s="598" t="n">
        <v>1</v>
      </c>
      <c r="H61" s="611" t="n"/>
      <c r="I61" s="597" t="inlineStr">
        <is>
          <t>USD</t>
        </is>
      </c>
      <c r="J61" s="598" t="n">
        <v>111</v>
      </c>
      <c r="K61" s="598" t="n">
        <v>0</v>
      </c>
      <c r="L61" s="598" t="n"/>
      <c r="M61" s="612">
        <f>FS_Y!P102</f>
        <v/>
      </c>
      <c r="N61" s="612">
        <f>FS_Y!Q102</f>
        <v/>
      </c>
      <c r="O61" s="612">
        <f>FS_Y!R102</f>
        <v/>
      </c>
      <c r="P61" s="612">
        <f>FS_Y!S102</f>
        <v/>
      </c>
      <c r="Q61" s="589" t="n"/>
      <c r="R61" s="589" t="n"/>
    </row>
    <row r="62" customFormat="1" s="569">
      <c r="B62" s="591" t="inlineStr">
        <is>
          <t>CapEx</t>
        </is>
      </c>
      <c r="C62" s="604" t="inlineStr">
        <is>
          <t>CAPEX</t>
        </is>
      </c>
      <c r="D62" s="605" t="inlineStr">
        <is>
          <t>E</t>
        </is>
      </c>
      <c r="E62" s="590" t="n">
        <v>18</v>
      </c>
      <c r="F62" s="591" t="n">
        <v>49</v>
      </c>
      <c r="G62" s="591" t="n">
        <v>0</v>
      </c>
      <c r="H62" s="605" t="n"/>
      <c r="I62" s="577" t="inlineStr">
        <is>
          <t>USD</t>
        </is>
      </c>
      <c r="J62" s="591" t="n">
        <v>180</v>
      </c>
      <c r="K62" s="591" t="n">
        <v>0</v>
      </c>
      <c r="L62" s="591" t="n"/>
      <c r="M62" s="606" t="n">
        <v>86807</v>
      </c>
      <c r="N62" s="607" t="n">
        <v>123280.9781</v>
      </c>
      <c r="O62" s="607" t="n">
        <v>130078.262</v>
      </c>
      <c r="P62" s="592" t="n"/>
      <c r="Q62" s="589" t="n"/>
      <c r="R62" s="589" t="n"/>
    </row>
    <row r="63" customFormat="1" s="569">
      <c r="B63" s="650" t="inlineStr">
        <is>
          <t>Draft</t>
        </is>
      </c>
      <c r="C63" s="610" t="inlineStr">
        <is>
          <t>CAPEX_DRAFT</t>
        </is>
      </c>
      <c r="D63" s="611" t="inlineStr">
        <is>
          <t>E</t>
        </is>
      </c>
      <c r="E63" s="596" t="n">
        <v>18</v>
      </c>
      <c r="F63" s="598" t="n">
        <v>49</v>
      </c>
      <c r="G63" s="598" t="n">
        <v>1</v>
      </c>
      <c r="H63" s="611" t="n"/>
      <c r="I63" s="597" t="inlineStr">
        <is>
          <t>USD</t>
        </is>
      </c>
      <c r="J63" s="598" t="n">
        <v>181</v>
      </c>
      <c r="K63" s="598" t="n">
        <v>0</v>
      </c>
      <c r="L63" s="598" t="n"/>
      <c r="M63" s="612">
        <f>FS_Y!P158</f>
        <v/>
      </c>
      <c r="N63" s="612">
        <f>FS_Y!Q158</f>
        <v/>
      </c>
      <c r="O63" s="612">
        <f>FS_Y!R158</f>
        <v/>
      </c>
      <c r="P63" s="612">
        <f>FS_Y!S158</f>
        <v/>
      </c>
      <c r="Q63" s="589" t="n"/>
      <c r="R63" s="589" t="n"/>
    </row>
    <row r="64" customFormat="1" s="569">
      <c r="B64" s="591" t="inlineStr">
        <is>
          <t>FCF</t>
        </is>
      </c>
      <c r="C64" s="604" t="inlineStr">
        <is>
          <t>FCF</t>
        </is>
      </c>
      <c r="D64" s="605" t="inlineStr">
        <is>
          <t>E</t>
        </is>
      </c>
      <c r="E64" s="590" t="n">
        <v>12</v>
      </c>
      <c r="F64" s="591" t="n">
        <v>50</v>
      </c>
      <c r="G64" s="591" t="n">
        <v>0</v>
      </c>
      <c r="H64" s="605" t="n"/>
      <c r="I64" s="577" t="inlineStr">
        <is>
          <t>USD</t>
        </is>
      </c>
      <c r="J64" s="591" t="n">
        <v>120</v>
      </c>
      <c r="K64" s="591" t="n">
        <v>0</v>
      </c>
      <c r="L64" s="591" t="n"/>
      <c r="M64" s="606" t="n">
        <v>193045.7393</v>
      </c>
      <c r="N64" s="607" t="n">
        <v>286715.947</v>
      </c>
      <c r="O64" s="607" t="n">
        <v>267191.6321</v>
      </c>
      <c r="P64" s="592" t="n"/>
      <c r="Q64" s="589" t="n"/>
      <c r="R64" s="589" t="n"/>
    </row>
    <row r="65" customFormat="1" s="569">
      <c r="B65" s="650" t="inlineStr">
        <is>
          <t>Draft</t>
        </is>
      </c>
      <c r="C65" s="610" t="inlineStr">
        <is>
          <t>FCF_DRAFT</t>
        </is>
      </c>
      <c r="D65" s="611" t="inlineStr">
        <is>
          <t>E</t>
        </is>
      </c>
      <c r="E65" s="596" t="n">
        <v>12</v>
      </c>
      <c r="F65" s="598" t="n">
        <v>50</v>
      </c>
      <c r="G65" s="598" t="n">
        <v>1</v>
      </c>
      <c r="H65" s="611" t="n"/>
      <c r="I65" s="597" t="inlineStr">
        <is>
          <t>USD</t>
        </is>
      </c>
      <c r="J65" s="598" t="n">
        <v>121</v>
      </c>
      <c r="K65" s="598" t="n">
        <v>0</v>
      </c>
      <c r="L65" s="598" t="n"/>
      <c r="M65" s="612">
        <f>FS_Y!P173</f>
        <v/>
      </c>
      <c r="N65" s="612">
        <f>FS_Y!Q173</f>
        <v/>
      </c>
      <c r="O65" s="612">
        <f>FS_Y!R173</f>
        <v/>
      </c>
      <c r="P65" s="612">
        <f>FS_Y!S173</f>
        <v/>
      </c>
      <c r="Q65" s="589" t="n"/>
      <c r="R65" s="589" t="n"/>
    </row>
    <row r="66" customFormat="1" s="569">
      <c r="B66" s="591" t="inlineStr">
        <is>
          <t>CFO/Share</t>
        </is>
      </c>
      <c r="C66" s="604" t="inlineStr">
        <is>
          <t>OCFPS</t>
        </is>
      </c>
      <c r="D66" s="605" t="inlineStr">
        <is>
          <t>E</t>
        </is>
      </c>
      <c r="E66" s="590" t="n">
        <v>22</v>
      </c>
      <c r="F66" s="591" t="n">
        <v>52</v>
      </c>
      <c r="G66" s="591" t="n">
        <v>0</v>
      </c>
      <c r="H66" s="605" t="n"/>
      <c r="I66" s="577" t="inlineStr">
        <is>
          <t>USD</t>
        </is>
      </c>
      <c r="J66" s="591" t="n">
        <v>220</v>
      </c>
      <c r="K66" s="591" t="n">
        <v>1</v>
      </c>
      <c r="L66" s="591" t="n"/>
      <c r="M66" s="606" t="n"/>
      <c r="N66" s="607" t="n"/>
      <c r="O66" s="607" t="n"/>
      <c r="P66" s="592" t="n"/>
      <c r="Q66" s="589" t="n"/>
      <c r="R66" s="589" t="n"/>
    </row>
    <row r="67" customFormat="1" s="569">
      <c r="B67" s="650" t="inlineStr">
        <is>
          <t>Draft</t>
        </is>
      </c>
      <c r="C67" s="610" t="inlineStr">
        <is>
          <t>OCFPS_DRAFT</t>
        </is>
      </c>
      <c r="D67" s="611" t="inlineStr">
        <is>
          <t>E</t>
        </is>
      </c>
      <c r="E67" s="596" t="n">
        <v>22</v>
      </c>
      <c r="F67" s="598" t="n">
        <v>52</v>
      </c>
      <c r="G67" s="598" t="n">
        <v>1</v>
      </c>
      <c r="H67" s="611" t="n"/>
      <c r="I67" s="597" t="inlineStr">
        <is>
          <t>USD</t>
        </is>
      </c>
      <c r="J67" s="598" t="n">
        <v>221</v>
      </c>
      <c r="K67" s="598" t="n">
        <v>1</v>
      </c>
      <c r="L67" s="598" t="n"/>
      <c r="M67" s="612" t="n"/>
      <c r="N67" s="613" t="n"/>
      <c r="O67" s="613" t="n"/>
      <c r="P67" s="599" t="n"/>
      <c r="Q67" s="589" t="n"/>
      <c r="R67" s="589" t="n"/>
    </row>
    <row r="68" customFormat="1" s="569">
      <c r="B68" s="591" t="inlineStr">
        <is>
          <t>Dividend/Share</t>
        </is>
      </c>
      <c r="C68" s="604" t="inlineStr">
        <is>
          <t>DIVPS</t>
        </is>
      </c>
      <c r="D68" s="605" t="inlineStr">
        <is>
          <t>E</t>
        </is>
      </c>
      <c r="E68" s="590" t="n">
        <v>25</v>
      </c>
      <c r="F68" s="591" t="n">
        <v>53</v>
      </c>
      <c r="G68" s="591" t="n">
        <v>0</v>
      </c>
      <c r="H68" s="605" t="n"/>
      <c r="I68" s="577" t="inlineStr">
        <is>
          <t>USD</t>
        </is>
      </c>
      <c r="J68" s="591" t="n">
        <v>250</v>
      </c>
      <c r="K68" s="591" t="n">
        <v>1</v>
      </c>
      <c r="L68" s="591" t="n"/>
      <c r="M68" s="606" t="n"/>
      <c r="N68" s="607" t="n"/>
      <c r="O68" s="607" t="n"/>
      <c r="P68" s="592" t="n"/>
      <c r="Q68" s="589" t="n"/>
      <c r="R68" s="589" t="n"/>
    </row>
    <row r="69" customFormat="1" s="569">
      <c r="B69" s="650" t="inlineStr">
        <is>
          <t>Draft</t>
        </is>
      </c>
      <c r="C69" s="610" t="inlineStr">
        <is>
          <t>DIVPS_DRAFT</t>
        </is>
      </c>
      <c r="D69" s="611" t="inlineStr">
        <is>
          <t>E</t>
        </is>
      </c>
      <c r="E69" s="596" t="n">
        <v>25</v>
      </c>
      <c r="F69" s="598" t="n">
        <v>53</v>
      </c>
      <c r="G69" s="598" t="n">
        <v>1</v>
      </c>
      <c r="H69" s="611" t="n"/>
      <c r="I69" s="597" t="inlineStr">
        <is>
          <t>USD</t>
        </is>
      </c>
      <c r="J69" s="598" t="n">
        <v>251</v>
      </c>
      <c r="K69" s="598" t="n">
        <v>1</v>
      </c>
      <c r="L69" s="598" t="n"/>
      <c r="M69" s="612" t="n"/>
      <c r="N69" s="613" t="n"/>
      <c r="O69" s="613" t="n"/>
      <c r="P69" s="599" t="n"/>
      <c r="Q69" s="589" t="n"/>
      <c r="R69" s="589" t="n"/>
    </row>
    <row r="70" customFormat="1" s="569">
      <c r="B70" s="591" t="inlineStr">
        <is>
          <t>FCF/Share</t>
        </is>
      </c>
      <c r="C70" s="604" t="inlineStr">
        <is>
          <t>FCFPS</t>
        </is>
      </c>
      <c r="D70" s="605" t="inlineStr">
        <is>
          <t>E</t>
        </is>
      </c>
      <c r="E70" s="590" t="n">
        <v>26</v>
      </c>
      <c r="F70" s="591" t="n">
        <v>54</v>
      </c>
      <c r="G70" s="591" t="n">
        <v>0</v>
      </c>
      <c r="H70" s="605" t="n"/>
      <c r="I70" s="577" t="inlineStr">
        <is>
          <t>USD</t>
        </is>
      </c>
      <c r="J70" s="591" t="n">
        <v>260</v>
      </c>
      <c r="K70" s="591" t="n">
        <v>1</v>
      </c>
      <c r="L70" s="591" t="n"/>
      <c r="M70" s="606" t="n"/>
      <c r="N70" s="607" t="n"/>
      <c r="O70" s="607" t="n"/>
      <c r="P70" s="592" t="n"/>
      <c r="Q70" s="589" t="n"/>
      <c r="R70" s="589" t="n"/>
    </row>
    <row r="71" customFormat="1" s="569">
      <c r="B71" s="650" t="inlineStr">
        <is>
          <t>Draft</t>
        </is>
      </c>
      <c r="C71" s="610" t="inlineStr">
        <is>
          <t>FCFPS_DRAFT</t>
        </is>
      </c>
      <c r="D71" s="611" t="inlineStr">
        <is>
          <t>E</t>
        </is>
      </c>
      <c r="E71" s="596" t="n">
        <v>26</v>
      </c>
      <c r="F71" s="598" t="n">
        <v>54</v>
      </c>
      <c r="G71" s="598" t="n">
        <v>1</v>
      </c>
      <c r="H71" s="611" t="n"/>
      <c r="I71" s="597" t="inlineStr">
        <is>
          <t>USD</t>
        </is>
      </c>
      <c r="J71" s="598" t="n">
        <v>261</v>
      </c>
      <c r="K71" s="598" t="n">
        <v>1</v>
      </c>
      <c r="L71" s="598" t="n"/>
      <c r="M71" s="612" t="n"/>
      <c r="N71" s="613" t="n"/>
      <c r="O71" s="613" t="n"/>
      <c r="P71" s="599" t="n"/>
      <c r="Q71" s="589" t="n"/>
      <c r="R71" s="589" t="n"/>
    </row>
    <row r="72" customFormat="1" s="569">
      <c r="B72" s="608" t="inlineStr">
        <is>
          <t>Gross Margin (%)</t>
        </is>
      </c>
      <c r="C72" s="604" t="inlineStr">
        <is>
          <t>GM</t>
        </is>
      </c>
      <c r="D72" s="605" t="inlineStr">
        <is>
          <t>E</t>
        </is>
      </c>
      <c r="E72" s="590" t="n">
        <v>42</v>
      </c>
      <c r="F72" s="591" t="n">
        <v>55</v>
      </c>
      <c r="G72" s="591" t="n">
        <v>0</v>
      </c>
      <c r="H72" s="605" t="n"/>
      <c r="I72" s="577" t="inlineStr">
        <is>
          <t>USD</t>
        </is>
      </c>
      <c r="J72" s="591" t="n">
        <v>420</v>
      </c>
      <c r="K72" s="591" t="n">
        <v>0</v>
      </c>
      <c r="L72" s="591" t="inlineStr">
        <is>
          <t>%</t>
        </is>
      </c>
      <c r="M72" s="651" t="n">
        <v>0.448892</v>
      </c>
      <c r="N72" s="652" t="n">
        <v>0.491093</v>
      </c>
      <c r="O72" s="652" t="n">
        <v>0.492419</v>
      </c>
      <c r="P72" s="653" t="n"/>
      <c r="Q72" s="589" t="n"/>
      <c r="R72" s="589" t="n"/>
    </row>
    <row r="73" customFormat="1" s="569">
      <c r="B73" s="649" t="inlineStr">
        <is>
          <t>Draft</t>
        </is>
      </c>
      <c r="C73" s="610" t="inlineStr">
        <is>
          <t>GM_DRAFT</t>
        </is>
      </c>
      <c r="D73" s="611" t="inlineStr">
        <is>
          <t>E</t>
        </is>
      </c>
      <c r="E73" s="596" t="n">
        <v>42</v>
      </c>
      <c r="F73" s="598" t="n">
        <v>55</v>
      </c>
      <c r="G73" s="598" t="n">
        <v>1</v>
      </c>
      <c r="H73" s="611" t="n"/>
      <c r="I73" s="597" t="inlineStr">
        <is>
          <t>USD</t>
        </is>
      </c>
      <c r="J73" s="598" t="n">
        <v>421</v>
      </c>
      <c r="K73" s="598" t="n">
        <v>0</v>
      </c>
      <c r="L73" s="598" t="inlineStr">
        <is>
          <t>%</t>
        </is>
      </c>
      <c r="M73" s="640">
        <f>Summary!O23</f>
        <v/>
      </c>
      <c r="N73" s="640">
        <f>Summary!P23</f>
        <v/>
      </c>
      <c r="O73" s="640">
        <f>Summary!Q23</f>
        <v/>
      </c>
      <c r="P73" s="640">
        <f>Summary!R23</f>
        <v/>
      </c>
      <c r="Q73" s="589" t="n"/>
      <c r="R73" s="589" t="n"/>
    </row>
    <row r="74" customFormat="1" s="569">
      <c r="B74" s="591" t="inlineStr">
        <is>
          <t>EBITDA Margin (%)</t>
        </is>
      </c>
      <c r="C74" s="604" t="inlineStr">
        <is>
          <t>EBITDAMARGIN</t>
        </is>
      </c>
      <c r="D74" s="605" t="inlineStr">
        <is>
          <t>E</t>
        </is>
      </c>
      <c r="E74" s="590" t="n">
        <v>43</v>
      </c>
      <c r="F74" s="591" t="n">
        <v>56</v>
      </c>
      <c r="G74" s="591" t="n">
        <v>0</v>
      </c>
      <c r="H74" s="605" t="n"/>
      <c r="I74" s="577" t="inlineStr">
        <is>
          <t>USD</t>
        </is>
      </c>
      <c r="J74" s="591" t="n">
        <v>430</v>
      </c>
      <c r="K74" s="591" t="n">
        <v>0</v>
      </c>
      <c r="L74" s="591" t="inlineStr">
        <is>
          <t>%</t>
        </is>
      </c>
      <c r="M74" s="651" t="n"/>
      <c r="N74" s="652" t="n"/>
      <c r="O74" s="652" t="n"/>
      <c r="P74" s="653" t="n"/>
      <c r="Q74" s="589" t="n"/>
      <c r="R74" s="589" t="n"/>
    </row>
    <row r="75" customFormat="1" s="569">
      <c r="B75" s="650" t="inlineStr">
        <is>
          <t>Draft</t>
        </is>
      </c>
      <c r="C75" s="610" t="inlineStr">
        <is>
          <t>EBITDAMARGIN_DRAFT</t>
        </is>
      </c>
      <c r="D75" s="611" t="inlineStr">
        <is>
          <t>E</t>
        </is>
      </c>
      <c r="E75" s="596" t="n">
        <v>43</v>
      </c>
      <c r="F75" s="598" t="n">
        <v>56</v>
      </c>
      <c r="G75" s="598" t="n">
        <v>1</v>
      </c>
      <c r="H75" s="611" t="n"/>
      <c r="I75" s="597" t="inlineStr">
        <is>
          <t>USD</t>
        </is>
      </c>
      <c r="J75" s="598" t="n">
        <v>431</v>
      </c>
      <c r="K75" s="598" t="n">
        <v>0</v>
      </c>
      <c r="L75" s="598" t="inlineStr">
        <is>
          <t>%</t>
        </is>
      </c>
      <c r="M75" s="640" t="n"/>
      <c r="N75" s="654" t="n"/>
      <c r="O75" s="654" t="n"/>
      <c r="P75" s="637" t="n"/>
      <c r="Q75" s="589" t="n"/>
      <c r="R75" s="589" t="n"/>
    </row>
    <row r="76" customFormat="1" s="569">
      <c r="B76" s="608" t="inlineStr">
        <is>
          <t>Operating Margin (%)</t>
        </is>
      </c>
      <c r="C76" s="604" t="inlineStr">
        <is>
          <t>OM</t>
        </is>
      </c>
      <c r="D76" s="605" t="inlineStr">
        <is>
          <t>E</t>
        </is>
      </c>
      <c r="E76" s="590" t="n">
        <v>44</v>
      </c>
      <c r="F76" s="591" t="n">
        <v>57</v>
      </c>
      <c r="G76" s="591" t="n">
        <v>0</v>
      </c>
      <c r="H76" s="605" t="n"/>
      <c r="I76" s="577" t="inlineStr">
        <is>
          <t>USD</t>
        </is>
      </c>
      <c r="J76" s="591" t="n">
        <v>440</v>
      </c>
      <c r="K76" s="591" t="n">
        <v>0</v>
      </c>
      <c r="L76" s="591" t="inlineStr">
        <is>
          <t>%</t>
        </is>
      </c>
      <c r="M76" s="651" t="n">
        <v>0.165449</v>
      </c>
      <c r="N76" s="652" t="n">
        <v>0.267034</v>
      </c>
      <c r="O76" s="652" t="n">
        <v>0.28352</v>
      </c>
      <c r="P76" s="653" t="n"/>
      <c r="Q76" s="589" t="n"/>
      <c r="R76" s="589" t="n"/>
    </row>
    <row r="77" customFormat="1" s="569">
      <c r="B77" s="649" t="inlineStr">
        <is>
          <t>Draft</t>
        </is>
      </c>
      <c r="C77" s="610" t="inlineStr">
        <is>
          <t>OM_DRAFT</t>
        </is>
      </c>
      <c r="D77" s="611" t="inlineStr">
        <is>
          <t>E</t>
        </is>
      </c>
      <c r="E77" s="596" t="n">
        <v>44</v>
      </c>
      <c r="F77" s="598" t="n">
        <v>57</v>
      </c>
      <c r="G77" s="598" t="n">
        <v>1</v>
      </c>
      <c r="H77" s="611" t="n"/>
      <c r="I77" s="597" t="inlineStr">
        <is>
          <t>USD</t>
        </is>
      </c>
      <c r="J77" s="598" t="n">
        <v>441</v>
      </c>
      <c r="K77" s="598" t="n">
        <v>0</v>
      </c>
      <c r="L77" s="598" t="inlineStr">
        <is>
          <t>%</t>
        </is>
      </c>
      <c r="M77" s="640">
        <f>Summary!O24</f>
        <v/>
      </c>
      <c r="N77" s="640">
        <f>Summary!P24</f>
        <v/>
      </c>
      <c r="O77" s="640">
        <f>Summary!Q24</f>
        <v/>
      </c>
      <c r="P77" s="640">
        <f>Summary!R24</f>
        <v/>
      </c>
      <c r="Q77" s="589" t="n"/>
      <c r="R77" s="589" t="n"/>
    </row>
    <row r="78" customFormat="1" s="569">
      <c r="B78" s="608" t="inlineStr">
        <is>
          <t>Net Income Margin (%)</t>
        </is>
      </c>
      <c r="C78" s="604" t="inlineStr">
        <is>
          <t>NETMARGIN</t>
        </is>
      </c>
      <c r="D78" s="605" t="inlineStr">
        <is>
          <t>E</t>
        </is>
      </c>
      <c r="E78" s="590" t="n">
        <v>45</v>
      </c>
      <c r="F78" s="591" t="n">
        <v>63</v>
      </c>
      <c r="G78" s="591" t="n">
        <v>0</v>
      </c>
      <c r="H78" s="605" t="n"/>
      <c r="I78" s="577" t="inlineStr">
        <is>
          <t>USD</t>
        </is>
      </c>
      <c r="J78" s="591" t="n">
        <v>450</v>
      </c>
      <c r="K78" s="591" t="n">
        <v>0</v>
      </c>
      <c r="L78" s="591" t="inlineStr">
        <is>
          <t>%</t>
        </is>
      </c>
      <c r="M78" s="651" t="n">
        <v>0.132896</v>
      </c>
      <c r="N78" s="652" t="n">
        <v>0.214887</v>
      </c>
      <c r="O78" s="652" t="n">
        <v>0.229344</v>
      </c>
      <c r="P78" s="653" t="n"/>
      <c r="Q78" s="589" t="n"/>
      <c r="R78" s="589" t="n"/>
    </row>
    <row r="79" customFormat="1" s="569">
      <c r="B79" s="649" t="inlineStr">
        <is>
          <t>Draft</t>
        </is>
      </c>
      <c r="C79" s="610" t="inlineStr">
        <is>
          <t>NETMARGIN_DRAFT</t>
        </is>
      </c>
      <c r="D79" s="611" t="inlineStr">
        <is>
          <t>E</t>
        </is>
      </c>
      <c r="E79" s="596" t="n">
        <v>45</v>
      </c>
      <c r="F79" s="598" t="n">
        <v>63</v>
      </c>
      <c r="G79" s="598" t="n">
        <v>1</v>
      </c>
      <c r="H79" s="611" t="n"/>
      <c r="I79" s="597" t="inlineStr">
        <is>
          <t>USD</t>
        </is>
      </c>
      <c r="J79" s="598" t="n">
        <v>451</v>
      </c>
      <c r="K79" s="598" t="n">
        <v>0</v>
      </c>
      <c r="L79" s="598" t="inlineStr">
        <is>
          <t>%</t>
        </is>
      </c>
      <c r="M79" s="640">
        <f>Summary!O25</f>
        <v/>
      </c>
      <c r="N79" s="640">
        <f>Summary!P25</f>
        <v/>
      </c>
      <c r="O79" s="640">
        <f>Summary!Q25</f>
        <v/>
      </c>
      <c r="P79" s="640">
        <f>Summary!R25</f>
        <v/>
      </c>
      <c r="Q79" s="589" t="n"/>
      <c r="R79" s="589" t="n"/>
    </row>
    <row r="80" customFormat="1" s="569">
      <c r="B80" s="608" t="inlineStr">
        <is>
          <t>ROIC (%)</t>
        </is>
      </c>
      <c r="C80" s="604" t="inlineStr">
        <is>
          <t>ROIC</t>
        </is>
      </c>
      <c r="D80" s="605" t="inlineStr">
        <is>
          <t>E</t>
        </is>
      </c>
      <c r="E80" s="590" t="n">
        <v>15</v>
      </c>
      <c r="F80" s="591" t="n">
        <v>65</v>
      </c>
      <c r="G80" s="591" t="n">
        <v>0</v>
      </c>
      <c r="H80" s="605" t="n"/>
      <c r="I80" s="577" t="inlineStr">
        <is>
          <t>USD</t>
        </is>
      </c>
      <c r="J80" s="591" t="n">
        <v>150</v>
      </c>
      <c r="K80" s="591" t="n">
        <v>0</v>
      </c>
      <c r="L80" s="591" t="inlineStr">
        <is>
          <t>%</t>
        </is>
      </c>
      <c r="M80" s="651" t="n">
        <v>0.213609</v>
      </c>
      <c r="N80" s="652" t="n">
        <v>0.239669</v>
      </c>
      <c r="O80" s="652" t="n"/>
      <c r="P80" s="653" t="n"/>
      <c r="Q80" s="589" t="n"/>
      <c r="R80" s="589" t="n"/>
    </row>
    <row r="81" customFormat="1" s="569">
      <c r="B81" s="649" t="inlineStr">
        <is>
          <t>Draft</t>
        </is>
      </c>
      <c r="C81" s="610" t="inlineStr">
        <is>
          <t>ROIC_DRAFT</t>
        </is>
      </c>
      <c r="D81" s="611" t="inlineStr">
        <is>
          <t>E</t>
        </is>
      </c>
      <c r="E81" s="596" t="n">
        <v>15</v>
      </c>
      <c r="F81" s="598" t="n">
        <v>65</v>
      </c>
      <c r="G81" s="598" t="n">
        <v>1</v>
      </c>
      <c r="H81" s="611" t="n"/>
      <c r="I81" s="597" t="inlineStr">
        <is>
          <t>USD</t>
        </is>
      </c>
      <c r="J81" s="598" t="n">
        <v>151</v>
      </c>
      <c r="K81" s="598" t="n">
        <v>0</v>
      </c>
      <c r="L81" s="598" t="inlineStr">
        <is>
          <t>%</t>
        </is>
      </c>
      <c r="M81" s="640" t="n"/>
      <c r="N81" s="654" t="n"/>
      <c r="O81" s="654" t="n"/>
      <c r="P81" s="637" t="n"/>
      <c r="Q81" s="589" t="n"/>
      <c r="R81" s="589" t="n"/>
    </row>
    <row r="82" customFormat="1" s="569">
      <c r="B82" s="608" t="inlineStr">
        <is>
          <t>ROE (%)</t>
        </is>
      </c>
      <c r="C82" s="604" t="inlineStr">
        <is>
          <t>ROE</t>
        </is>
      </c>
      <c r="D82" s="605" t="inlineStr">
        <is>
          <t>E</t>
        </is>
      </c>
      <c r="E82" s="590" t="n">
        <v>16</v>
      </c>
      <c r="F82" s="591" t="n">
        <v>69</v>
      </c>
      <c r="G82" s="591" t="n">
        <v>0</v>
      </c>
      <c r="H82" s="605" t="n"/>
      <c r="I82" s="577" t="inlineStr">
        <is>
          <t>USD</t>
        </is>
      </c>
      <c r="J82" s="591" t="n">
        <v>160</v>
      </c>
      <c r="K82" s="591" t="n">
        <v>0</v>
      </c>
      <c r="L82" s="591" t="inlineStr">
        <is>
          <t>%</t>
        </is>
      </c>
      <c r="M82" s="651" t="n">
        <v>0.064179</v>
      </c>
      <c r="N82" s="652" t="n">
        <v>0.110329</v>
      </c>
      <c r="O82" s="652" t="n">
        <v>0.111202</v>
      </c>
      <c r="P82" s="653" t="n"/>
      <c r="Q82" s="589" t="n"/>
      <c r="R82" s="589" t="n"/>
    </row>
    <row r="83" customFormat="1" s="569">
      <c r="B83" s="649" t="inlineStr">
        <is>
          <t>Draft</t>
        </is>
      </c>
      <c r="C83" s="610" t="inlineStr">
        <is>
          <t>ROE_DRAFT</t>
        </is>
      </c>
      <c r="D83" s="611" t="inlineStr">
        <is>
          <t>E</t>
        </is>
      </c>
      <c r="E83" s="596" t="n">
        <v>16</v>
      </c>
      <c r="F83" s="598" t="n">
        <v>69</v>
      </c>
      <c r="G83" s="598" t="n">
        <v>1</v>
      </c>
      <c r="H83" s="611" t="n"/>
      <c r="I83" s="597" t="inlineStr">
        <is>
          <t>USD</t>
        </is>
      </c>
      <c r="J83" s="598" t="n">
        <v>161</v>
      </c>
      <c r="K83" s="598" t="n">
        <v>0</v>
      </c>
      <c r="L83" s="598" t="inlineStr">
        <is>
          <t>%</t>
        </is>
      </c>
      <c r="M83" s="640">
        <f>Summary!O22</f>
        <v/>
      </c>
      <c r="N83" s="654">
        <f>Summary!P22</f>
        <v/>
      </c>
      <c r="O83" s="654">
        <f>Summary!Q22</f>
        <v/>
      </c>
      <c r="P83" s="640">
        <f>Summary!R22</f>
        <v/>
      </c>
      <c r="Q83" s="589" t="n"/>
      <c r="R83" s="589" t="n"/>
    </row>
    <row r="84" customFormat="1" s="569">
      <c r="B84" s="591" t="inlineStr">
        <is>
          <t>EPS Growth (%)</t>
        </is>
      </c>
      <c r="C84" s="604" t="inlineStr">
        <is>
          <t>EPSGROWTH</t>
        </is>
      </c>
      <c r="D84" s="605" t="inlineStr">
        <is>
          <t>E</t>
        </is>
      </c>
      <c r="E84" s="590" t="n">
        <v>27</v>
      </c>
      <c r="F84" s="591" t="n">
        <v>75</v>
      </c>
      <c r="G84" s="591" t="n">
        <v>0</v>
      </c>
      <c r="H84" s="605" t="n"/>
      <c r="I84" s="577" t="inlineStr">
        <is>
          <t>USD</t>
        </is>
      </c>
      <c r="J84" s="591" t="n">
        <v>270</v>
      </c>
      <c r="K84" s="591" t="n">
        <v>1</v>
      </c>
      <c r="L84" s="591" t="inlineStr">
        <is>
          <t>%</t>
        </is>
      </c>
      <c r="M84" s="651" t="n"/>
      <c r="N84" s="652" t="n"/>
      <c r="O84" s="652" t="n"/>
      <c r="P84" s="653" t="n"/>
      <c r="Q84" s="589" t="n"/>
      <c r="R84" s="589" t="n"/>
    </row>
    <row r="85" customFormat="1" s="569">
      <c r="B85" s="650" t="inlineStr">
        <is>
          <t>Draft</t>
        </is>
      </c>
      <c r="C85" s="610" t="inlineStr">
        <is>
          <t>EPSGROWTH_DRAFT</t>
        </is>
      </c>
      <c r="D85" s="611" t="inlineStr">
        <is>
          <t>E</t>
        </is>
      </c>
      <c r="E85" s="596" t="n">
        <v>27</v>
      </c>
      <c r="F85" s="598" t="n">
        <v>75</v>
      </c>
      <c r="G85" s="598" t="n">
        <v>1</v>
      </c>
      <c r="H85" s="611" t="n"/>
      <c r="I85" s="597" t="inlineStr">
        <is>
          <t>USD</t>
        </is>
      </c>
      <c r="J85" s="598" t="n">
        <v>271</v>
      </c>
      <c r="K85" s="598" t="n">
        <v>1</v>
      </c>
      <c r="L85" s="598" t="inlineStr">
        <is>
          <t>%</t>
        </is>
      </c>
      <c r="M85" s="640" t="n"/>
      <c r="N85" s="654" t="n"/>
      <c r="O85" s="654" t="n"/>
      <c r="P85" s="637" t="n"/>
      <c r="Q85" s="589" t="n"/>
      <c r="R85" s="589" t="n"/>
    </row>
    <row r="86" customFormat="1" s="569">
      <c r="B86" s="591" t="inlineStr">
        <is>
          <t>Net Debt/EBITDA (x)</t>
        </is>
      </c>
      <c r="C86" s="604" t="inlineStr">
        <is>
          <t>NETDEBTEBITDA</t>
        </is>
      </c>
      <c r="D86" s="605" t="inlineStr">
        <is>
          <t>E</t>
        </is>
      </c>
      <c r="E86" s="590" t="n">
        <v>97</v>
      </c>
      <c r="F86" s="591" t="n">
        <v>80</v>
      </c>
      <c r="G86" s="591" t="n">
        <v>0</v>
      </c>
      <c r="H86" s="605" t="n"/>
      <c r="I86" s="577" t="inlineStr">
        <is>
          <t>USD</t>
        </is>
      </c>
      <c r="J86" s="591" t="n">
        <v>970</v>
      </c>
      <c r="K86" s="591" t="n">
        <v>1</v>
      </c>
      <c r="L86" s="591" t="inlineStr">
        <is>
          <t>x</t>
        </is>
      </c>
      <c r="M86" s="606" t="n"/>
      <c r="N86" s="607" t="n"/>
      <c r="O86" s="607" t="n"/>
      <c r="P86" s="592" t="n"/>
      <c r="Q86" s="589" t="n"/>
      <c r="R86" s="589" t="n"/>
    </row>
    <row r="87" customFormat="1" s="569">
      <c r="B87" s="650" t="inlineStr">
        <is>
          <t>Draft</t>
        </is>
      </c>
      <c r="C87" s="610" t="inlineStr">
        <is>
          <t>NETDEBTEBITDA_DRAFT</t>
        </is>
      </c>
      <c r="D87" s="611" t="inlineStr">
        <is>
          <t>E</t>
        </is>
      </c>
      <c r="E87" s="596" t="n">
        <v>97</v>
      </c>
      <c r="F87" s="598" t="n">
        <v>80</v>
      </c>
      <c r="G87" s="598" t="n">
        <v>1</v>
      </c>
      <c r="H87" s="611" t="n"/>
      <c r="I87" s="597" t="inlineStr">
        <is>
          <t>USD</t>
        </is>
      </c>
      <c r="J87" s="598" t="n">
        <v>971</v>
      </c>
      <c r="K87" s="598" t="n">
        <v>1</v>
      </c>
      <c r="L87" s="598" t="inlineStr">
        <is>
          <t>x</t>
        </is>
      </c>
      <c r="M87" s="612" t="n"/>
      <c r="N87" s="613" t="n"/>
      <c r="O87" s="613" t="n"/>
      <c r="P87" s="599" t="n"/>
      <c r="Q87" s="589" t="n"/>
      <c r="R87" s="589" t="n"/>
    </row>
    <row r="88" customFormat="1" s="569">
      <c r="B88" s="591" t="inlineStr">
        <is>
          <t>Loan to Deposit ratio (%)</t>
        </is>
      </c>
      <c r="C88" s="604" t="inlineStr">
        <is>
          <t>LOAN_TO_DEP_RATIO</t>
        </is>
      </c>
      <c r="D88" s="605" t="inlineStr">
        <is>
          <t>E</t>
        </is>
      </c>
      <c r="E88" s="590" t="n">
        <v>147</v>
      </c>
      <c r="F88" s="591" t="n">
        <v>103</v>
      </c>
      <c r="G88" s="591" t="n">
        <v>0</v>
      </c>
      <c r="H88" s="605" t="n"/>
      <c r="I88" s="577" t="inlineStr">
        <is>
          <t>USD</t>
        </is>
      </c>
      <c r="J88" s="591" t="n">
        <v>1470</v>
      </c>
      <c r="K88" s="591" t="n">
        <v>1</v>
      </c>
      <c r="L88" s="591" t="inlineStr">
        <is>
          <t>%</t>
        </is>
      </c>
      <c r="M88" s="651" t="n"/>
      <c r="N88" s="652" t="n"/>
      <c r="O88" s="652" t="n"/>
      <c r="P88" s="653" t="n"/>
      <c r="Q88" s="589" t="n"/>
      <c r="R88" s="589" t="n"/>
    </row>
    <row r="89" ht="15" customFormat="1" customHeight="1" s="569" thickBot="1">
      <c r="B89" s="650" t="inlineStr">
        <is>
          <t>Draft</t>
        </is>
      </c>
      <c r="C89" s="610" t="inlineStr">
        <is>
          <t>LOAN_TO_DEP_RATIO_DRAFT</t>
        </is>
      </c>
      <c r="D89" s="611" t="inlineStr">
        <is>
          <t>E</t>
        </is>
      </c>
      <c r="E89" s="596" t="n">
        <v>147</v>
      </c>
      <c r="F89" s="598" t="n">
        <v>103</v>
      </c>
      <c r="G89" s="598" t="n">
        <v>1</v>
      </c>
      <c r="H89" s="611" t="n"/>
      <c r="I89" s="597" t="inlineStr">
        <is>
          <t>USD</t>
        </is>
      </c>
      <c r="J89" s="598" t="n">
        <v>1471</v>
      </c>
      <c r="K89" s="598" t="n">
        <v>1</v>
      </c>
      <c r="L89" s="598" t="inlineStr">
        <is>
          <t>%</t>
        </is>
      </c>
      <c r="M89" s="640" t="n"/>
      <c r="N89" s="654" t="n"/>
      <c r="O89" s="654" t="n"/>
      <c r="P89" s="637" t="n"/>
      <c r="Q89" s="589" t="n"/>
      <c r="R89" s="589" t="n"/>
    </row>
    <row r="90" hidden="1" ht="17" customHeight="1" thickBot="1" thickTop="1">
      <c r="B90" s="584" t="inlineStr">
        <is>
          <t>ESTIMATES - QUARTERS</t>
        </is>
      </c>
      <c r="C90" s="585" t="n">
        <v>103</v>
      </c>
      <c r="D90" s="585" t="n">
        <v>0</v>
      </c>
      <c r="E90" s="585" t="n"/>
      <c r="F90" s="585" t="n"/>
      <c r="G90" s="585" t="n"/>
      <c r="H90" s="585" t="n"/>
      <c r="I90" s="585" t="n"/>
      <c r="J90" s="585" t="n"/>
      <c r="K90" s="602" t="n"/>
      <c r="L90" s="615" t="n"/>
      <c r="M90" s="600" t="n"/>
      <c r="N90" s="614" t="n"/>
      <c r="O90" s="575" t="n"/>
      <c r="P90" s="575" t="n"/>
    </row>
    <row r="91" hidden="1" ht="15" customFormat="1" customHeight="1" s="569" thickBot="1">
      <c r="B91" s="591" t="inlineStr">
        <is>
          <t>Quarter PeriodId</t>
        </is>
      </c>
      <c r="C91" s="604" t="n"/>
      <c r="D91" s="605" t="n"/>
      <c r="E91" s="591" t="n"/>
      <c r="F91" s="591" t="n"/>
      <c r="G91" s="591" t="n"/>
      <c r="H91" s="605" t="n"/>
      <c r="I91" s="577" t="n"/>
      <c r="J91" s="591" t="n"/>
      <c r="K91" s="616" t="n"/>
      <c r="L91" s="617" t="n"/>
      <c r="M91" s="601" t="n"/>
      <c r="N91" s="589" t="n"/>
    </row>
    <row r="92" ht="17" customHeight="1" thickBot="1" thickTop="1">
      <c r="B92" s="584" t="inlineStr">
        <is>
          <t>VALUATIONS</t>
        </is>
      </c>
      <c r="C92" s="585" t="n">
        <v>22</v>
      </c>
      <c r="D92" s="585" t="n">
        <v>4</v>
      </c>
      <c r="E92" s="585" t="n"/>
      <c r="F92" s="585" t="n"/>
      <c r="G92" s="585" t="n"/>
      <c r="H92" s="585" t="n"/>
      <c r="I92" s="585" t="n"/>
      <c r="J92" s="585" t="n"/>
      <c r="K92" s="585" t="n"/>
      <c r="L92" s="585" t="n"/>
      <c r="M92" s="585" t="n">
        <v>2021</v>
      </c>
      <c r="N92" s="585" t="n">
        <v>2022</v>
      </c>
      <c r="O92" s="585" t="n">
        <v>2023</v>
      </c>
      <c r="P92" s="585" t="n">
        <v>2024</v>
      </c>
      <c r="Q92" s="589" t="n"/>
      <c r="R92" s="589" t="n"/>
    </row>
    <row r="93" ht="15" customFormat="1" customHeight="1" s="569" thickTop="1">
      <c r="B93" s="618" t="inlineStr">
        <is>
          <t>P/E Reported (x)</t>
        </is>
      </c>
      <c r="C93" s="604" t="inlineStr">
        <is>
          <t>P/EPSRPT</t>
        </is>
      </c>
      <c r="D93" s="605" t="inlineStr">
        <is>
          <t>V</t>
        </is>
      </c>
      <c r="E93" s="591" t="n">
        <v>55</v>
      </c>
      <c r="F93" s="591" t="n">
        <v>1</v>
      </c>
      <c r="G93" s="591" t="n">
        <v>0</v>
      </c>
      <c r="H93" s="605" t="inlineStr">
        <is>
          <t>[[CLOSEPRICE]/[EPSRPT]]</t>
        </is>
      </c>
      <c r="I93" s="577" t="n"/>
      <c r="J93" s="591" t="n">
        <v>550</v>
      </c>
      <c r="K93" s="591" t="n"/>
      <c r="L93" s="591" t="inlineStr">
        <is>
          <t>x</t>
        </is>
      </c>
      <c r="M93" s="619">
        <f>IF(ISERROR(($P$125)/(M22)),"",($P$125)/(M22))</f>
        <v/>
      </c>
      <c r="N93" s="619">
        <f>IF(ISERROR(($P$125)/(N22)),"",($P$125)/(N22))</f>
        <v/>
      </c>
      <c r="O93" s="619">
        <f>IF(ISERROR(($P$125)/(O22)),"",($P$125)/(O22))</f>
        <v/>
      </c>
      <c r="P93" s="619">
        <f>IF(ISERROR(($P$125)/(P22)),"",($P$125)/(P22))</f>
        <v/>
      </c>
      <c r="Q93" s="589" t="n"/>
      <c r="R93" s="589" t="n"/>
    </row>
    <row r="94" customFormat="1" s="569">
      <c r="B94" s="655" t="inlineStr">
        <is>
          <t>Draft</t>
        </is>
      </c>
      <c r="C94" s="621" t="inlineStr">
        <is>
          <t>P/EPSRPT_DRAFT</t>
        </is>
      </c>
      <c r="D94" s="622" t="inlineStr">
        <is>
          <t>V</t>
        </is>
      </c>
      <c r="E94" s="623" t="n">
        <v>55</v>
      </c>
      <c r="F94" s="623" t="n">
        <v>1</v>
      </c>
      <c r="G94" s="623" t="n">
        <v>1</v>
      </c>
      <c r="H94" s="622" t="inlineStr">
        <is>
          <t>[[CLOSEPRICE]/[EPSRPT]]</t>
        </is>
      </c>
      <c r="I94" s="641" t="n"/>
      <c r="J94" s="623" t="n">
        <v>551</v>
      </c>
      <c r="K94" s="623" t="n"/>
      <c r="L94" s="623" t="inlineStr">
        <is>
          <t>x</t>
        </is>
      </c>
      <c r="M94" s="624">
        <f>IF(ISERROR(($P$125)/(M23)),"",($P$125)/(M23))</f>
        <v/>
      </c>
      <c r="N94" s="624">
        <f>IF(ISERROR(($P$125)/(N23)),"",($P$125)/(N23))</f>
        <v/>
      </c>
      <c r="O94" s="624">
        <f>IF(ISERROR(($P$125)/(O23)),"",($P$125)/(O23))</f>
        <v/>
      </c>
      <c r="P94" s="624">
        <f>IF(ISERROR(($P$125)/(P23)),"",($P$125)/(P23))</f>
        <v/>
      </c>
      <c r="Q94" s="589" t="n"/>
      <c r="R94" s="589" t="n"/>
    </row>
    <row r="95" customFormat="1" s="569">
      <c r="B95" s="604" t="inlineStr">
        <is>
          <t>P/E Adjusted (x)</t>
        </is>
      </c>
      <c r="C95" s="604" t="inlineStr">
        <is>
          <t>P/EPSADJ</t>
        </is>
      </c>
      <c r="D95" s="605" t="inlineStr">
        <is>
          <t>V</t>
        </is>
      </c>
      <c r="E95" s="591" t="n">
        <v>56</v>
      </c>
      <c r="F95" s="591" t="n">
        <v>2</v>
      </c>
      <c r="G95" s="591" t="n">
        <v>0</v>
      </c>
      <c r="H95" s="605" t="inlineStr">
        <is>
          <t>[[CLOSEPRICE]/[EPSADJ]]</t>
        </is>
      </c>
      <c r="I95" s="577" t="n"/>
      <c r="J95" s="591" t="n">
        <v>560</v>
      </c>
      <c r="K95" s="591" t="n"/>
      <c r="L95" s="591" t="inlineStr">
        <is>
          <t>x</t>
        </is>
      </c>
      <c r="M95" s="619">
        <f>IF(ISERROR(($P$125)/(M24)),"",($P$125)/(M24))</f>
        <v/>
      </c>
      <c r="N95" s="619">
        <f>IF(ISERROR(($P$125)/(N24)),"",($P$125)/(N24))</f>
        <v/>
      </c>
      <c r="O95" s="619">
        <f>IF(ISERROR(($P$125)/(O24)),"",($P$125)/(O24))</f>
        <v/>
      </c>
      <c r="P95" s="619">
        <f>IF(ISERROR(($P$125)/(P24)),"",($P$125)/(P24))</f>
        <v/>
      </c>
      <c r="Q95" s="589" t="n"/>
      <c r="R95" s="589" t="n"/>
    </row>
    <row r="96" customFormat="1" s="569">
      <c r="B96" s="656" t="inlineStr">
        <is>
          <t>Draft</t>
        </is>
      </c>
      <c r="C96" s="621" t="inlineStr">
        <is>
          <t>P/EPSADJ_DRAFT</t>
        </is>
      </c>
      <c r="D96" s="622" t="inlineStr">
        <is>
          <t>V</t>
        </is>
      </c>
      <c r="E96" s="623" t="n">
        <v>56</v>
      </c>
      <c r="F96" s="623" t="n">
        <v>2</v>
      </c>
      <c r="G96" s="623" t="n">
        <v>1</v>
      </c>
      <c r="H96" s="622" t="inlineStr">
        <is>
          <t>[[CLOSEPRICE]/[EPSADJ]]</t>
        </is>
      </c>
      <c r="I96" s="641" t="n"/>
      <c r="J96" s="623" t="n">
        <v>561</v>
      </c>
      <c r="K96" s="623" t="n"/>
      <c r="L96" s="623" t="inlineStr">
        <is>
          <t>x</t>
        </is>
      </c>
      <c r="M96" s="624">
        <f>IF(ISERROR(($P$125)/(M25)),"",($P$125)/(M25))</f>
        <v/>
      </c>
      <c r="N96" s="624">
        <f>IF(ISERROR(($P$125)/(N25)),"",($P$125)/(N25))</f>
        <v/>
      </c>
      <c r="O96" s="624">
        <f>IF(ISERROR(($P$125)/(O25)),"",($P$125)/(O25))</f>
        <v/>
      </c>
      <c r="P96" s="624">
        <f>IF(ISERROR(($P$125)/(P25)),"",($P$125)/(P25))</f>
        <v/>
      </c>
      <c r="Q96" s="589" t="n"/>
      <c r="R96" s="589" t="n"/>
    </row>
    <row r="97" customFormat="1" s="569">
      <c r="B97" s="604" t="inlineStr">
        <is>
          <t>REL P/E Adjusted (x)</t>
        </is>
      </c>
      <c r="C97" s="604" t="inlineStr">
        <is>
          <t>REL_EPSADJ</t>
        </is>
      </c>
      <c r="D97" s="605" t="inlineStr">
        <is>
          <t>V</t>
        </is>
      </c>
      <c r="E97" s="591" t="n">
        <v>58</v>
      </c>
      <c r="F97" s="591" t="n">
        <v>4</v>
      </c>
      <c r="G97" s="591" t="n">
        <v>0</v>
      </c>
      <c r="H97" s="605" t="inlineStr">
        <is>
          <t>[[P/EPSADJ]/[IDX!P/EPSADJ]]</t>
        </is>
      </c>
      <c r="I97" s="577" t="n"/>
      <c r="J97" s="591" t="n">
        <v>580</v>
      </c>
      <c r="K97" s="591" t="n"/>
      <c r="L97" s="591" t="inlineStr">
        <is>
          <t>x</t>
        </is>
      </c>
      <c r="M97" s="619">
        <f>IF(ISERROR((ROUND(M95,2))/(ROUND(SPX!N23,2))),"",(ROUND(M95,2))/(ROUND(SPX!N23,2)))</f>
        <v/>
      </c>
      <c r="N97" s="619">
        <f>IF(ISERROR((ROUND(N95,2))/(ROUND(SPX!O23,2))),"",(ROUND(N95,2))/(ROUND(SPX!O23,2)))</f>
        <v/>
      </c>
      <c r="O97" s="619">
        <f>IF(ISERROR((ROUND(O95,2))/(ROUND(SPX!P23,2))),"",(ROUND(O95,2))/(ROUND(SPX!P23,2)))</f>
        <v/>
      </c>
      <c r="P97" s="619">
        <f>IF(ISERROR((ROUND(P95,2))/(ROUND(SPX!Q23,2))),"",(ROUND(P95,2))/(ROUND(SPX!Q23,2)))</f>
        <v/>
      </c>
      <c r="Q97" s="589" t="n"/>
      <c r="R97" s="589" t="n"/>
    </row>
    <row r="98" customFormat="1" s="569">
      <c r="B98" s="656" t="inlineStr">
        <is>
          <t>Draft</t>
        </is>
      </c>
      <c r="C98" s="621" t="inlineStr">
        <is>
          <t>REL_EPSADJ_DRAFT</t>
        </is>
      </c>
      <c r="D98" s="622" t="inlineStr">
        <is>
          <t>V</t>
        </is>
      </c>
      <c r="E98" s="623" t="n">
        <v>58</v>
      </c>
      <c r="F98" s="623" t="n">
        <v>4</v>
      </c>
      <c r="G98" s="623" t="n">
        <v>1</v>
      </c>
      <c r="H98" s="622" t="inlineStr">
        <is>
          <t>[[P/EPSADJ]/[IDX!P/EPSADJ]]</t>
        </is>
      </c>
      <c r="I98" s="641" t="n"/>
      <c r="J98" s="623" t="n">
        <v>581</v>
      </c>
      <c r="K98" s="623" t="n"/>
      <c r="L98" s="623" t="inlineStr">
        <is>
          <t>x</t>
        </is>
      </c>
      <c r="M98" s="624">
        <f>IF(ISERROR((ROUND(M96,2))/(ROUND(SPX!N23,2))),"",(ROUND(M96,2))/(ROUND(SPX!N23,2)))</f>
        <v/>
      </c>
      <c r="N98" s="624">
        <f>IF(ISERROR((ROUND(N96,2))/(ROUND(SPX!O23,2))),"",(ROUND(N96,2))/(ROUND(SPX!O23,2)))</f>
        <v/>
      </c>
      <c r="O98" s="624">
        <f>IF(ISERROR((ROUND(O96,2))/(ROUND(SPX!P23,2))),"",(ROUND(O96,2))/(ROUND(SPX!P23,2)))</f>
        <v/>
      </c>
      <c r="P98" s="624">
        <f>IF(ISERROR((ROUND(P96,2))/(ROUND(SPX!Q23,2))),"",(ROUND(P96,2))/(ROUND(SPX!Q23,2)))</f>
        <v/>
      </c>
      <c r="Q98" s="589" t="n"/>
      <c r="R98" s="589" t="n"/>
    </row>
    <row r="99" customFormat="1" s="569">
      <c r="B99" s="604" t="inlineStr">
        <is>
          <t>PEG Adjusted (x)</t>
        </is>
      </c>
      <c r="C99" s="604" t="inlineStr">
        <is>
          <t>PEGADJ</t>
        </is>
      </c>
      <c r="D99" s="605" t="inlineStr">
        <is>
          <t>V</t>
        </is>
      </c>
      <c r="E99" s="591" t="n">
        <v>93</v>
      </c>
      <c r="F99" s="591" t="n">
        <v>6</v>
      </c>
      <c r="G99" s="591" t="n">
        <v>0</v>
      </c>
      <c r="H99" s="605" t="inlineStr">
        <is>
          <t>[[P/EPSADJ]/[EPSGROWTH]]</t>
        </is>
      </c>
      <c r="I99" s="577" t="n"/>
      <c r="J99" s="591" t="n">
        <v>930</v>
      </c>
      <c r="K99" s="591" t="n"/>
      <c r="L99" s="591" t="inlineStr">
        <is>
          <t>x</t>
        </is>
      </c>
      <c r="M99" s="619">
        <f>IF(ISERROR((ROUND(M95,2))/(M84*100)),"",(ROUND(M95,2))/(M84*100))</f>
        <v/>
      </c>
      <c r="N99" s="619">
        <f>IF(ISERROR((ROUND(N95,2))/(N84*100)),"",(ROUND(N95,2))/(N84*100))</f>
        <v/>
      </c>
      <c r="O99" s="619">
        <f>IF(ISERROR((ROUND(O95,2))/(O84*100)),"",(ROUND(O95,2))/(O84*100))</f>
        <v/>
      </c>
      <c r="P99" s="619">
        <f>IF(ISERROR((ROUND(P95,2))/(P84*100)),"",(ROUND(P95,2))/(P84*100))</f>
        <v/>
      </c>
      <c r="Q99" s="589" t="n"/>
      <c r="R99" s="589" t="n"/>
    </row>
    <row r="100" customFormat="1" s="569">
      <c r="B100" s="656" t="inlineStr">
        <is>
          <t>Draft</t>
        </is>
      </c>
      <c r="C100" s="621" t="inlineStr">
        <is>
          <t>PEGADJ_DRAFT</t>
        </is>
      </c>
      <c r="D100" s="622" t="inlineStr">
        <is>
          <t>V</t>
        </is>
      </c>
      <c r="E100" s="623" t="n">
        <v>93</v>
      </c>
      <c r="F100" s="623" t="n">
        <v>6</v>
      </c>
      <c r="G100" s="623" t="n">
        <v>1</v>
      </c>
      <c r="H100" s="622" t="inlineStr">
        <is>
          <t>[[P/EPSADJ]/[EPSGROWTH]]</t>
        </is>
      </c>
      <c r="I100" s="641" t="n"/>
      <c r="J100" s="623" t="n">
        <v>931</v>
      </c>
      <c r="K100" s="623" t="n"/>
      <c r="L100" s="623" t="inlineStr">
        <is>
          <t>x</t>
        </is>
      </c>
      <c r="M100" s="624">
        <f>IF(ISERROR((ROUND(M96,2))/(M85*100)),"",(ROUND(M96,2))/(M85*100))</f>
        <v/>
      </c>
      <c r="N100" s="624">
        <f>IF(ISERROR((ROUND(N96,2))/(N85*100)),"",(ROUND(N96,2))/(N85*100))</f>
        <v/>
      </c>
      <c r="O100" s="624">
        <f>IF(ISERROR((ROUND(O96,2))/(O85*100)),"",(ROUND(O96,2))/(O85*100))</f>
        <v/>
      </c>
      <c r="P100" s="624">
        <f>IF(ISERROR((ROUND(P96,2))/(P85*100)),"",(ROUND(P96,2))/(P85*100))</f>
        <v/>
      </c>
      <c r="Q100" s="589" t="n"/>
      <c r="R100" s="589" t="n"/>
    </row>
    <row r="101" customFormat="1" s="569">
      <c r="B101" s="604" t="inlineStr">
        <is>
          <t>P/B (x)</t>
        </is>
      </c>
      <c r="C101" s="604" t="inlineStr">
        <is>
          <t>P/BV</t>
        </is>
      </c>
      <c r="D101" s="605" t="inlineStr">
        <is>
          <t>V</t>
        </is>
      </c>
      <c r="E101" s="591" t="n">
        <v>60</v>
      </c>
      <c r="F101" s="591" t="n">
        <v>7</v>
      </c>
      <c r="G101" s="591" t="n">
        <v>0</v>
      </c>
      <c r="H101" s="605" t="inlineStr">
        <is>
          <t>[[CLOSEPRICE]/[BVPS]]</t>
        </is>
      </c>
      <c r="I101" s="577" t="n"/>
      <c r="J101" s="591" t="n">
        <v>600</v>
      </c>
      <c r="K101" s="591" t="n"/>
      <c r="L101" s="591" t="inlineStr">
        <is>
          <t>x</t>
        </is>
      </c>
      <c r="M101" s="619">
        <f>IF(ISERROR(($P$125)/(M56)),"",($P$125)/(M56))</f>
        <v/>
      </c>
      <c r="N101" s="619">
        <f>IF(ISERROR(($P$125)/(N56)),"",($P$125)/(N56))</f>
        <v/>
      </c>
      <c r="O101" s="619">
        <f>IF(ISERROR(($P$125)/(O56)),"",($P$125)/(O56))</f>
        <v/>
      </c>
      <c r="P101" s="619">
        <f>IF(ISERROR(($P$125)/(P56)),"",($P$125)/(P56))</f>
        <v/>
      </c>
      <c r="Q101" s="589" t="n"/>
      <c r="R101" s="589" t="n"/>
    </row>
    <row r="102" customFormat="1" s="569">
      <c r="B102" s="656" t="inlineStr">
        <is>
          <t>Draft</t>
        </is>
      </c>
      <c r="C102" s="621" t="inlineStr">
        <is>
          <t>P/BV_DRAFT</t>
        </is>
      </c>
      <c r="D102" s="622" t="inlineStr">
        <is>
          <t>V</t>
        </is>
      </c>
      <c r="E102" s="623" t="n">
        <v>60</v>
      </c>
      <c r="F102" s="623" t="n">
        <v>7</v>
      </c>
      <c r="G102" s="623" t="n">
        <v>1</v>
      </c>
      <c r="H102" s="622" t="inlineStr">
        <is>
          <t>[[CLOSEPRICE]/[BVPS]]</t>
        </is>
      </c>
      <c r="I102" s="641" t="n"/>
      <c r="J102" s="623" t="n">
        <v>601</v>
      </c>
      <c r="K102" s="623" t="n"/>
      <c r="L102" s="623" t="inlineStr">
        <is>
          <t>x</t>
        </is>
      </c>
      <c r="M102" s="624">
        <f>IF(ISERROR(($P$125)/(M57)),"",($P$125)/(M57))</f>
        <v/>
      </c>
      <c r="N102" s="624">
        <f>IF(ISERROR(($P$125)/(N57)),"",($P$125)/(N57))</f>
        <v/>
      </c>
      <c r="O102" s="624">
        <f>IF(ISERROR(($P$125)/(O57)),"",($P$125)/(O57))</f>
        <v/>
      </c>
      <c r="P102" s="624">
        <f>IF(ISERROR(($P$125)/(P57)),"",($P$125)/(P57))</f>
        <v/>
      </c>
      <c r="Q102" s="589" t="n"/>
      <c r="R102" s="589" t="n"/>
    </row>
    <row r="103" customFormat="1" s="569">
      <c r="B103" s="604" t="inlineStr">
        <is>
          <t>P/TB (x)</t>
        </is>
      </c>
      <c r="C103" s="604" t="inlineStr">
        <is>
          <t>P/TBV</t>
        </is>
      </c>
      <c r="D103" s="605" t="inlineStr">
        <is>
          <t>V</t>
        </is>
      </c>
      <c r="E103" s="591" t="n">
        <v>61</v>
      </c>
      <c r="F103" s="591" t="n">
        <v>8</v>
      </c>
      <c r="G103" s="591" t="n">
        <v>0</v>
      </c>
      <c r="H103" s="605" t="inlineStr">
        <is>
          <t>[[CLOSEPRICE]/[TBVPS]]</t>
        </is>
      </c>
      <c r="I103" s="577" t="n"/>
      <c r="J103" s="591" t="n">
        <v>610</v>
      </c>
      <c r="K103" s="591" t="n"/>
      <c r="L103" s="591" t="inlineStr">
        <is>
          <t>x</t>
        </is>
      </c>
      <c r="M103" s="619">
        <f>IF(ISERROR(($P$125)/(M58)),"",($P$125)/(M58))</f>
        <v/>
      </c>
      <c r="N103" s="619">
        <f>IF(ISERROR(($P$125)/(N58)),"",($P$125)/(N58))</f>
        <v/>
      </c>
      <c r="O103" s="619">
        <f>IF(ISERROR(($P$125)/(O58)),"",($P$125)/(O58))</f>
        <v/>
      </c>
      <c r="P103" s="619">
        <f>IF(ISERROR(($P$125)/(P58)),"",($P$125)/(P58))</f>
        <v/>
      </c>
      <c r="Q103" s="589" t="n"/>
      <c r="R103" s="589" t="n"/>
    </row>
    <row r="104" customFormat="1" s="569">
      <c r="B104" s="656" t="inlineStr">
        <is>
          <t>Draft</t>
        </is>
      </c>
      <c r="C104" s="621" t="inlineStr">
        <is>
          <t>P/TBV_DRAFT</t>
        </is>
      </c>
      <c r="D104" s="622" t="inlineStr">
        <is>
          <t>V</t>
        </is>
      </c>
      <c r="E104" s="623" t="n">
        <v>61</v>
      </c>
      <c r="F104" s="623" t="n">
        <v>8</v>
      </c>
      <c r="G104" s="623" t="n">
        <v>1</v>
      </c>
      <c r="H104" s="622" t="inlineStr">
        <is>
          <t>[[CLOSEPRICE]/[TBVPS]]</t>
        </is>
      </c>
      <c r="I104" s="641" t="n"/>
      <c r="J104" s="623" t="n">
        <v>611</v>
      </c>
      <c r="K104" s="623" t="n"/>
      <c r="L104" s="623" t="inlineStr">
        <is>
          <t>x</t>
        </is>
      </c>
      <c r="M104" s="624">
        <f>IF(ISERROR(($P$125)/(M59)),"",($P$125)/(M59))</f>
        <v/>
      </c>
      <c r="N104" s="624">
        <f>IF(ISERROR(($P$125)/(N59)),"",($P$125)/(N59))</f>
        <v/>
      </c>
      <c r="O104" s="624">
        <f>IF(ISERROR(($P$125)/(O59)),"",($P$125)/(O59))</f>
        <v/>
      </c>
      <c r="P104" s="624">
        <f>IF(ISERROR(($P$125)/(P59)),"",($P$125)/(P59))</f>
        <v/>
      </c>
      <c r="Q104" s="589" t="n"/>
      <c r="R104" s="589" t="n"/>
    </row>
    <row r="105" customFormat="1" s="569">
      <c r="B105" s="604" t="inlineStr">
        <is>
          <t>P/CFO (x)</t>
        </is>
      </c>
      <c r="C105" s="604" t="inlineStr">
        <is>
          <t>P/OCF</t>
        </is>
      </c>
      <c r="D105" s="605" t="inlineStr">
        <is>
          <t>V</t>
        </is>
      </c>
      <c r="E105" s="591" t="n">
        <v>62</v>
      </c>
      <c r="F105" s="591" t="n">
        <v>9</v>
      </c>
      <c r="G105" s="591" t="n">
        <v>0</v>
      </c>
      <c r="H105" s="605" t="inlineStr">
        <is>
          <t>[[CLOSEPRICE]/[OCFPS]]</t>
        </is>
      </c>
      <c r="I105" s="577" t="n"/>
      <c r="J105" s="591" t="n">
        <v>620</v>
      </c>
      <c r="K105" s="591" t="n"/>
      <c r="L105" s="591" t="inlineStr">
        <is>
          <t>x</t>
        </is>
      </c>
      <c r="M105" s="619">
        <f>IF(ISERROR(($P$125)/(M66)),"",($P$125)/(M66))</f>
        <v/>
      </c>
      <c r="N105" s="619">
        <f>IF(ISERROR(($P$125)/(N66)),"",($P$125)/(N66))</f>
        <v/>
      </c>
      <c r="O105" s="619">
        <f>IF(ISERROR(($P$125)/(O66)),"",($P$125)/(O66))</f>
        <v/>
      </c>
      <c r="P105" s="619">
        <f>IF(ISERROR(($P$125)/(P66)),"",($P$125)/(P66))</f>
        <v/>
      </c>
      <c r="Q105" s="589" t="n"/>
      <c r="R105" s="589" t="n"/>
    </row>
    <row r="106" customFormat="1" s="569">
      <c r="B106" s="656" t="inlineStr">
        <is>
          <t>Draft</t>
        </is>
      </c>
      <c r="C106" s="621" t="inlineStr">
        <is>
          <t>P/OCF_DRAFT</t>
        </is>
      </c>
      <c r="D106" s="622" t="inlineStr">
        <is>
          <t>V</t>
        </is>
      </c>
      <c r="E106" s="623" t="n">
        <v>62</v>
      </c>
      <c r="F106" s="623" t="n">
        <v>9</v>
      </c>
      <c r="G106" s="623" t="n">
        <v>1</v>
      </c>
      <c r="H106" s="622" t="inlineStr">
        <is>
          <t>[[CLOSEPRICE]/[OCFPS]]</t>
        </is>
      </c>
      <c r="I106" s="641" t="n"/>
      <c r="J106" s="623" t="n">
        <v>621</v>
      </c>
      <c r="K106" s="623" t="n"/>
      <c r="L106" s="623" t="inlineStr">
        <is>
          <t>x</t>
        </is>
      </c>
      <c r="M106" s="624">
        <f>IF(ISERROR(($P$125)/(M67)),"",($P$125)/(M67))</f>
        <v/>
      </c>
      <c r="N106" s="624">
        <f>IF(ISERROR(($P$125)/(N67)),"",($P$125)/(N67))</f>
        <v/>
      </c>
      <c r="O106" s="624">
        <f>IF(ISERROR(($P$125)/(O67)),"",($P$125)/(O67))</f>
        <v/>
      </c>
      <c r="P106" s="624">
        <f>IF(ISERROR(($P$125)/(P67)),"",($P$125)/(P67))</f>
        <v/>
      </c>
      <c r="Q106" s="589" t="n"/>
      <c r="R106" s="589" t="n"/>
    </row>
    <row r="107" customFormat="1" s="569">
      <c r="B107" s="604" t="inlineStr">
        <is>
          <t>P/Sales (x)</t>
        </is>
      </c>
      <c r="C107" s="604" t="inlineStr">
        <is>
          <t>P/SALES</t>
        </is>
      </c>
      <c r="D107" s="605" t="inlineStr">
        <is>
          <t>V</t>
        </is>
      </c>
      <c r="E107" s="591" t="n">
        <v>63</v>
      </c>
      <c r="F107" s="591" t="n">
        <v>10</v>
      </c>
      <c r="G107" s="591" t="n">
        <v>0</v>
      </c>
      <c r="H107" s="605" t="inlineStr">
        <is>
          <t>[[CLOSEPRICE]/[SALESPS]]</t>
        </is>
      </c>
      <c r="I107" s="577" t="n"/>
      <c r="J107" s="591" t="n">
        <v>630</v>
      </c>
      <c r="K107" s="591" t="n"/>
      <c r="L107" s="591" t="inlineStr">
        <is>
          <t>x</t>
        </is>
      </c>
      <c r="M107" s="619">
        <f>IF(ISERROR(($P$125)/(M52)),"",($P$125)/(M52))</f>
        <v/>
      </c>
      <c r="N107" s="619">
        <f>IF(ISERROR(($P$125)/(N52)),"",($P$125)/(N52))</f>
        <v/>
      </c>
      <c r="O107" s="619">
        <f>IF(ISERROR(($P$125)/(O52)),"",($P$125)/(O52))</f>
        <v/>
      </c>
      <c r="P107" s="619">
        <f>IF(ISERROR(($P$125)/(P52)),"",($P$125)/(P52))</f>
        <v/>
      </c>
      <c r="Q107" s="589" t="n"/>
      <c r="R107" s="589" t="n"/>
    </row>
    <row r="108" customFormat="1" s="569">
      <c r="B108" s="656" t="inlineStr">
        <is>
          <t>Draft</t>
        </is>
      </c>
      <c r="C108" s="621" t="inlineStr">
        <is>
          <t>P/SALES_DRAFT</t>
        </is>
      </c>
      <c r="D108" s="622" t="inlineStr">
        <is>
          <t>V</t>
        </is>
      </c>
      <c r="E108" s="623" t="n">
        <v>63</v>
      </c>
      <c r="F108" s="623" t="n">
        <v>10</v>
      </c>
      <c r="G108" s="623" t="n">
        <v>1</v>
      </c>
      <c r="H108" s="622" t="inlineStr">
        <is>
          <t>[[CLOSEPRICE]/[SALESPS]]</t>
        </is>
      </c>
      <c r="I108" s="641" t="n"/>
      <c r="J108" s="623" t="n">
        <v>631</v>
      </c>
      <c r="K108" s="623" t="n"/>
      <c r="L108" s="623" t="inlineStr">
        <is>
          <t>x</t>
        </is>
      </c>
      <c r="M108" s="624">
        <f>IF(ISERROR(($P$125)/(M53)),"",($P$125)/(M53))</f>
        <v/>
      </c>
      <c r="N108" s="624">
        <f>IF(ISERROR(($P$125)/(N53)),"",($P$125)/(N53))</f>
        <v/>
      </c>
      <c r="O108" s="624">
        <f>IF(ISERROR(($P$125)/(O53)),"",($P$125)/(O53))</f>
        <v/>
      </c>
      <c r="P108" s="624">
        <f>IF(ISERROR(($P$125)/(P53)),"",($P$125)/(P53))</f>
        <v/>
      </c>
      <c r="Q108" s="589" t="n"/>
      <c r="R108" s="589" t="n"/>
    </row>
    <row r="109" customFormat="1" s="569">
      <c r="B109" s="604" t="inlineStr">
        <is>
          <t>P/FCF (x)</t>
        </is>
      </c>
      <c r="C109" s="604" t="inlineStr">
        <is>
          <t>P/FCF</t>
        </is>
      </c>
      <c r="D109" s="605" t="inlineStr">
        <is>
          <t>V</t>
        </is>
      </c>
      <c r="E109" s="591" t="n">
        <v>73</v>
      </c>
      <c r="F109" s="591" t="n">
        <v>11</v>
      </c>
      <c r="G109" s="591" t="n">
        <v>0</v>
      </c>
      <c r="H109" s="605" t="inlineStr">
        <is>
          <t>[[CLOSEPRICE]/[FCFPS]]</t>
        </is>
      </c>
      <c r="I109" s="577" t="n"/>
      <c r="J109" s="591" t="n">
        <v>730</v>
      </c>
      <c r="K109" s="591" t="n"/>
      <c r="L109" s="591" t="inlineStr">
        <is>
          <t>x</t>
        </is>
      </c>
      <c r="M109" s="619">
        <f>IF(ISERROR(($P$125)/(M70)),"",($P$125)/(M70))</f>
        <v/>
      </c>
      <c r="N109" s="619">
        <f>IF(ISERROR(($P$125)/(N70)),"",($P$125)/(N70))</f>
        <v/>
      </c>
      <c r="O109" s="619">
        <f>IF(ISERROR(($P$125)/(O70)),"",($P$125)/(O70))</f>
        <v/>
      </c>
      <c r="P109" s="619">
        <f>IF(ISERROR(($P$125)/(P70)),"",($P$125)/(P70))</f>
        <v/>
      </c>
      <c r="Q109" s="589" t="n"/>
      <c r="R109" s="589" t="n"/>
    </row>
    <row r="110" customFormat="1" s="569">
      <c r="B110" s="656" t="inlineStr">
        <is>
          <t>Draft</t>
        </is>
      </c>
      <c r="C110" s="621" t="inlineStr">
        <is>
          <t>P/FCF_DRAFT</t>
        </is>
      </c>
      <c r="D110" s="622" t="inlineStr">
        <is>
          <t>V</t>
        </is>
      </c>
      <c r="E110" s="623" t="n">
        <v>73</v>
      </c>
      <c r="F110" s="623" t="n">
        <v>11</v>
      </c>
      <c r="G110" s="623" t="n">
        <v>1</v>
      </c>
      <c r="H110" s="622" t="inlineStr">
        <is>
          <t>[[CLOSEPRICE]/[FCFPS]]</t>
        </is>
      </c>
      <c r="I110" s="641" t="n"/>
      <c r="J110" s="623" t="n">
        <v>731</v>
      </c>
      <c r="K110" s="623" t="n"/>
      <c r="L110" s="623" t="inlineStr">
        <is>
          <t>x</t>
        </is>
      </c>
      <c r="M110" s="624">
        <f>IF(ISERROR(($P$125)/(M71)),"",($P$125)/(M71))</f>
        <v/>
      </c>
      <c r="N110" s="624">
        <f>IF(ISERROR(($P$125)/(N71)),"",($P$125)/(N71))</f>
        <v/>
      </c>
      <c r="O110" s="624">
        <f>IF(ISERROR(($P$125)/(O71)),"",($P$125)/(O71))</f>
        <v/>
      </c>
      <c r="P110" s="624">
        <f>IF(ISERROR(($P$125)/(P71)),"",($P$125)/(P71))</f>
        <v/>
      </c>
      <c r="Q110" s="589" t="n"/>
      <c r="R110" s="589" t="n"/>
    </row>
    <row r="111" customFormat="1" s="569">
      <c r="B111" s="604" t="inlineStr">
        <is>
          <t>EV/Sales (x)</t>
        </is>
      </c>
      <c r="C111" s="604" t="inlineStr">
        <is>
          <t>EV/SALES</t>
        </is>
      </c>
      <c r="D111" s="605" t="inlineStr">
        <is>
          <t>V</t>
        </is>
      </c>
      <c r="E111" s="591" t="n">
        <v>64</v>
      </c>
      <c r="F111" s="591" t="n">
        <v>12</v>
      </c>
      <c r="G111" s="591" t="n">
        <v>0</v>
      </c>
      <c r="H111" s="605" t="inlineStr">
        <is>
          <t>[[EV]/[SALES]]</t>
        </is>
      </c>
      <c r="I111" s="577" t="n"/>
      <c r="J111" s="591" t="n">
        <v>640</v>
      </c>
      <c r="K111" s="591" t="n"/>
      <c r="L111" s="591" t="inlineStr">
        <is>
          <t>x</t>
        </is>
      </c>
      <c r="M111" s="619">
        <f>IF(ISERROR(($P$127*1000000)/(M26*$M$14)),"",($P$127*1000000)/(M26*$M$14))</f>
        <v/>
      </c>
      <c r="N111" s="619">
        <f>IF(ISERROR(($P$127*1000000)/(N26*$M$14)),"",($P$127*1000000)/(N26*$M$14))</f>
        <v/>
      </c>
      <c r="O111" s="619">
        <f>IF(ISERROR(($P$127*1000000)/(O26*$M$14)),"",($P$127*1000000)/(O26*$M$14))</f>
        <v/>
      </c>
      <c r="P111" s="619">
        <f>IF(ISERROR(($P$127*1000000)/(P26*$M$14)),"",($P$127*1000000)/(P26*$M$14))</f>
        <v/>
      </c>
      <c r="Q111" s="589" t="n"/>
      <c r="R111" s="589" t="n"/>
    </row>
    <row r="112" customFormat="1" s="569">
      <c r="B112" s="656" t="inlineStr">
        <is>
          <t>Draft</t>
        </is>
      </c>
      <c r="C112" s="621" t="inlineStr">
        <is>
          <t>EV/SALES_DRAFT</t>
        </is>
      </c>
      <c r="D112" s="622" t="inlineStr">
        <is>
          <t>V</t>
        </is>
      </c>
      <c r="E112" s="623" t="n">
        <v>64</v>
      </c>
      <c r="F112" s="623" t="n">
        <v>12</v>
      </c>
      <c r="G112" s="623" t="n">
        <v>1</v>
      </c>
      <c r="H112" s="622" t="inlineStr">
        <is>
          <t>[[EV]/[SALES]]</t>
        </is>
      </c>
      <c r="I112" s="641" t="n"/>
      <c r="J112" s="623" t="n">
        <v>641</v>
      </c>
      <c r="K112" s="623" t="n"/>
      <c r="L112" s="623" t="inlineStr">
        <is>
          <t>x</t>
        </is>
      </c>
      <c r="M112" s="624">
        <f>IF(ISERROR(($P$127*1000000)/(M27*$M$14)),"",($P$127*1000000)/(M27*$M$14))</f>
        <v/>
      </c>
      <c r="N112" s="624">
        <f>IF(ISERROR(($P$127*1000000)/(N27*$M$14)),"",($P$127*1000000)/(N27*$M$14))</f>
        <v/>
      </c>
      <c r="O112" s="624">
        <f>IF(ISERROR(($P$127*1000000)/(O27*$M$14)),"",($P$127*1000000)/(O27*$M$14))</f>
        <v/>
      </c>
      <c r="P112" s="624">
        <f>IF(ISERROR(($P$127*1000000)/(P27*$M$14)),"",($P$127*1000000)/(P27*$M$14))</f>
        <v/>
      </c>
      <c r="Q112" s="589" t="n"/>
      <c r="R112" s="589" t="n"/>
    </row>
    <row r="113" customFormat="1" s="569">
      <c r="B113" s="618" t="inlineStr">
        <is>
          <t>EV/EBITDA (x)</t>
        </is>
      </c>
      <c r="C113" s="604" t="inlineStr">
        <is>
          <t>EV/EBITDA</t>
        </is>
      </c>
      <c r="D113" s="605" t="inlineStr">
        <is>
          <t>V</t>
        </is>
      </c>
      <c r="E113" s="591" t="n">
        <v>65</v>
      </c>
      <c r="F113" s="591" t="n">
        <v>13</v>
      </c>
      <c r="G113" s="591" t="n">
        <v>0</v>
      </c>
      <c r="H113" s="605" t="inlineStr">
        <is>
          <t>[[EV]/[EBITDA]]</t>
        </is>
      </c>
      <c r="I113" s="577" t="n"/>
      <c r="J113" s="591" t="n">
        <v>650</v>
      </c>
      <c r="K113" s="591" t="n"/>
      <c r="L113" s="591" t="inlineStr">
        <is>
          <t>x</t>
        </is>
      </c>
      <c r="M113" s="619">
        <f>IF(ISERROR(($P$127*1000000)/(M36*$M$14)),"",($P$127*1000000)/(M36*$M$14))</f>
        <v/>
      </c>
      <c r="N113" s="619">
        <f>IF(ISERROR(($P$127*1000000)/(N36*$M$14)),"",($P$127*1000000)/(N36*$M$14))</f>
        <v/>
      </c>
      <c r="O113" s="619">
        <f>IF(ISERROR(($P$127*1000000)/(O36*$M$14)),"",($P$127*1000000)/(O36*$M$14))</f>
        <v/>
      </c>
      <c r="P113" s="619">
        <f>IF(ISERROR(($P$127*1000000)/(P36*$M$14)),"",($P$127*1000000)/(P36*$M$14))</f>
        <v/>
      </c>
      <c r="Q113" s="589" t="n"/>
      <c r="R113" s="589" t="n"/>
    </row>
    <row r="114" customFormat="1" s="569">
      <c r="B114" s="655" t="inlineStr">
        <is>
          <t>Draft</t>
        </is>
      </c>
      <c r="C114" s="621" t="inlineStr">
        <is>
          <t>EV/EBITDA_DRAFT</t>
        </is>
      </c>
      <c r="D114" s="622" t="inlineStr">
        <is>
          <t>V</t>
        </is>
      </c>
      <c r="E114" s="623" t="n">
        <v>65</v>
      </c>
      <c r="F114" s="623" t="n">
        <v>13</v>
      </c>
      <c r="G114" s="623" t="n">
        <v>1</v>
      </c>
      <c r="H114" s="622" t="inlineStr">
        <is>
          <t>[[EV]/[EBITDA]]</t>
        </is>
      </c>
      <c r="I114" s="641" t="n"/>
      <c r="J114" s="623" t="n">
        <v>651</v>
      </c>
      <c r="K114" s="623" t="n"/>
      <c r="L114" s="623" t="inlineStr">
        <is>
          <t>x</t>
        </is>
      </c>
      <c r="M114" s="624">
        <f>IF(ISERROR(($P$127*1000000)/(M37*$M$14)),"",($P$127*1000000)/(M37*$M$14))</f>
        <v/>
      </c>
      <c r="N114" s="624">
        <f>IF(ISERROR(($P$127*1000000)/(N37*$M$14)),"",($P$127*1000000)/(N37*$M$14))</f>
        <v/>
      </c>
      <c r="O114" s="624">
        <f>IF(ISERROR(($P$127*1000000)/(O37*$M$14)),"",($P$127*1000000)/(O37*$M$14))</f>
        <v/>
      </c>
      <c r="P114" s="624">
        <f>IF(ISERROR(($P$127*1000000)/(P37*$M$14)),"",($P$127*1000000)/(P37*$M$14))</f>
        <v/>
      </c>
      <c r="Q114" s="589" t="n"/>
      <c r="R114" s="589" t="n"/>
    </row>
    <row r="115" customFormat="1" s="569">
      <c r="B115" s="604" t="inlineStr">
        <is>
          <t>EV/EBIT (x)</t>
        </is>
      </c>
      <c r="C115" s="604" t="inlineStr">
        <is>
          <t>EV/EBIT</t>
        </is>
      </c>
      <c r="D115" s="605" t="inlineStr">
        <is>
          <t>V</t>
        </is>
      </c>
      <c r="E115" s="591" t="n">
        <v>67</v>
      </c>
      <c r="F115" s="591" t="n">
        <v>15</v>
      </c>
      <c r="G115" s="591" t="n">
        <v>0</v>
      </c>
      <c r="H115" s="605" t="inlineStr">
        <is>
          <t>[[EV]/[EBIT]]</t>
        </is>
      </c>
      <c r="I115" s="577" t="n"/>
      <c r="J115" s="591" t="n">
        <v>670</v>
      </c>
      <c r="K115" s="591" t="n"/>
      <c r="L115" s="591" t="inlineStr">
        <is>
          <t>x</t>
        </is>
      </c>
      <c r="M115" s="619">
        <f>IF(ISERROR(($P$127*1000000)/(M38*$M$14)),"",($P$127*1000000)/(M38*$M$14))</f>
        <v/>
      </c>
      <c r="N115" s="619">
        <f>IF(ISERROR(($P$127*1000000)/(N38*$M$14)),"",($P$127*1000000)/(N38*$M$14))</f>
        <v/>
      </c>
      <c r="O115" s="619">
        <f>IF(ISERROR(($P$127*1000000)/(O38*$M$14)),"",($P$127*1000000)/(O38*$M$14))</f>
        <v/>
      </c>
      <c r="P115" s="619">
        <f>IF(ISERROR(($P$127*1000000)/(P38*$M$14)),"",($P$127*1000000)/(P38*$M$14))</f>
        <v/>
      </c>
      <c r="Q115" s="589" t="n"/>
      <c r="R115" s="589" t="n"/>
    </row>
    <row r="116" customFormat="1" s="569">
      <c r="B116" s="656" t="inlineStr">
        <is>
          <t>Draft</t>
        </is>
      </c>
      <c r="C116" s="621" t="inlineStr">
        <is>
          <t>EV/EBIT_DRAFT</t>
        </is>
      </c>
      <c r="D116" s="622" t="inlineStr">
        <is>
          <t>V</t>
        </is>
      </c>
      <c r="E116" s="623" t="n">
        <v>67</v>
      </c>
      <c r="F116" s="623" t="n">
        <v>15</v>
      </c>
      <c r="G116" s="623" t="n">
        <v>1</v>
      </c>
      <c r="H116" s="622" t="inlineStr">
        <is>
          <t>[[EV]/[EBIT]]</t>
        </is>
      </c>
      <c r="I116" s="641" t="n"/>
      <c r="J116" s="623" t="n">
        <v>671</v>
      </c>
      <c r="K116" s="623" t="n"/>
      <c r="L116" s="623" t="inlineStr">
        <is>
          <t>x</t>
        </is>
      </c>
      <c r="M116" s="624">
        <f>IF(ISERROR(($P$127*1000000)/(M39*$M$14)),"",($P$127*1000000)/(M39*$M$14))</f>
        <v/>
      </c>
      <c r="N116" s="624">
        <f>IF(ISERROR(($P$127*1000000)/(N39*$M$14)),"",($P$127*1000000)/(N39*$M$14))</f>
        <v/>
      </c>
      <c r="O116" s="624">
        <f>IF(ISERROR(($P$127*1000000)/(O39*$M$14)),"",($P$127*1000000)/(O39*$M$14))</f>
        <v/>
      </c>
      <c r="P116" s="624">
        <f>IF(ISERROR(($P$127*1000000)/(P39*$M$14)),"",($P$127*1000000)/(P39*$M$14))</f>
        <v/>
      </c>
      <c r="Q116" s="589" t="n"/>
      <c r="R116" s="589" t="n"/>
    </row>
    <row r="117" customFormat="1" s="569">
      <c r="B117" s="604" t="inlineStr">
        <is>
          <t>EV/FCF (x)</t>
        </is>
      </c>
      <c r="C117" s="604" t="inlineStr">
        <is>
          <t>EV/FCF</t>
        </is>
      </c>
      <c r="D117" s="605" t="inlineStr">
        <is>
          <t>V</t>
        </is>
      </c>
      <c r="E117" s="591" t="n">
        <v>74</v>
      </c>
      <c r="F117" s="591" t="n">
        <v>17</v>
      </c>
      <c r="G117" s="591" t="n">
        <v>0</v>
      </c>
      <c r="H117" s="605" t="inlineStr">
        <is>
          <t>[[EV]/[FCF]]</t>
        </is>
      </c>
      <c r="I117" s="577" t="n"/>
      <c r="J117" s="591" t="n">
        <v>740</v>
      </c>
      <c r="K117" s="591" t="n"/>
      <c r="L117" s="591" t="inlineStr">
        <is>
          <t>x</t>
        </is>
      </c>
      <c r="M117" s="619">
        <f>IF(ISERROR(($P$127*1000000)/(M64*$M$14)),"",($P$127*1000000)/(M64*$M$14))</f>
        <v/>
      </c>
      <c r="N117" s="619">
        <f>IF(ISERROR(($P$127*1000000)/(N64*$M$14)),"",($P$127*1000000)/(N64*$M$14))</f>
        <v/>
      </c>
      <c r="O117" s="619">
        <f>IF(ISERROR(($P$127*1000000)/(O64*$M$14)),"",($P$127*1000000)/(O64*$M$14))</f>
        <v/>
      </c>
      <c r="P117" s="619">
        <f>IF(ISERROR(($P$127*1000000)/(P64*$M$14)),"",($P$127*1000000)/(P64*$M$14))</f>
        <v/>
      </c>
      <c r="Q117" s="589" t="n"/>
      <c r="R117" s="589" t="n"/>
    </row>
    <row r="118" customFormat="1" s="569">
      <c r="B118" s="656" t="inlineStr">
        <is>
          <t>Draft</t>
        </is>
      </c>
      <c r="C118" s="621" t="inlineStr">
        <is>
          <t>EV/FCF_DRAFT</t>
        </is>
      </c>
      <c r="D118" s="622" t="inlineStr">
        <is>
          <t>V</t>
        </is>
      </c>
      <c r="E118" s="623" t="n">
        <v>74</v>
      </c>
      <c r="F118" s="623" t="n">
        <v>17</v>
      </c>
      <c r="G118" s="623" t="n">
        <v>1</v>
      </c>
      <c r="H118" s="622" t="inlineStr">
        <is>
          <t>[[EV]/[FCF]]</t>
        </is>
      </c>
      <c r="I118" s="641" t="n"/>
      <c r="J118" s="623" t="n">
        <v>741</v>
      </c>
      <c r="K118" s="623" t="n"/>
      <c r="L118" s="623" t="inlineStr">
        <is>
          <t>x</t>
        </is>
      </c>
      <c r="M118" s="624">
        <f>IF(ISERROR(($P$127*1000000)/(M65*$M$14)),"",($P$127*1000000)/(M65*$M$14))</f>
        <v/>
      </c>
      <c r="N118" s="624">
        <f>IF(ISERROR(($P$127*1000000)/(N65*$M$14)),"",($P$127*1000000)/(N65*$M$14))</f>
        <v/>
      </c>
      <c r="O118" s="624">
        <f>IF(ISERROR(($P$127*1000000)/(O65*$M$14)),"",($P$127*1000000)/(O65*$M$14))</f>
        <v/>
      </c>
      <c r="P118" s="624">
        <f>IF(ISERROR(($P$127*1000000)/(P65*$M$14)),"",($P$127*1000000)/(P65*$M$14))</f>
        <v/>
      </c>
      <c r="Q118" s="589" t="n"/>
      <c r="R118" s="589" t="n"/>
    </row>
    <row r="119" customFormat="1" s="569">
      <c r="B119" s="604" t="inlineStr">
        <is>
          <t>Div Yield (%)</t>
        </is>
      </c>
      <c r="C119" s="604" t="inlineStr">
        <is>
          <t>DIVYIELD</t>
        </is>
      </c>
      <c r="D119" s="605" t="inlineStr">
        <is>
          <t>V</t>
        </is>
      </c>
      <c r="E119" s="591" t="n">
        <v>69</v>
      </c>
      <c r="F119" s="591" t="n">
        <v>19</v>
      </c>
      <c r="G119" s="591" t="n">
        <v>0</v>
      </c>
      <c r="H119" s="605" t="inlineStr">
        <is>
          <t>[[DIVPS]/[CLOSEPRICE]]</t>
        </is>
      </c>
      <c r="I119" s="577" t="n"/>
      <c r="J119" s="591" t="n">
        <v>690</v>
      </c>
      <c r="K119" s="591" t="n"/>
      <c r="L119" s="591" t="inlineStr">
        <is>
          <t>%</t>
        </is>
      </c>
      <c r="M119" s="657">
        <f>IF(ISERROR((M68)/($P$125)),"",(M68)/($P$125))</f>
        <v/>
      </c>
      <c r="N119" s="657">
        <f>IF(ISERROR((N68)/($P$125)),"",(N68)/($P$125))</f>
        <v/>
      </c>
      <c r="O119" s="657">
        <f>IF(ISERROR((O68)/($P$125)),"",(O68)/($P$125))</f>
        <v/>
      </c>
      <c r="P119" s="657">
        <f>IF(ISERROR((P68)/($P$125)),"",(P68)/($P$125))</f>
        <v/>
      </c>
      <c r="Q119" s="589" t="n"/>
      <c r="R119" s="589" t="n"/>
    </row>
    <row r="120" customFormat="1" s="569">
      <c r="B120" s="656" t="inlineStr">
        <is>
          <t>Draft</t>
        </is>
      </c>
      <c r="C120" s="621" t="inlineStr">
        <is>
          <t>DIVYIELD_DRAFT</t>
        </is>
      </c>
      <c r="D120" s="622" t="inlineStr">
        <is>
          <t>V</t>
        </is>
      </c>
      <c r="E120" s="623" t="n">
        <v>69</v>
      </c>
      <c r="F120" s="623" t="n">
        <v>19</v>
      </c>
      <c r="G120" s="623" t="n">
        <v>1</v>
      </c>
      <c r="H120" s="622" t="inlineStr">
        <is>
          <t>[[DIVPS]/[CLOSEPRICE]]</t>
        </is>
      </c>
      <c r="I120" s="641" t="n"/>
      <c r="J120" s="623" t="n">
        <v>691</v>
      </c>
      <c r="K120" s="623" t="n"/>
      <c r="L120" s="623" t="inlineStr">
        <is>
          <t>%</t>
        </is>
      </c>
      <c r="M120" s="658">
        <f>IF(ISERROR((M69)/($P$125)),"",(M69)/($P$125))</f>
        <v/>
      </c>
      <c r="N120" s="658">
        <f>IF(ISERROR((N69)/($P$125)),"",(N69)/($P$125))</f>
        <v/>
      </c>
      <c r="O120" s="658">
        <f>IF(ISERROR((O69)/($P$125)),"",(O69)/($P$125))</f>
        <v/>
      </c>
      <c r="P120" s="658">
        <f>IF(ISERROR((P69)/($P$125)),"",(P69)/($P$125))</f>
        <v/>
      </c>
      <c r="Q120" s="589" t="n"/>
      <c r="R120" s="589" t="n"/>
    </row>
    <row r="121" customFormat="1" s="569">
      <c r="B121" s="604" t="inlineStr">
        <is>
          <t>FCF Yield (%)</t>
        </is>
      </c>
      <c r="C121" s="604" t="inlineStr">
        <is>
          <t>FCFYIELD</t>
        </is>
      </c>
      <c r="D121" s="605" t="inlineStr">
        <is>
          <t>V</t>
        </is>
      </c>
      <c r="E121" s="591" t="n">
        <v>70</v>
      </c>
      <c r="F121" s="591" t="n">
        <v>20</v>
      </c>
      <c r="G121" s="591" t="n">
        <v>0</v>
      </c>
      <c r="H121" s="605" t="inlineStr">
        <is>
          <t>[[FCFPS]/[CLOSEPRICE]]</t>
        </is>
      </c>
      <c r="I121" s="577" t="n"/>
      <c r="J121" s="591" t="n">
        <v>700</v>
      </c>
      <c r="K121" s="591" t="n"/>
      <c r="L121" s="591" t="inlineStr">
        <is>
          <t>%</t>
        </is>
      </c>
      <c r="M121" s="657">
        <f>IF(ISERROR((M70)/($P$125)),"",(M70)/($P$125))</f>
        <v/>
      </c>
      <c r="N121" s="657">
        <f>IF(ISERROR((N70)/($P$125)),"",(N70)/($P$125))</f>
        <v/>
      </c>
      <c r="O121" s="657">
        <f>IF(ISERROR((O70)/($P$125)),"",(O70)/($P$125))</f>
        <v/>
      </c>
      <c r="P121" s="657">
        <f>IF(ISERROR((P70)/($P$125)),"",(P70)/($P$125))</f>
        <v/>
      </c>
      <c r="Q121" s="589" t="n"/>
      <c r="R121" s="589" t="n"/>
    </row>
    <row r="122" ht="15" customFormat="1" customHeight="1" s="569" thickBot="1">
      <c r="B122" s="656" t="inlineStr">
        <is>
          <t>Draft</t>
        </is>
      </c>
      <c r="C122" s="621" t="inlineStr">
        <is>
          <t>FCFYIELD_DRAFT</t>
        </is>
      </c>
      <c r="D122" s="622" t="inlineStr">
        <is>
          <t>V</t>
        </is>
      </c>
      <c r="E122" s="623" t="n">
        <v>70</v>
      </c>
      <c r="F122" s="623" t="n">
        <v>20</v>
      </c>
      <c r="G122" s="623" t="n">
        <v>1</v>
      </c>
      <c r="H122" s="622" t="inlineStr">
        <is>
          <t>[[FCFPS]/[CLOSEPRICE]]</t>
        </is>
      </c>
      <c r="I122" s="641" t="n"/>
      <c r="J122" s="623" t="n">
        <v>701</v>
      </c>
      <c r="K122" s="623" t="n"/>
      <c r="L122" s="623" t="inlineStr">
        <is>
          <t>%</t>
        </is>
      </c>
      <c r="M122" s="658">
        <f>IF(ISERROR((M71)/($P$125)),"",(M71)/($P$125))</f>
        <v/>
      </c>
      <c r="N122" s="658">
        <f>IF(ISERROR((N71)/($P$125)),"",(N71)/($P$125))</f>
        <v/>
      </c>
      <c r="O122" s="658">
        <f>IF(ISERROR((O71)/($P$125)),"",(O71)/($P$125))</f>
        <v/>
      </c>
      <c r="P122" s="658">
        <f>IF(ISERROR((P71)/($P$125)),"",(P71)/($P$125))</f>
        <v/>
      </c>
      <c r="Q122" s="589" t="n"/>
      <c r="R122" s="589" t="n"/>
    </row>
    <row r="123" ht="17" customHeight="1" thickBot="1" thickTop="1">
      <c r="B123" s="584" t="inlineStr">
        <is>
          <t>MARKET DATA</t>
        </is>
      </c>
      <c r="C123" s="585" t="n">
        <v>18</v>
      </c>
      <c r="D123" s="585" t="n"/>
      <c r="E123" s="585" t="n"/>
      <c r="F123" s="585" t="n"/>
      <c r="G123" s="585" t="n"/>
      <c r="H123" s="585" t="n"/>
      <c r="I123" s="585" t="n"/>
      <c r="J123" s="585" t="n"/>
      <c r="K123" s="585" t="n"/>
      <c r="L123" s="585" t="n"/>
      <c r="M123" s="585" t="inlineStr">
        <is>
          <t>Bloomberg</t>
        </is>
      </c>
      <c r="N123" s="583" t="inlineStr">
        <is>
          <t>Override</t>
        </is>
      </c>
      <c r="O123" s="636" t="inlineStr">
        <is>
          <t>Corrections</t>
        </is>
      </c>
      <c r="P123" s="585" t="inlineStr">
        <is>
          <t>Effective</t>
        </is>
      </c>
    </row>
    <row r="124" ht="15" customHeight="1" thickTop="1">
      <c r="B124" s="579" t="inlineStr">
        <is>
          <t>Close Date</t>
        </is>
      </c>
      <c r="C124" s="579" t="inlineStr">
        <is>
          <t>CLOSEDATE</t>
        </is>
      </c>
      <c r="D124" s="580" t="inlineStr">
        <is>
          <t>M</t>
        </is>
      </c>
      <c r="E124" s="577" t="n">
        <v>75</v>
      </c>
      <c r="F124" s="577" t="n">
        <v>1</v>
      </c>
      <c r="G124" s="577" t="n"/>
      <c r="H124" s="580" t="n"/>
      <c r="I124" s="577" t="inlineStr">
        <is>
          <t>USD</t>
        </is>
      </c>
      <c r="J124" s="577" t="n">
        <v>75</v>
      </c>
      <c r="K124" s="577" t="n"/>
      <c r="L124" s="577" t="n"/>
      <c r="M124" s="942" t="n">
        <v>44607</v>
      </c>
      <c r="N124" s="943" t="n"/>
      <c r="O124" s="942" t="n"/>
      <c r="P124" s="942">
        <f>IF(ISBLANK(N124),M124,N124)</f>
        <v/>
      </c>
    </row>
    <row r="125">
      <c r="B125" s="626" t="inlineStr">
        <is>
          <t>Close Price (USD)</t>
        </is>
      </c>
      <c r="C125" s="626" t="inlineStr">
        <is>
          <t>CLOSEPRICE</t>
        </is>
      </c>
      <c r="D125" s="627" t="inlineStr">
        <is>
          <t>M</t>
        </is>
      </c>
      <c r="E125" s="628" t="n">
        <v>76</v>
      </c>
      <c r="F125" s="628" t="n">
        <v>2</v>
      </c>
      <c r="G125" s="628" t="n"/>
      <c r="H125" s="627" t="n"/>
      <c r="I125" s="628" t="inlineStr">
        <is>
          <t>USD</t>
        </is>
      </c>
      <c r="J125" s="628" t="n">
        <v>76</v>
      </c>
      <c r="K125" s="628" t="n"/>
      <c r="L125" s="628" t="n"/>
      <c r="M125" s="629" t="n">
        <v>137.55</v>
      </c>
      <c r="N125" s="612" t="n"/>
      <c r="O125" s="629" t="n"/>
      <c r="P125" s="629">
        <f>IF(ISBLANK(N125),M125,N125)</f>
        <v/>
      </c>
    </row>
    <row r="126">
      <c r="B126" s="579" t="inlineStr">
        <is>
          <t>Div Per Share</t>
        </is>
      </c>
      <c r="C126" s="579" t="inlineStr">
        <is>
          <t>DIVPERSH</t>
        </is>
      </c>
      <c r="D126" s="580" t="inlineStr">
        <is>
          <t>M</t>
        </is>
      </c>
      <c r="E126" s="577" t="n">
        <v>79</v>
      </c>
      <c r="F126" s="577" t="n">
        <v>5</v>
      </c>
      <c r="G126" s="577" t="n"/>
      <c r="H126" s="580" t="n"/>
      <c r="I126" s="577" t="inlineStr">
        <is>
          <t>USD</t>
        </is>
      </c>
      <c r="J126" s="577" t="n">
        <v>79</v>
      </c>
      <c r="K126" s="577" t="n"/>
      <c r="L126" s="577" t="n"/>
      <c r="M126" s="625" t="n"/>
      <c r="N126" s="612" t="n"/>
      <c r="O126" s="625" t="n"/>
      <c r="P126" s="625">
        <f>IF(ISBLANK(N126),M126,N126)</f>
        <v/>
      </c>
    </row>
    <row r="127">
      <c r="B127" s="626" t="inlineStr">
        <is>
          <t>EV (1,000,000)</t>
        </is>
      </c>
      <c r="C127" s="626" t="inlineStr">
        <is>
          <t>EV</t>
        </is>
      </c>
      <c r="D127" s="627" t="inlineStr">
        <is>
          <t>M</t>
        </is>
      </c>
      <c r="E127" s="628" t="n">
        <v>80</v>
      </c>
      <c r="F127" s="628" t="n">
        <v>6</v>
      </c>
      <c r="G127" s="628" t="n"/>
      <c r="H127" s="627" t="n"/>
      <c r="I127" s="628" t="inlineStr">
        <is>
          <t>USD</t>
        </is>
      </c>
      <c r="J127" s="628" t="n">
        <v>80</v>
      </c>
      <c r="K127" s="628" t="n"/>
      <c r="L127" s="630" t="n">
        <v>1000000</v>
      </c>
      <c r="M127" s="629" t="n">
        <v>5852.92</v>
      </c>
      <c r="N127" s="612" t="n"/>
      <c r="O127" s="629" t="n"/>
      <c r="P127" s="629">
        <f>IF(ISBLANK(N127),M127,N127)</f>
        <v/>
      </c>
    </row>
    <row r="128">
      <c r="B128" s="579" t="inlineStr">
        <is>
          <t>Net Debt (1,000,000)</t>
        </is>
      </c>
      <c r="C128" s="579" t="inlineStr">
        <is>
          <t>NETDEBT</t>
        </is>
      </c>
      <c r="D128" s="580" t="inlineStr">
        <is>
          <t>M</t>
        </is>
      </c>
      <c r="E128" s="577" t="n">
        <v>81</v>
      </c>
      <c r="F128" s="577" t="n">
        <v>7</v>
      </c>
      <c r="G128" s="577" t="n"/>
      <c r="H128" s="580" t="n"/>
      <c r="I128" s="577" t="inlineStr">
        <is>
          <t>USD</t>
        </is>
      </c>
      <c r="J128" s="577" t="n">
        <v>81</v>
      </c>
      <c r="K128" s="577" t="n"/>
      <c r="L128" s="631" t="n">
        <v>1000000</v>
      </c>
      <c r="M128" s="625" t="n"/>
      <c r="N128" s="612" t="n"/>
      <c r="O128" s="625" t="n"/>
      <c r="P128" s="625">
        <f>IF(ISBLANK(N128),M128,N128)</f>
        <v/>
      </c>
    </row>
    <row r="129">
      <c r="B129" s="626" t="inlineStr">
        <is>
          <t>52-Week Low</t>
        </is>
      </c>
      <c r="C129" s="626" t="inlineStr">
        <is>
          <t>52_WEEK_LOW</t>
        </is>
      </c>
      <c r="D129" s="627" t="inlineStr">
        <is>
          <t>M</t>
        </is>
      </c>
      <c r="E129" s="628" t="n">
        <v>82</v>
      </c>
      <c r="F129" s="628" t="n">
        <v>8</v>
      </c>
      <c r="G129" s="628" t="n"/>
      <c r="H129" s="627" t="n"/>
      <c r="I129" s="628" t="inlineStr">
        <is>
          <t>USD</t>
        </is>
      </c>
      <c r="J129" s="628" t="n">
        <v>82</v>
      </c>
      <c r="K129" s="628" t="n"/>
      <c r="L129" s="628" t="n"/>
      <c r="M129" s="629" t="n">
        <v>128.7</v>
      </c>
      <c r="N129" s="612" t="n"/>
      <c r="O129" s="629" t="n"/>
      <c r="P129" s="629">
        <f>IF(ISBLANK(N129),M129,N129)</f>
        <v/>
      </c>
    </row>
    <row r="130">
      <c r="B130" s="579" t="inlineStr">
        <is>
          <t>52-Week High</t>
        </is>
      </c>
      <c r="C130" s="579" t="inlineStr">
        <is>
          <t>52_WEEK_HIGH</t>
        </is>
      </c>
      <c r="D130" s="580" t="inlineStr">
        <is>
          <t>M</t>
        </is>
      </c>
      <c r="E130" s="577" t="n">
        <v>83</v>
      </c>
      <c r="F130" s="577" t="n">
        <v>9</v>
      </c>
      <c r="G130" s="577" t="n"/>
      <c r="H130" s="580" t="n"/>
      <c r="I130" s="577" t="inlineStr">
        <is>
          <t>USD</t>
        </is>
      </c>
      <c r="J130" s="577" t="n">
        <v>83</v>
      </c>
      <c r="K130" s="577" t="n"/>
      <c r="L130" s="577" t="n"/>
      <c r="M130" s="625" t="n">
        <v>257.9</v>
      </c>
      <c r="N130" s="612" t="n"/>
      <c r="O130" s="625" t="n"/>
      <c r="P130" s="625">
        <f>IF(ISBLANK(N130),M130,N130)</f>
        <v/>
      </c>
    </row>
    <row r="131">
      <c r="B131" s="626" t="inlineStr">
        <is>
          <t>FYE</t>
        </is>
      </c>
      <c r="C131" s="626" t="inlineStr">
        <is>
          <t>EQY_FISCAL_YR_END</t>
        </is>
      </c>
      <c r="D131" s="627" t="inlineStr">
        <is>
          <t>M</t>
        </is>
      </c>
      <c r="E131" s="628" t="n">
        <v>84</v>
      </c>
      <c r="F131" s="628" t="n">
        <v>10</v>
      </c>
      <c r="G131" s="628" t="n"/>
      <c r="H131" s="627" t="n"/>
      <c r="I131" s="628" t="inlineStr">
        <is>
          <t>USD</t>
        </is>
      </c>
      <c r="J131" s="628" t="n">
        <v>84</v>
      </c>
      <c r="K131" s="628" t="n"/>
      <c r="L131" s="628" t="n"/>
      <c r="M131" s="635" t="n">
        <v>44531</v>
      </c>
      <c r="N131" s="639" t="n"/>
      <c r="O131" s="635" t="n"/>
      <c r="P131" s="635">
        <f>IF(ISBLANK(N131),M131,N131)</f>
        <v/>
      </c>
    </row>
    <row r="132">
      <c r="B132" s="579" t="inlineStr">
        <is>
          <t>Indicated Div Yield (%)</t>
        </is>
      </c>
      <c r="C132" s="579" t="inlineStr">
        <is>
          <t>EQY_DVD_YLD_IND</t>
        </is>
      </c>
      <c r="D132" s="580" t="inlineStr">
        <is>
          <t>M</t>
        </is>
      </c>
      <c r="E132" s="577" t="n">
        <v>85</v>
      </c>
      <c r="F132" s="577" t="n">
        <v>11</v>
      </c>
      <c r="G132" s="577" t="n"/>
      <c r="H132" s="580" t="n"/>
      <c r="I132" s="577" t="inlineStr">
        <is>
          <t>USD</t>
        </is>
      </c>
      <c r="J132" s="577" t="n">
        <v>85</v>
      </c>
      <c r="K132" s="577" t="n"/>
      <c r="L132" s="577" t="inlineStr">
        <is>
          <t>%</t>
        </is>
      </c>
      <c r="M132" s="632" t="inlineStr">
        <is>
          <t>NA</t>
        </is>
      </c>
      <c r="N132" s="640" t="n"/>
      <c r="O132" s="632" t="n"/>
      <c r="P132" s="632">
        <f>IF(ISBLANK(N132),M132,N132)</f>
        <v/>
      </c>
    </row>
    <row r="133">
      <c r="B133" s="626" t="inlineStr">
        <is>
          <t>Market Cap (1,000,000)</t>
        </is>
      </c>
      <c r="C133" s="626" t="inlineStr">
        <is>
          <t>CUR_MKT_CAP</t>
        </is>
      </c>
      <c r="D133" s="627" t="inlineStr">
        <is>
          <t>M</t>
        </is>
      </c>
      <c r="E133" s="628" t="n">
        <v>86</v>
      </c>
      <c r="F133" s="628" t="n">
        <v>12</v>
      </c>
      <c r="G133" s="628" t="n"/>
      <c r="H133" s="627" t="n"/>
      <c r="I133" s="628" t="inlineStr">
        <is>
          <t>USD</t>
        </is>
      </c>
      <c r="J133" s="628" t="n">
        <v>86</v>
      </c>
      <c r="K133" s="628" t="n"/>
      <c r="L133" s="630" t="n">
        <v>1000000</v>
      </c>
      <c r="M133" s="629" t="n">
        <v>7332.63</v>
      </c>
      <c r="N133" s="612" t="n"/>
      <c r="O133" s="629" t="n"/>
      <c r="P133" s="629">
        <f>IF(ISBLANK(N133),M133,N133)</f>
        <v/>
      </c>
    </row>
    <row r="134">
      <c r="B134" s="579" t="inlineStr">
        <is>
          <t>Perf 1M (%)</t>
        </is>
      </c>
      <c r="C134" s="579" t="inlineStr">
        <is>
          <t>CHG_PCT_1M</t>
        </is>
      </c>
      <c r="D134" s="580" t="inlineStr">
        <is>
          <t>M</t>
        </is>
      </c>
      <c r="E134" s="577" t="n">
        <v>87</v>
      </c>
      <c r="F134" s="577" t="n">
        <v>13</v>
      </c>
      <c r="G134" s="577" t="n"/>
      <c r="H134" s="580" t="n"/>
      <c r="I134" s="577" t="inlineStr">
        <is>
          <t>USD</t>
        </is>
      </c>
      <c r="J134" s="577" t="n">
        <v>87</v>
      </c>
      <c r="K134" s="577" t="n"/>
      <c r="L134" s="577" t="inlineStr">
        <is>
          <t>%</t>
        </is>
      </c>
      <c r="M134" s="632" t="n">
        <v>-0.14698</v>
      </c>
      <c r="N134" s="640" t="n"/>
      <c r="O134" s="632" t="n"/>
      <c r="P134" s="632">
        <f>IF(ISBLANK(N134),M134,N134)</f>
        <v/>
      </c>
    </row>
    <row r="135">
      <c r="B135" s="626" t="inlineStr">
        <is>
          <t>Perf 3M (%)</t>
        </is>
      </c>
      <c r="C135" s="626" t="inlineStr">
        <is>
          <t>CHG_PCT_3M</t>
        </is>
      </c>
      <c r="D135" s="627" t="inlineStr">
        <is>
          <t>M</t>
        </is>
      </c>
      <c r="E135" s="628" t="n">
        <v>88</v>
      </c>
      <c r="F135" s="628" t="n">
        <v>14</v>
      </c>
      <c r="G135" s="628" t="n"/>
      <c r="H135" s="627" t="n"/>
      <c r="I135" s="628" t="inlineStr">
        <is>
          <t>USD</t>
        </is>
      </c>
      <c r="J135" s="628" t="n">
        <v>88</v>
      </c>
      <c r="K135" s="628" t="n"/>
      <c r="L135" s="628" t="inlineStr">
        <is>
          <t>%</t>
        </is>
      </c>
      <c r="M135" s="633" t="n"/>
      <c r="N135" s="640" t="n"/>
      <c r="O135" s="633" t="n"/>
      <c r="P135" s="633">
        <f>IF(ISBLANK(N135),M135,N135)</f>
        <v/>
      </c>
    </row>
    <row r="136">
      <c r="B136" s="579" t="inlineStr">
        <is>
          <t>Perf 6M (%)</t>
        </is>
      </c>
      <c r="C136" s="579" t="inlineStr">
        <is>
          <t>CHG_PCT_6M</t>
        </is>
      </c>
      <c r="D136" s="580" t="inlineStr">
        <is>
          <t>M</t>
        </is>
      </c>
      <c r="E136" s="577" t="n">
        <v>89</v>
      </c>
      <c r="F136" s="577" t="n">
        <v>15</v>
      </c>
      <c r="G136" s="577" t="n"/>
      <c r="H136" s="580" t="n"/>
      <c r="I136" s="577" t="inlineStr">
        <is>
          <t>USD</t>
        </is>
      </c>
      <c r="J136" s="577" t="n">
        <v>89</v>
      </c>
      <c r="K136" s="577" t="n"/>
      <c r="L136" s="577" t="inlineStr">
        <is>
          <t>%</t>
        </is>
      </c>
      <c r="M136" s="632" t="n">
        <v>-0.18667</v>
      </c>
      <c r="N136" s="640" t="n"/>
      <c r="O136" s="632" t="n"/>
      <c r="P136" s="632">
        <f>IF(ISBLANK(N136),M136,N136)</f>
        <v/>
      </c>
    </row>
    <row r="137">
      <c r="B137" s="626" t="inlineStr">
        <is>
          <t>Perf 12M (%)</t>
        </is>
      </c>
      <c r="C137" s="626" t="inlineStr">
        <is>
          <t>CHG_PCT_1YR</t>
        </is>
      </c>
      <c r="D137" s="627" t="inlineStr">
        <is>
          <t>M</t>
        </is>
      </c>
      <c r="E137" s="628" t="n">
        <v>90</v>
      </c>
      <c r="F137" s="628" t="n">
        <v>16</v>
      </c>
      <c r="G137" s="628" t="n"/>
      <c r="H137" s="627" t="n"/>
      <c r="I137" s="628" t="inlineStr">
        <is>
          <t>USD</t>
        </is>
      </c>
      <c r="J137" s="628" t="n">
        <v>90</v>
      </c>
      <c r="K137" s="628" t="n"/>
      <c r="L137" s="628" t="inlineStr">
        <is>
          <t>%</t>
        </is>
      </c>
      <c r="M137" s="633" t="n">
        <v>-0.45609</v>
      </c>
      <c r="N137" s="640" t="n"/>
      <c r="O137" s="633" t="n"/>
      <c r="P137" s="633">
        <f>IF(ISBLANK(N137),M137,N137)</f>
        <v/>
      </c>
    </row>
    <row r="138">
      <c r="B138" s="579" t="inlineStr">
        <is>
          <t>Perf YTD (%)</t>
        </is>
      </c>
      <c r="C138" s="579" t="inlineStr">
        <is>
          <t>CHG_PCT_YTD</t>
        </is>
      </c>
      <c r="D138" s="580" t="inlineStr">
        <is>
          <t>M</t>
        </is>
      </c>
      <c r="E138" s="577" t="n">
        <v>91</v>
      </c>
      <c r="F138" s="577" t="n">
        <v>17</v>
      </c>
      <c r="G138" s="577" t="n"/>
      <c r="H138" s="580" t="n"/>
      <c r="I138" s="577" t="inlineStr">
        <is>
          <t>USD</t>
        </is>
      </c>
      <c r="J138" s="577" t="n">
        <v>91</v>
      </c>
      <c r="K138" s="577" t="n"/>
      <c r="L138" s="577" t="inlineStr">
        <is>
          <t>%</t>
        </is>
      </c>
      <c r="M138" s="632" t="n">
        <v>-0.20094</v>
      </c>
      <c r="N138" s="640" t="n"/>
      <c r="O138" s="632" t="n"/>
      <c r="P138" s="632">
        <f>IF(ISBLANK(N138),M138,N138)</f>
        <v/>
      </c>
    </row>
    <row r="139">
      <c r="B139" s="626" t="inlineStr">
        <is>
          <t>Fund Currency</t>
        </is>
      </c>
      <c r="C139" s="626" t="inlineStr">
        <is>
          <t>EQY_FUND_CRNCY</t>
        </is>
      </c>
      <c r="D139" s="627" t="inlineStr">
        <is>
          <t>M</t>
        </is>
      </c>
      <c r="E139" s="628" t="n">
        <v>92</v>
      </c>
      <c r="F139" s="628" t="n">
        <v>18</v>
      </c>
      <c r="G139" s="628" t="n"/>
      <c r="H139" s="627" t="n"/>
      <c r="I139" s="628" t="inlineStr">
        <is>
          <t>USD</t>
        </is>
      </c>
      <c r="J139" s="628" t="n">
        <v>92</v>
      </c>
      <c r="K139" s="628" t="n"/>
      <c r="L139" s="628" t="n"/>
      <c r="M139" s="629" t="inlineStr">
        <is>
          <t>USD</t>
        </is>
      </c>
      <c r="N139" s="612" t="n"/>
      <c r="O139" s="629" t="n"/>
      <c r="P139" s="629">
        <f>IF(ISBLANK(N139),M139,N139)</f>
        <v/>
      </c>
    </row>
  </sheetData>
  <sheetProtection selectLockedCells="0" selectUnlockedCells="0" algorithmName="SHA-512" sheet="1" objects="1" insertRows="1" insertHyperlinks="1" autoFilter="1" scenarios="1" formatColumns="0" deleteColumns="1" insertColumns="1" pivotTables="1" deleteRows="1" formatCells="0" saltValue="DY8NCX+qVio+poX/bZx12A==" formatRows="0" sort="1" spinCount="100000" hashValue="76AtCxADwICQzMVwQ8iOrCrGdlq+28S84U+v7ur4awLB2VneEAUkNavm79guj9McCFAUConk1uBX1SrZepDEjw=="/>
  <pageMargins left="0.7" right="0.7" top="0.75" bottom="0.75" header="0.3" footer="0.3"/>
  <pageSetup orientation="portrait" paperSize="195"/>
</worksheet>
</file>

<file path=xl/worksheets/sheet11.xml><?xml version="1.0" encoding="utf-8"?>
<worksheet xmlns="http://schemas.openxmlformats.org/spreadsheetml/2006/main">
  <sheetPr codeName="Sheet9">
    <tabColor rgb="FF1E9BD7"/>
    <outlinePr summaryBelow="1" summaryRight="1"/>
    <pageSetUpPr/>
  </sheetPr>
  <dimension ref="A1:S163"/>
  <sheetViews>
    <sheetView topLeftCell="A58" zoomScaleNormal="100" workbookViewId="0">
      <selection activeCell="Q40" sqref="Q40"/>
    </sheetView>
  </sheetViews>
  <sheetFormatPr baseColWidth="10" defaultColWidth="9.1640625" defaultRowHeight="15"/>
  <cols>
    <col width="13.5" bestFit="1" customWidth="1" style="762" min="1" max="1"/>
    <col width="32.83203125" customWidth="1" style="762" min="2" max="2"/>
    <col width="33.5" customWidth="1" style="762" min="3" max="3"/>
    <col width="24.5" bestFit="1" customWidth="1" style="762" min="4" max="4"/>
    <col width="14.33203125" customWidth="1" style="762" min="5" max="5"/>
    <col width="11.33203125" bestFit="1" customWidth="1" style="762" min="6" max="6"/>
    <col width="15" customWidth="1" style="762" min="7" max="7"/>
    <col width="11.1640625" customWidth="1" style="762" min="8" max="8"/>
    <col width="10.5" customWidth="1" style="762" min="9" max="9"/>
    <col width="9.1640625" customWidth="1" style="762" min="10" max="15"/>
    <col width="18.83203125" bestFit="1" customWidth="1" style="762" min="16" max="16"/>
    <col width="10.6640625" customWidth="1" style="762" min="17" max="17"/>
    <col width="13.6640625" customWidth="1" style="762" min="18" max="18"/>
    <col width="9.1640625" customWidth="1" style="762" min="19" max="16384"/>
  </cols>
  <sheetData>
    <row r="1" ht="42.75" customHeight="1">
      <c r="A1" s="761" t="inlineStr">
        <is>
          <t>Company Name</t>
        </is>
      </c>
      <c r="B1" s="678">
        <f>_xll.BLUEMATRIX("/servlet/excelData",$E$4,"COMPANY_NAME")</f>
        <v/>
      </c>
      <c r="C1" s="678" t="n"/>
      <c r="D1" s="679" t="n"/>
      <c r="E1" s="679" t="n"/>
      <c r="H1" s="679" t="n"/>
      <c r="I1" s="763" t="n"/>
      <c r="J1" s="763" t="n"/>
      <c r="K1" s="763" t="n"/>
      <c r="L1" s="763" t="n"/>
      <c r="M1" s="763" t="n"/>
      <c r="N1" s="763" t="n"/>
      <c r="O1" s="763" t="n"/>
      <c r="P1" s="763" t="n"/>
      <c r="Q1" s="763" t="n"/>
      <c r="R1" s="763" t="n"/>
      <c r="S1" s="763" t="n"/>
    </row>
    <row r="2" ht="16.5" customHeight="1">
      <c r="B2" s="683" t="n"/>
      <c r="C2" s="683" t="n"/>
      <c r="D2" s="684" t="n"/>
      <c r="E2" s="679" t="n"/>
      <c r="H2" s="679" t="n"/>
      <c r="I2" s="763" t="n"/>
      <c r="J2" s="763" t="n"/>
      <c r="K2" s="763" t="n"/>
      <c r="L2" s="763" t="n"/>
      <c r="M2" s="763" t="n"/>
      <c r="N2" s="763" t="n"/>
      <c r="O2" s="763" t="n"/>
      <c r="P2" s="764" t="inlineStr">
        <is>
          <t>MARKET DATA</t>
        </is>
      </c>
      <c r="Q2" s="764" t="n"/>
      <c r="R2" s="765" t="n"/>
      <c r="S2" s="763" t="n"/>
    </row>
    <row r="3">
      <c r="B3" s="764" t="inlineStr">
        <is>
          <t>TICKER DATA</t>
        </is>
      </c>
      <c r="C3" s="764" t="inlineStr">
        <is>
          <t>DESCRIPTION</t>
        </is>
      </c>
      <c r="D3" s="766" t="inlineStr">
        <is>
          <t>BM Client Code</t>
        </is>
      </c>
      <c r="E3" s="766" t="inlineStr">
        <is>
          <t>Download</t>
        </is>
      </c>
      <c r="H3" s="679" t="n"/>
      <c r="L3" s="763" t="n"/>
      <c r="M3" s="763" t="n"/>
      <c r="N3" s="763" t="n"/>
      <c r="O3" s="763" t="n"/>
      <c r="P3" s="707" t="inlineStr">
        <is>
          <t>Close Date</t>
        </is>
      </c>
      <c r="Q3" s="694" t="inlineStr">
        <is>
          <t>PRICING_DATE_2</t>
        </is>
      </c>
      <c r="R3" s="767">
        <f>_xll.BLUEMATRIX("/servlet/excelData",$E$4,$Q3)</f>
        <v/>
      </c>
      <c r="S3" s="763" t="n"/>
    </row>
    <row r="4">
      <c r="A4" s="761" t="inlineStr">
        <is>
          <t>Enter Ticker</t>
        </is>
      </c>
      <c r="B4" s="693" t="inlineStr">
        <is>
          <t>Ticker</t>
        </is>
      </c>
      <c r="C4" s="693" t="n"/>
      <c r="D4" s="694" t="inlineStr">
        <is>
          <t>TICKER</t>
        </is>
      </c>
      <c r="E4" s="768" t="inlineStr">
        <is>
          <t>IPGP</t>
        </is>
      </c>
      <c r="H4" s="679" t="n"/>
      <c r="L4" s="763" t="n"/>
      <c r="M4" s="763" t="n"/>
      <c r="N4" s="763" t="n"/>
      <c r="O4" s="763" t="n"/>
      <c r="P4" s="707">
        <f>"Close Price" &amp; IFERROR(" (" &amp;#REF!&amp;")","")</f>
        <v/>
      </c>
      <c r="Q4" s="694" t="inlineStr">
        <is>
          <t>CLOSEPRICE</t>
        </is>
      </c>
      <c r="R4" s="767">
        <f>_xll.BLUEMATRIX("/servlet/excelData",$E$4,$Q4)</f>
        <v/>
      </c>
      <c r="S4" s="763" t="n"/>
    </row>
    <row r="5">
      <c r="B5" s="693" t="inlineStr">
        <is>
          <t>Analyst</t>
        </is>
      </c>
      <c r="C5" s="693" t="n"/>
      <c r="D5" s="694" t="inlineStr">
        <is>
          <t>ANALYST</t>
        </is>
      </c>
      <c r="E5" s="944">
        <f>_xll.BLUEMATRIX("/servlet/excelData",$E$4,$D5)</f>
        <v/>
      </c>
      <c r="L5" s="763" t="n"/>
      <c r="M5" s="763" t="n"/>
      <c r="N5" s="763" t="n"/>
      <c r="O5" s="763" t="n"/>
      <c r="P5" s="707" t="inlineStr">
        <is>
          <t>52-Week Low</t>
        </is>
      </c>
      <c r="Q5" s="694" t="inlineStr">
        <is>
          <t>52_WEEK_LOW</t>
        </is>
      </c>
      <c r="R5" s="767">
        <f>_xll.BLUEMATRIX("/servlet/excelData",$E$4,$Q5)</f>
        <v/>
      </c>
      <c r="S5" s="763" t="n"/>
    </row>
    <row r="6">
      <c r="B6" s="693" t="inlineStr">
        <is>
          <t>Exchange</t>
        </is>
      </c>
      <c r="C6" s="693" t="n"/>
      <c r="D6" s="694" t="inlineStr">
        <is>
          <t>EXCHANGE</t>
        </is>
      </c>
      <c r="E6" s="944">
        <f>_xll.BLUEMATRIX("/servlet/excelData",$E$4,$D6)</f>
        <v/>
      </c>
      <c r="L6" s="763" t="n"/>
      <c r="M6" s="763" t="n"/>
      <c r="N6" s="763" t="n"/>
      <c r="O6" s="763" t="n"/>
      <c r="P6" s="707" t="inlineStr">
        <is>
          <t>52-Week High</t>
        </is>
      </c>
      <c r="Q6" s="694" t="inlineStr">
        <is>
          <t>52_WEEK_HIGH</t>
        </is>
      </c>
      <c r="R6" s="767">
        <f>_xll.BLUEMATRIX("/servlet/excelData",$E$4,$Q6)</f>
        <v/>
      </c>
      <c r="S6" s="763" t="n"/>
    </row>
    <row r="7">
      <c r="B7" s="693" t="inlineStr">
        <is>
          <t>Exchange Currency</t>
        </is>
      </c>
      <c r="C7" s="693" t="n"/>
      <c r="D7" s="694" t="inlineStr">
        <is>
          <t>CURRENCY2</t>
        </is>
      </c>
      <c r="E7" s="944">
        <f>_xll.BLUEMATRIX("/servlet/excelData",$E$4,$D7)</f>
        <v/>
      </c>
      <c r="L7" s="763" t="n"/>
      <c r="M7" s="763" t="n"/>
      <c r="N7" s="763" t="n"/>
      <c r="O7" s="763" t="n"/>
      <c r="P7" s="707" t="inlineStr">
        <is>
          <t>Indicated Div Yield (%)</t>
        </is>
      </c>
      <c r="Q7" s="694" t="inlineStr">
        <is>
          <t>EQY_DVD_YLD_IND</t>
        </is>
      </c>
      <c r="R7" s="767">
        <f>_xll.BLUEMATRIX("/servlet/excelData",$E$4,$Q7)</f>
        <v/>
      </c>
      <c r="S7" s="763" t="n"/>
    </row>
    <row r="8">
      <c r="B8" s="693" t="inlineStr">
        <is>
          <t>Estimate Currency</t>
        </is>
      </c>
      <c r="C8" s="693" t="n"/>
      <c r="D8" s="694" t="inlineStr">
        <is>
          <t>CURRENCY1</t>
        </is>
      </c>
      <c r="E8" s="944">
        <f>_xll.BLUEMATRIX("/servlet/excelData",$E$4,$D8)</f>
        <v/>
      </c>
      <c r="L8" s="763" t="n"/>
      <c r="M8" s="763" t="n"/>
      <c r="N8" s="763" t="n"/>
      <c r="O8" s="763" t="n"/>
      <c r="P8" s="707" t="inlineStr">
        <is>
          <t>Market Cap</t>
        </is>
      </c>
      <c r="Q8" s="694" t="inlineStr">
        <is>
          <t>CUR_MKT_CAP</t>
        </is>
      </c>
      <c r="R8" s="767">
        <f>_xll.BLUEMATRIX("/servlet/excelData",$E$4,$Q8)</f>
        <v/>
      </c>
      <c r="S8" s="763" t="n"/>
    </row>
    <row r="9">
      <c r="B9" s="693" t="inlineStr">
        <is>
          <t>Fiscal Year End</t>
        </is>
      </c>
      <c r="C9" s="693" t="n"/>
      <c r="D9" s="694" t="inlineStr">
        <is>
          <t>FYEND</t>
        </is>
      </c>
      <c r="E9" s="944">
        <f>_xll.BLUEMATRIX("/servlet/excelData",$E$4,$D9)</f>
        <v/>
      </c>
      <c r="L9" s="763" t="n"/>
      <c r="M9" s="763" t="n"/>
      <c r="N9" s="763" t="n"/>
      <c r="O9" s="763" t="n"/>
      <c r="P9" s="707" t="inlineStr">
        <is>
          <t>EV</t>
        </is>
      </c>
      <c r="Q9" s="694" t="inlineStr">
        <is>
          <t>EV</t>
        </is>
      </c>
      <c r="R9" s="767">
        <f>_xll.BLUEMATRIX("/servlet/excelData",$E$4,$Q9)</f>
        <v/>
      </c>
      <c r="S9" s="763" t="n"/>
    </row>
    <row r="10">
      <c r="B10" s="764" t="inlineStr">
        <is>
          <t>STATIC ITEMS</t>
        </is>
      </c>
      <c r="C10" s="764" t="n"/>
      <c r="D10" s="764" t="n"/>
      <c r="E10" s="770" t="n"/>
      <c r="F10" s="766" t="inlineStr">
        <is>
          <t>Enter Draft</t>
        </is>
      </c>
      <c r="G10" s="771" t="inlineStr">
        <is>
          <t>BM Formula &amp; Result</t>
        </is>
      </c>
      <c r="P10" s="707" t="inlineStr">
        <is>
          <t>Perf YTD (%)</t>
        </is>
      </c>
      <c r="Q10" s="694" t="inlineStr">
        <is>
          <t>CHG_PCT_YTD</t>
        </is>
      </c>
      <c r="R10" s="767">
        <f>_xll.BLUEMATRIX("/servlet/excelData",$E$4,$Q10)</f>
        <v/>
      </c>
    </row>
    <row r="11">
      <c r="B11" s="772" t="inlineStr">
        <is>
          <t>Rating</t>
        </is>
      </c>
      <c r="C11" s="772" t="n"/>
      <c r="D11" s="694" t="inlineStr">
        <is>
          <t>RATING_SCB</t>
        </is>
      </c>
      <c r="E11" s="708">
        <f>_xll.BLUEMATRIX("/servlet/excelData",$E$4,$D11)</f>
        <v/>
      </c>
      <c r="F11" s="773" t="inlineStr">
        <is>
          <t>Market-Perform</t>
        </is>
      </c>
      <c r="G11" s="774">
        <f>_xll.BLUEMATRIX2("/servlet/excelData",F11,$E$4,$D11)</f>
        <v/>
      </c>
      <c r="H11" s="679" t="n"/>
      <c r="P11" s="707" t="inlineStr">
        <is>
          <t>Perf 1M (%)</t>
        </is>
      </c>
      <c r="Q11" s="694" t="inlineStr">
        <is>
          <t>CHG_PCT_1M</t>
        </is>
      </c>
      <c r="R11" s="767">
        <f>_xll.BLUEMATRIX("/servlet/excelData",$E$4,$Q11)</f>
        <v/>
      </c>
    </row>
    <row r="12">
      <c r="B12" s="772" t="inlineStr">
        <is>
          <t>Target Price</t>
        </is>
      </c>
      <c r="C12" s="772" t="n"/>
      <c r="D12" s="694" t="inlineStr">
        <is>
          <t>PRICE_TARGET</t>
        </is>
      </c>
      <c r="E12" s="708">
        <f>_xll.BLUEMATRIX("/servlet/excelData",$E$4,$D12)</f>
        <v/>
      </c>
      <c r="F12" s="773">
        <f>Valuation!B53</f>
        <v/>
      </c>
      <c r="G12" s="774">
        <f>_xll.BLUEMATRIX2("/servlet/excelData",F12,$E$4,$D12)</f>
        <v/>
      </c>
      <c r="H12" s="679" t="n"/>
      <c r="P12" s="707" t="inlineStr">
        <is>
          <t>Perf 6M (%)</t>
        </is>
      </c>
      <c r="Q12" s="694" t="inlineStr">
        <is>
          <t>CHG_PCT_6M</t>
        </is>
      </c>
      <c r="R12" s="767">
        <f>_xll.BLUEMATRIX("/servlet/excelData",$E$4,$Q12)</f>
        <v/>
      </c>
    </row>
    <row r="13">
      <c r="B13" s="775" t="inlineStr">
        <is>
          <t>Free Float</t>
        </is>
      </c>
      <c r="C13" s="775" t="n"/>
      <c r="D13" s="694" t="inlineStr">
        <is>
          <t>FREE_FLOAT</t>
        </is>
      </c>
      <c r="E13" s="708">
        <f>_xll.BLUEMATRIX("/servlet/excelData",$E$4,$D13)</f>
        <v/>
      </c>
      <c r="F13" s="773" t="n"/>
      <c r="G13" s="774">
        <f>_xll.BLUEMATRIX2("/servlet/excelData",F13,$E$4,$D13)</f>
        <v/>
      </c>
      <c r="H13" s="679" t="n"/>
      <c r="P13" s="707" t="inlineStr">
        <is>
          <t>Perf 12M (%)</t>
        </is>
      </c>
      <c r="Q13" s="694" t="inlineStr">
        <is>
          <t>CHG_PCT_1YR</t>
        </is>
      </c>
      <c r="R13" s="767">
        <f>_xll.BLUEMATRIX("/servlet/excelData",$E$4,$Q13)</f>
        <v/>
      </c>
    </row>
    <row r="14">
      <c r="B14" s="764" t="inlineStr">
        <is>
          <t>ESTIMATES - ANNUALS</t>
        </is>
      </c>
      <c r="C14" s="764" t="n"/>
      <c r="D14" s="764" t="n"/>
      <c r="E14" s="764" t="n">
        <v>2022</v>
      </c>
      <c r="F14" s="764" t="n">
        <v>2023</v>
      </c>
      <c r="G14" s="764" t="n">
        <v>2024</v>
      </c>
      <c r="H14" s="764" t="n">
        <v>2025</v>
      </c>
      <c r="I14" s="764" t="n">
        <v>2026</v>
      </c>
      <c r="J14" s="764" t="n">
        <v>2027</v>
      </c>
      <c r="K14" s="764" t="n">
        <v>2028</v>
      </c>
      <c r="L14" s="764" t="n">
        <v>2029</v>
      </c>
      <c r="M14" s="764" t="n">
        <v>2030</v>
      </c>
      <c r="N14" s="764" t="n">
        <v>2031</v>
      </c>
    </row>
    <row r="15" customFormat="1" s="777">
      <c r="A15" s="761" t="inlineStr">
        <is>
          <t>Set actual forecast</t>
        </is>
      </c>
      <c r="B15" s="776" t="n"/>
      <c r="C15" s="776" t="n"/>
      <c r="E15" s="778" t="inlineStr">
        <is>
          <t>A</t>
        </is>
      </c>
      <c r="F15" s="778" t="inlineStr">
        <is>
          <t>E</t>
        </is>
      </c>
      <c r="G15" s="778" t="inlineStr">
        <is>
          <t>E</t>
        </is>
      </c>
      <c r="H15" s="778" t="inlineStr">
        <is>
          <t>E</t>
        </is>
      </c>
      <c r="I15" s="778" t="inlineStr">
        <is>
          <t>E</t>
        </is>
      </c>
      <c r="J15" s="778" t="inlineStr">
        <is>
          <t>E</t>
        </is>
      </c>
      <c r="K15" s="778" t="inlineStr">
        <is>
          <t>E</t>
        </is>
      </c>
      <c r="L15" s="778" t="inlineStr">
        <is>
          <t>E</t>
        </is>
      </c>
      <c r="M15" s="778" t="inlineStr">
        <is>
          <t>E</t>
        </is>
      </c>
      <c r="N15" s="778" t="inlineStr">
        <is>
          <t>E</t>
        </is>
      </c>
    </row>
    <row r="16" ht="12" customFormat="1" customHeight="1" s="735">
      <c r="A16" s="779" t="inlineStr">
        <is>
          <t>Reported EPS</t>
        </is>
      </c>
      <c r="B16" s="707" t="inlineStr">
        <is>
          <t>Published (download)</t>
        </is>
      </c>
      <c r="C16" s="707" t="n"/>
      <c r="D16" s="780" t="inlineStr">
        <is>
          <t>EPSRPT</t>
        </is>
      </c>
      <c r="E16" s="781">
        <f>_xll.BLUEMATRIX("/servlet/excelData",$E$4,$D16&amp;":"&amp;E$14&amp;E$15&amp;":AN:NULL:FISCAL")</f>
        <v/>
      </c>
      <c r="F16" s="781">
        <f>_xll.BLUEMATRIX("/servlet/excelData",$E$4,$D16&amp;":"&amp;F$14&amp;F$15&amp;":AN:NULL:FISCAL")</f>
        <v/>
      </c>
      <c r="G16" s="781">
        <f>_xll.BLUEMATRIX("/servlet/excelData",$E$4,$D16&amp;":"&amp;G$14&amp;G$15&amp;":AN:NULL:FISCAL")</f>
        <v/>
      </c>
      <c r="H16" s="781">
        <f>_xll.BLUEMATRIX("/servlet/excelData",$E$4,$D16&amp;":"&amp;H$14&amp;H$15&amp;":AN:NULL:FISCAL")</f>
        <v/>
      </c>
      <c r="I16" s="781">
        <f>_xll.BLUEMATRIX("/servlet/excelData",$E$4,$D16&amp;":"&amp;I$14&amp;I$15&amp;":AN:NULL:FISCAL")</f>
        <v/>
      </c>
      <c r="J16" s="781">
        <f>_xll.BLUEMATRIX("/servlet/excelData",$E$4,$D16&amp;":"&amp;J$14&amp;J$15&amp;":AN:NULL:FISCAL")</f>
        <v/>
      </c>
      <c r="K16" s="781">
        <f>_xll.BLUEMATRIX("/servlet/excelData",$E$4,$D16&amp;":"&amp;K$14&amp;K$15&amp;":AN:NULL:FISCAL")</f>
        <v/>
      </c>
      <c r="L16" s="781">
        <f>_xll.BLUEMATRIX("/servlet/excelData",$E$4,$D16&amp;":"&amp;L$14&amp;L$15&amp;":AN:NULL:FISCAL")</f>
        <v/>
      </c>
      <c r="M16" s="781">
        <f>_xll.BLUEMATRIX("/servlet/excelData",$E$4,$D16&amp;":"&amp;M$14&amp;M$15&amp;":AN:NULL:FISCAL")</f>
        <v/>
      </c>
      <c r="N16" s="781">
        <f>_xll.BLUEMATRIX("/servlet/excelData",$E$4,$D16&amp;":"&amp;N$14&amp;N$15&amp;":AN:NULL:FISCAL")</f>
        <v/>
      </c>
    </row>
    <row r="17" customFormat="1" s="735">
      <c r="A17" s="779" t="n"/>
      <c r="B17" s="782" t="inlineStr">
        <is>
          <t>Enter Draft</t>
        </is>
      </c>
      <c r="C17" s="776" t="inlineStr">
        <is>
          <t>Adjusted for non recurring items - analyst choice - Using average fully diluted shares outstanding</t>
        </is>
      </c>
      <c r="D17" s="783" t="inlineStr">
        <is>
          <t>EPSRPT</t>
        </is>
      </c>
      <c r="E17" s="824">
        <f>FS_Y!Q30</f>
        <v/>
      </c>
      <c r="F17" s="824">
        <f>FS_Y!R30</f>
        <v/>
      </c>
      <c r="G17" s="824">
        <f>FS_Y!S30</f>
        <v/>
      </c>
      <c r="H17" s="824">
        <f>FS_Y!T30</f>
        <v/>
      </c>
      <c r="I17" s="824">
        <f>FS_Y!U30</f>
        <v/>
      </c>
      <c r="J17" s="824">
        <f>FS_Y!V30</f>
        <v/>
      </c>
      <c r="K17" s="824">
        <f>FS_Y!W30</f>
        <v/>
      </c>
      <c r="L17" s="945" t="n"/>
      <c r="M17" s="945" t="n"/>
      <c r="N17" s="945" t="n"/>
    </row>
    <row r="18" ht="12" customFormat="1" customHeight="1" s="735">
      <c r="A18" s="779" t="n"/>
      <c r="B18" s="786" t="inlineStr">
        <is>
          <t>BM Formula &amp; Result</t>
        </is>
      </c>
      <c r="C18" s="787" t="n"/>
      <c r="D18" s="788" t="inlineStr">
        <is>
          <t>EPSRPT</t>
        </is>
      </c>
      <c r="E18" s="710">
        <f>_xll.BLUEMATRIX2("/servlet/excelData",E17,$E$4,$D18&amp;":"&amp;E$14&amp;E$15&amp;":AN:NULL:FISCAL")</f>
        <v/>
      </c>
      <c r="F18" s="710">
        <f>_xll.BLUEMATRIX2("/servlet/excelData",F17,$E$4,$D18&amp;":"&amp;F$14&amp;F$15&amp;":AN:NULL:FISCAL")</f>
        <v/>
      </c>
      <c r="G18" s="710">
        <f>_xll.BLUEMATRIX2("/servlet/excelData",G17,$E$4,$D18&amp;":"&amp;G$14&amp;G$15&amp;":AN:NULL:FISCAL")</f>
        <v/>
      </c>
      <c r="H18" s="710">
        <f>_xll.BLUEMATRIX2("/servlet/excelData",H17,$E$4,$D18&amp;":"&amp;H$14&amp;H$15&amp;":AN:NULL:FISCAL")</f>
        <v/>
      </c>
      <c r="I18" s="710">
        <f>_xll.BLUEMATRIX2("/servlet/excelData",I17,$E$4,$D18&amp;":"&amp;I$14&amp;I$15&amp;":AN:NULL:FISCAL")</f>
        <v/>
      </c>
      <c r="J18" s="710">
        <f>_xll.BLUEMATRIX2("/servlet/excelData",J17,$E$4,$D18&amp;":"&amp;J$14&amp;J$15&amp;":AN:NULL:FISCAL")</f>
        <v/>
      </c>
      <c r="K18" s="710">
        <f>_xll.BLUEMATRIX2("/servlet/excelData",K17,$E$4,$D18&amp;":"&amp;K$14&amp;K$15&amp;":AN:NULL:FISCAL")</f>
        <v/>
      </c>
      <c r="L18" s="710">
        <f>_xll.BLUEMATRIX2("/servlet/excelData",L17,$E$4,$D18&amp;":"&amp;L$14&amp;L$15&amp;":AN:NULL:FISCAL")</f>
        <v/>
      </c>
      <c r="M18" s="710">
        <f>_xll.BLUEMATRIX2("/servlet/excelData",M17,$E$4,$D18&amp;":"&amp;M$14&amp;M$15&amp;":AN:NULL:FISCAL")</f>
        <v/>
      </c>
      <c r="N18" s="710">
        <f>_xll.BLUEMATRIX2("/servlet/excelData",N17,$E$4,$D18&amp;":"&amp;N$14&amp;N$15&amp;":AN:NULL:FISCAL")</f>
        <v/>
      </c>
    </row>
    <row r="19" ht="12" customFormat="1" customHeight="1" s="735">
      <c r="A19" s="789" t="inlineStr">
        <is>
          <t>Adjusted EPS</t>
        </is>
      </c>
      <c r="B19" s="790" t="inlineStr">
        <is>
          <t>Published (download)</t>
        </is>
      </c>
      <c r="C19" s="790" t="n"/>
      <c r="D19" s="791" t="inlineStr">
        <is>
          <t>EPSADJ</t>
        </is>
      </c>
      <c r="E19" s="792">
        <f>_xll.BLUEMATRIX("/servlet/excelData",$E$4,$D19&amp;":"&amp;E$14&amp;E$15&amp;":AN:NULL:FISCAL")</f>
        <v/>
      </c>
      <c r="F19" s="792">
        <f>_xll.BLUEMATRIX("/servlet/excelData",$E$4,$D19&amp;":"&amp;F$14&amp;F$15&amp;":AN:NULL:FISCAL")</f>
        <v/>
      </c>
      <c r="G19" s="792">
        <f>_xll.BLUEMATRIX("/servlet/excelData",$E$4,$D19&amp;":"&amp;G$14&amp;G$15&amp;":AN:NULL:FISCAL")</f>
        <v/>
      </c>
      <c r="H19" s="792">
        <f>_xll.BLUEMATRIX("/servlet/excelData",$E$4,$D19&amp;":"&amp;H$14&amp;H$15&amp;":AN:NULL:FISCAL")</f>
        <v/>
      </c>
      <c r="I19" s="792">
        <f>_xll.BLUEMATRIX("/servlet/excelData",$E$4,$D19&amp;":"&amp;I$14&amp;I$15&amp;":AN:NULL:FISCAL")</f>
        <v/>
      </c>
      <c r="J19" s="792">
        <f>_xll.BLUEMATRIX("/servlet/excelData",$E$4,$D19&amp;":"&amp;J$14&amp;J$15&amp;":AN:NULL:FISCAL")</f>
        <v/>
      </c>
      <c r="K19" s="792">
        <f>_xll.BLUEMATRIX("/servlet/excelData",$E$4,$D19&amp;":"&amp;K$14&amp;K$15&amp;":AN:NULL:FISCAL")</f>
        <v/>
      </c>
      <c r="L19" s="792">
        <f>_xll.BLUEMATRIX("/servlet/excelData",$E$4,$D19&amp;":"&amp;L$14&amp;L$15&amp;":AN:NULL:FISCAL")</f>
        <v/>
      </c>
      <c r="M19" s="792">
        <f>_xll.BLUEMATRIX("/servlet/excelData",$E$4,$D19&amp;":"&amp;M$14&amp;M$15&amp;":AN:NULL:FISCAL")</f>
        <v/>
      </c>
      <c r="N19" s="792">
        <f>_xll.BLUEMATRIX("/servlet/excelData",$E$4,$D19&amp;":"&amp;N$14&amp;N$15&amp;":AN:NULL:FISCAL")</f>
        <v/>
      </c>
    </row>
    <row r="20" customFormat="1" s="735">
      <c r="A20" s="779" t="n"/>
      <c r="B20" s="782" t="inlineStr">
        <is>
          <t>Enter Draft</t>
        </is>
      </c>
      <c r="C20" s="776" t="n"/>
      <c r="D20" s="783" t="inlineStr">
        <is>
          <t>EPSADJ</t>
        </is>
      </c>
      <c r="E20" s="831">
        <f>E17</f>
        <v/>
      </c>
      <c r="F20" s="831">
        <f>F17</f>
        <v/>
      </c>
      <c r="G20" s="831">
        <f>G17</f>
        <v/>
      </c>
      <c r="H20" s="831">
        <f>H17</f>
        <v/>
      </c>
      <c r="I20" s="831">
        <f>I17</f>
        <v/>
      </c>
      <c r="J20" s="831">
        <f>J17</f>
        <v/>
      </c>
      <c r="K20" s="831">
        <f>K17</f>
        <v/>
      </c>
      <c r="L20" s="784" t="n"/>
      <c r="M20" s="784" t="n"/>
      <c r="N20" s="784" t="n"/>
    </row>
    <row r="21" ht="12" customFormat="1" customHeight="1" s="735">
      <c r="A21" s="779" t="n"/>
      <c r="B21" s="786" t="inlineStr">
        <is>
          <t>BM Formula &amp; Result</t>
        </is>
      </c>
      <c r="C21" s="787" t="n"/>
      <c r="D21" s="788" t="inlineStr">
        <is>
          <t>EPSADJ</t>
        </is>
      </c>
      <c r="E21" s="710">
        <f>_xll.BLUEMATRIX2("/servlet/excelData",E20,$E$4,$D21&amp;":"&amp;E$14&amp;E$15&amp;":AN:NULL:FISCAL")</f>
        <v/>
      </c>
      <c r="F21" s="710">
        <f>_xll.BLUEMATRIX2("/servlet/excelData",F20,$E$4,$D21&amp;":"&amp;F$14&amp;F$15&amp;":AN:NULL:FISCAL")</f>
        <v/>
      </c>
      <c r="G21" s="710">
        <f>_xll.BLUEMATRIX2("/servlet/excelData",G20,$E$4,$D21&amp;":"&amp;G$14&amp;G$15&amp;":AN:NULL:FISCAL")</f>
        <v/>
      </c>
      <c r="H21" s="710">
        <f>_xll.BLUEMATRIX2("/servlet/excelData",H20,$E$4,$D21&amp;":"&amp;H$14&amp;H$15&amp;":AN:NULL:FISCAL")</f>
        <v/>
      </c>
      <c r="I21" s="710">
        <f>_xll.BLUEMATRIX2("/servlet/excelData",I20,$E$4,$D21&amp;":"&amp;I$14&amp;I$15&amp;":AN:NULL:FISCAL")</f>
        <v/>
      </c>
      <c r="J21" s="710">
        <f>_xll.BLUEMATRIX2("/servlet/excelData",J20,$E$4,$D21&amp;":"&amp;J$14&amp;J$15&amp;":AN:NULL:FISCAL")</f>
        <v/>
      </c>
      <c r="K21" s="710">
        <f>_xll.BLUEMATRIX2("/servlet/excelData",K20,$E$4,$D21&amp;":"&amp;K$14&amp;K$15&amp;":AN:NULL:FISCAL")</f>
        <v/>
      </c>
      <c r="L21" s="710">
        <f>_xll.BLUEMATRIX2("/servlet/excelData",L20,$E$4,$D21&amp;":"&amp;L$14&amp;L$15&amp;":AN:NULL:FISCAL")</f>
        <v/>
      </c>
      <c r="M21" s="710">
        <f>_xll.BLUEMATRIX2("/servlet/excelData",M20,$E$4,$D21&amp;":"&amp;M$14&amp;M$15&amp;":AN:NULL:FISCAL")</f>
        <v/>
      </c>
      <c r="N21" s="710">
        <f>_xll.BLUEMATRIX2("/servlet/excelData",N20,$E$4,$D21&amp;":"&amp;N$14&amp;N$15&amp;":AN:NULL:FISCAL")</f>
        <v/>
      </c>
    </row>
    <row r="22">
      <c r="A22" s="794" t="inlineStr">
        <is>
          <t>Balance Sheet</t>
        </is>
      </c>
      <c r="B22" s="795" t="inlineStr">
        <is>
          <t>Total Long-Term Assets</t>
        </is>
      </c>
      <c r="C22" s="796" t="inlineStr">
        <is>
          <t xml:space="preserve">Total long term assets on balance sheet </t>
        </is>
      </c>
      <c r="D22" s="797" t="inlineStr">
        <is>
          <t>TotalLTAssets</t>
        </is>
      </c>
      <c r="E22" s="832">
        <f>(FS_Y!Q56-FS_Y!Q51)/1000</f>
        <v/>
      </c>
      <c r="F22" s="832">
        <f>(FS_Y!R56-FS_Y!R51)/1000</f>
        <v/>
      </c>
      <c r="G22" s="832">
        <f>(FS_Y!S56-FS_Y!S51)/1000</f>
        <v/>
      </c>
      <c r="H22" s="832">
        <f>(FS_Y!T56-FS_Y!T51)/1000</f>
        <v/>
      </c>
      <c r="I22" s="832">
        <f>(FS_Y!U56-FS_Y!U51)/1000</f>
        <v/>
      </c>
      <c r="J22" s="832">
        <f>(FS_Y!V56-FS_Y!V51)/1000</f>
        <v/>
      </c>
      <c r="K22" s="832">
        <f>(FS_Y!W56-FS_Y!W51)/1000</f>
        <v/>
      </c>
      <c r="L22" s="798" t="n"/>
      <c r="M22" s="798" t="n"/>
      <c r="N22" s="798" t="n"/>
    </row>
    <row r="23" ht="15" customHeight="1">
      <c r="A23" s="799" t="n"/>
      <c r="B23" s="786" t="inlineStr">
        <is>
          <t>BM Formula &amp; Result</t>
        </is>
      </c>
      <c r="C23" s="787" t="n"/>
      <c r="D23" s="800" t="inlineStr">
        <is>
          <t>TotalLTAssets</t>
        </is>
      </c>
      <c r="E23" s="946">
        <f>_xll.BLUEMATRIX2("/servlet/excelData",E22,$E$4,$D23&amp;":"&amp;E$14&amp;E$15&amp;":AN:NULL:FISCAL")</f>
        <v/>
      </c>
      <c r="F23" s="946">
        <f>_xll.BLUEMATRIX2("/servlet/excelData",F22,$E$4,$D23&amp;":"&amp;F$14&amp;F$15&amp;":AN:NULL:FISCAL")</f>
        <v/>
      </c>
      <c r="G23" s="946">
        <f>_xll.BLUEMATRIX2("/servlet/excelData",G22,$E$4,$D23&amp;":"&amp;G$14&amp;G$15&amp;":AN:NULL:FISCAL")</f>
        <v/>
      </c>
      <c r="H23" s="946">
        <f>_xll.BLUEMATRIX2("/servlet/excelData",H22,$E$4,$D23&amp;":"&amp;H$14&amp;H$15&amp;":AN:NULL:FISCAL")</f>
        <v/>
      </c>
      <c r="I23" s="946">
        <f>_xll.BLUEMATRIX2("/servlet/excelData",I22,$E$4,$D23&amp;":"&amp;I$14&amp;I$15&amp;":AN:NULL:FISCAL")</f>
        <v/>
      </c>
      <c r="J23" s="946">
        <f>_xll.BLUEMATRIX2("/servlet/excelData",J22,$E$4,$D23&amp;":"&amp;J$14&amp;J$15&amp;":AN:NULL:FISCAL")</f>
        <v/>
      </c>
      <c r="K23" s="946">
        <f>_xll.BLUEMATRIX2("/servlet/excelData",K22,$E$4,$D23&amp;":"&amp;K$14&amp;K$15&amp;":AN:NULL:FISCAL")</f>
        <v/>
      </c>
      <c r="L23" s="710">
        <f>_xll.BLUEMATRIX2("/servlet/excelData",L22,$E$4,$D23&amp;":"&amp;L$14&amp;L$15&amp;":AN:NULL:FISCAL")</f>
        <v/>
      </c>
      <c r="M23" s="710">
        <f>_xll.BLUEMATRIX2("/servlet/excelData",M22,$E$4,$D23&amp;":"&amp;M$14&amp;M$15&amp;":AN:NULL:FISCAL")</f>
        <v/>
      </c>
      <c r="N23" s="710">
        <f>_xll.BLUEMATRIX2("/servlet/excelData",N22,$E$4,$D23&amp;":"&amp;N$14&amp;N$15&amp;":AN:NULL:FISCAL")</f>
        <v/>
      </c>
    </row>
    <row r="24">
      <c r="A24" s="799" t="n"/>
      <c r="B24" s="782" t="inlineStr">
        <is>
          <t>Goodwill</t>
        </is>
      </c>
      <c r="C24" s="782" t="inlineStr">
        <is>
          <t>Goodwill component of intangible assets and goodwill item</t>
        </is>
      </c>
      <c r="D24" s="783" t="inlineStr">
        <is>
          <t>Goodwill</t>
        </is>
      </c>
      <c r="E24" s="833">
        <f>(FS_Y!Q53)/1000</f>
        <v/>
      </c>
      <c r="F24" s="833">
        <f>(FS_Y!R53)/1000</f>
        <v/>
      </c>
      <c r="G24" s="833">
        <f>(FS_Y!S53)/1000</f>
        <v/>
      </c>
      <c r="H24" s="833">
        <f>(FS_Y!T53)/1000</f>
        <v/>
      </c>
      <c r="I24" s="833">
        <f>(FS_Y!U53)/1000</f>
        <v/>
      </c>
      <c r="J24" s="833">
        <f>(FS_Y!V53)/1000</f>
        <v/>
      </c>
      <c r="K24" s="833">
        <f>(FS_Y!W53)/1000</f>
        <v/>
      </c>
      <c r="L24" s="793" t="n"/>
      <c r="M24" s="793" t="n"/>
      <c r="N24" s="793" t="n"/>
    </row>
    <row r="25" ht="12" customHeight="1">
      <c r="A25" s="799" t="n"/>
      <c r="B25" s="786" t="inlineStr">
        <is>
          <t>BM Formula &amp; Result</t>
        </is>
      </c>
      <c r="C25" s="787" t="n"/>
      <c r="D25" s="800" t="inlineStr">
        <is>
          <t>Goodwill</t>
        </is>
      </c>
      <c r="E25" s="946">
        <f>_xll.BLUEMATRIX2("/servlet/excelData",E24,$E$4,$D25&amp;":"&amp;E$14&amp;E$15&amp;":AN:NULL:FISCAL")</f>
        <v/>
      </c>
      <c r="F25" s="946">
        <f>_xll.BLUEMATRIX2("/servlet/excelData",F24,$E$4,$D25&amp;":"&amp;F$14&amp;F$15&amp;":AN:NULL:FISCAL")</f>
        <v/>
      </c>
      <c r="G25" s="946">
        <f>_xll.BLUEMATRIX2("/servlet/excelData",G24,$E$4,$D25&amp;":"&amp;G$14&amp;G$15&amp;":AN:NULL:FISCAL")</f>
        <v/>
      </c>
      <c r="H25" s="946">
        <f>_xll.BLUEMATRIX2("/servlet/excelData",H24,$E$4,$D25&amp;":"&amp;H$14&amp;H$15&amp;":AN:NULL:FISCAL")</f>
        <v/>
      </c>
      <c r="I25" s="946">
        <f>_xll.BLUEMATRIX2("/servlet/excelData",I24,$E$4,$D25&amp;":"&amp;I$14&amp;I$15&amp;":AN:NULL:FISCAL")</f>
        <v/>
      </c>
      <c r="J25" s="946">
        <f>_xll.BLUEMATRIX2("/servlet/excelData",J24,$E$4,$D25&amp;":"&amp;J$14&amp;J$15&amp;":AN:NULL:FISCAL")</f>
        <v/>
      </c>
      <c r="K25" s="946">
        <f>_xll.BLUEMATRIX2("/servlet/excelData",K24,$E$4,$D25&amp;":"&amp;K$14&amp;K$15&amp;":AN:NULL:FISCAL")</f>
        <v/>
      </c>
      <c r="L25" s="710">
        <f>_xll.BLUEMATRIX2("/servlet/excelData",L24,$E$4,$D25&amp;":"&amp;L$14&amp;L$15&amp;":AN:NULL:FISCAL")</f>
        <v/>
      </c>
      <c r="M25" s="710">
        <f>_xll.BLUEMATRIX2("/servlet/excelData",M24,$E$4,$D25&amp;":"&amp;M$14&amp;M$15&amp;":AN:NULL:FISCAL")</f>
        <v/>
      </c>
      <c r="N25" s="710">
        <f>_xll.BLUEMATRIX2("/servlet/excelData",N24,$E$4,$D25&amp;":"&amp;N$14&amp;N$15&amp;":AN:NULL:FISCAL")</f>
        <v/>
      </c>
    </row>
    <row r="26">
      <c r="A26" s="799" t="n"/>
      <c r="B26" s="782" t="inlineStr">
        <is>
          <t>Other Intangible Assets (M)</t>
        </is>
      </c>
      <c r="C26" s="801" t="n"/>
      <c r="D26" s="783" t="inlineStr">
        <is>
          <t>INTANGIBLE_ASSETS</t>
        </is>
      </c>
      <c r="E26" s="947" t="n"/>
      <c r="F26" s="947" t="n"/>
      <c r="G26" s="947" t="n"/>
      <c r="H26" s="947" t="n"/>
      <c r="I26" s="947" t="n"/>
      <c r="J26" s="947" t="n"/>
      <c r="K26" s="947" t="n"/>
      <c r="L26" s="793" t="n"/>
      <c r="M26" s="793" t="n"/>
      <c r="N26" s="793" t="n"/>
    </row>
    <row r="27">
      <c r="A27" s="799" t="n"/>
      <c r="B27" s="786" t="inlineStr">
        <is>
          <t>BM Formula &amp; Result</t>
        </is>
      </c>
      <c r="C27" s="787" t="n"/>
      <c r="D27" s="800" t="inlineStr">
        <is>
          <t>INTANGIBLE_ASSETS</t>
        </is>
      </c>
      <c r="E27" s="946">
        <f>_xll.BLUEMATRIX2("/servlet/excelData",E26,$E$4,$D27&amp;":"&amp;E$14&amp;E$15&amp;":AN:NULL:FISCAL")</f>
        <v/>
      </c>
      <c r="F27" s="946">
        <f>_xll.BLUEMATRIX2("/servlet/excelData",F26,$E$4,$D27&amp;":"&amp;F$14&amp;F$15&amp;":AN:NULL:FISCAL")</f>
        <v/>
      </c>
      <c r="G27" s="946">
        <f>_xll.BLUEMATRIX2("/servlet/excelData",G26,$E$4,$D27&amp;":"&amp;G$14&amp;G$15&amp;":AN:NULL:FISCAL")</f>
        <v/>
      </c>
      <c r="H27" s="946">
        <f>_xll.BLUEMATRIX2("/servlet/excelData",H26,$E$4,$D27&amp;":"&amp;H$14&amp;H$15&amp;":AN:NULL:FISCAL")</f>
        <v/>
      </c>
      <c r="I27" s="946">
        <f>_xll.BLUEMATRIX2("/servlet/excelData",I26,$E$4,$D27&amp;":"&amp;I$14&amp;I$15&amp;":AN:NULL:FISCAL")</f>
        <v/>
      </c>
      <c r="J27" s="946">
        <f>_xll.BLUEMATRIX2("/servlet/excelData",J26,$E$4,$D27&amp;":"&amp;J$14&amp;J$15&amp;":AN:NULL:FISCAL")</f>
        <v/>
      </c>
      <c r="K27" s="946">
        <f>_xll.BLUEMATRIX2("/servlet/excelData",K26,$E$4,$D27&amp;":"&amp;K$14&amp;K$15&amp;":AN:NULL:FISCAL")</f>
        <v/>
      </c>
      <c r="L27" s="710">
        <f>_xll.BLUEMATRIX2("/servlet/excelData",L26,$E$4,$D27&amp;":"&amp;L$14&amp;L$15&amp;":AN:NULL:FISCAL")</f>
        <v/>
      </c>
      <c r="M27" s="710">
        <f>_xll.BLUEMATRIX2("/servlet/excelData",M26,$E$4,$D27&amp;":"&amp;M$14&amp;M$15&amp;":AN:NULL:FISCAL")</f>
        <v/>
      </c>
      <c r="N27" s="710">
        <f>_xll.BLUEMATRIX2("/servlet/excelData",N26,$E$4,$D27&amp;":"&amp;N$14&amp;N$15&amp;":AN:NULL:FISCAL")</f>
        <v/>
      </c>
    </row>
    <row r="28">
      <c r="A28" s="799" t="n"/>
      <c r="B28" s="782" t="inlineStr">
        <is>
          <t>Tangible assets (incl. leased assets)</t>
        </is>
      </c>
      <c r="C28" s="782" t="inlineStr">
        <is>
          <t>Tangible assets includes leased assed (finance lease) for IFRS years</t>
        </is>
      </c>
      <c r="D28" s="783" t="inlineStr">
        <is>
          <t>TANGIBLE_ASSETS</t>
        </is>
      </c>
      <c r="E28" s="833">
        <f>(FS_Y!Q54)/1000</f>
        <v/>
      </c>
      <c r="F28" s="833">
        <f>(FS_Y!R54)/1000</f>
        <v/>
      </c>
      <c r="G28" s="833">
        <f>(FS_Y!S54)/1000</f>
        <v/>
      </c>
      <c r="H28" s="833">
        <f>(FS_Y!T54)/1000</f>
        <v/>
      </c>
      <c r="I28" s="833">
        <f>(FS_Y!U54)/1000</f>
        <v/>
      </c>
      <c r="J28" s="833">
        <f>(FS_Y!V54)/1000</f>
        <v/>
      </c>
      <c r="K28" s="833">
        <f>(FS_Y!W54)/1000</f>
        <v/>
      </c>
      <c r="L28" s="793" t="n"/>
      <c r="M28" s="793" t="n"/>
      <c r="N28" s="793" t="n"/>
    </row>
    <row r="29" ht="12" customHeight="1">
      <c r="A29" s="799" t="n"/>
      <c r="B29" s="786" t="inlineStr">
        <is>
          <t>BM Formula &amp; Result</t>
        </is>
      </c>
      <c r="C29" s="787" t="n"/>
      <c r="D29" s="800" t="inlineStr">
        <is>
          <t>TANGIBLE_ASSETS</t>
        </is>
      </c>
      <c r="E29" s="946">
        <f>_xll.BLUEMATRIX2("/servlet/excelData",E28,$E$4,$D29&amp;":"&amp;E$14&amp;E$15&amp;":AN:NULL:FISCAL")</f>
        <v/>
      </c>
      <c r="F29" s="946">
        <f>_xll.BLUEMATRIX2("/servlet/excelData",F28,$E$4,$D29&amp;":"&amp;F$14&amp;F$15&amp;":AN:NULL:FISCAL")</f>
        <v/>
      </c>
      <c r="G29" s="946">
        <f>_xll.BLUEMATRIX2("/servlet/excelData",G28,$E$4,$D29&amp;":"&amp;G$14&amp;G$15&amp;":AN:NULL:FISCAL")</f>
        <v/>
      </c>
      <c r="H29" s="946">
        <f>_xll.BLUEMATRIX2("/servlet/excelData",H28,$E$4,$D29&amp;":"&amp;H$14&amp;H$15&amp;":AN:NULL:FISCAL")</f>
        <v/>
      </c>
      <c r="I29" s="946">
        <f>_xll.BLUEMATRIX2("/servlet/excelData",I28,$E$4,$D29&amp;":"&amp;I$14&amp;I$15&amp;":AN:NULL:FISCAL")</f>
        <v/>
      </c>
      <c r="J29" s="946">
        <f>_xll.BLUEMATRIX2("/servlet/excelData",J28,$E$4,$D29&amp;":"&amp;J$14&amp;J$15&amp;":AN:NULL:FISCAL")</f>
        <v/>
      </c>
      <c r="K29" s="946">
        <f>_xll.BLUEMATRIX2("/servlet/excelData",K28,$E$4,$D29&amp;":"&amp;K$14&amp;K$15&amp;":AN:NULL:FISCAL")</f>
        <v/>
      </c>
      <c r="L29" s="710">
        <f>_xll.BLUEMATRIX2("/servlet/excelData",L28,$E$4,$D29&amp;":"&amp;L$14&amp;L$15&amp;":AN:NULL:FISCAL")</f>
        <v/>
      </c>
      <c r="M29" s="710">
        <f>_xll.BLUEMATRIX2("/servlet/excelData",M28,$E$4,$D29&amp;":"&amp;M$14&amp;M$15&amp;":AN:NULL:FISCAL")</f>
        <v/>
      </c>
      <c r="N29" s="710">
        <f>_xll.BLUEMATRIX2("/servlet/excelData",N28,$E$4,$D29&amp;":"&amp;N$14&amp;N$15&amp;":AN:NULL:FISCAL")</f>
        <v/>
      </c>
    </row>
    <row r="30" customFormat="1" s="735">
      <c r="A30" s="799" t="n"/>
      <c r="B30" s="782" t="inlineStr">
        <is>
          <t>Other long-term assets</t>
        </is>
      </c>
      <c r="C30" s="782" t="inlineStr">
        <is>
          <t>Other long-term assets</t>
        </is>
      </c>
      <c r="D30" s="783" t="inlineStr">
        <is>
          <t>OTHER_LT_ASSETS</t>
        </is>
      </c>
      <c r="E30" s="833">
        <f>E22-E28-E24</f>
        <v/>
      </c>
      <c r="F30" s="833">
        <f>F22-F28-F24</f>
        <v/>
      </c>
      <c r="G30" s="833">
        <f>G22-G28-G24</f>
        <v/>
      </c>
      <c r="H30" s="833">
        <f>H22-H28-H24</f>
        <v/>
      </c>
      <c r="I30" s="833">
        <f>I22-I28-I24</f>
        <v/>
      </c>
      <c r="J30" s="833">
        <f>J22-J28-J24</f>
        <v/>
      </c>
      <c r="K30" s="833">
        <f>K22-K28-K24</f>
        <v/>
      </c>
      <c r="L30" s="793" t="n"/>
      <c r="M30" s="793" t="n"/>
      <c r="N30" s="793" t="n"/>
    </row>
    <row r="31" ht="12" customFormat="1" customHeight="1" s="735">
      <c r="A31" s="799" t="n"/>
      <c r="B31" s="786" t="inlineStr">
        <is>
          <t>BM Formula &amp; Result</t>
        </is>
      </c>
      <c r="C31" s="787" t="n"/>
      <c r="D31" s="800" t="inlineStr">
        <is>
          <t>OTHER_LT_ASSETS</t>
        </is>
      </c>
      <c r="E31" s="946">
        <f>_xll.BLUEMATRIX2("/servlet/excelData",E30,$E$4,$D31&amp;":"&amp;E$14&amp;E$15&amp;":AN:NULL:FISCAL")</f>
        <v/>
      </c>
      <c r="F31" s="946">
        <f>_xll.BLUEMATRIX2("/servlet/excelData",F30,$E$4,$D31&amp;":"&amp;F$14&amp;F$15&amp;":AN:NULL:FISCAL")</f>
        <v/>
      </c>
      <c r="G31" s="946">
        <f>_xll.BLUEMATRIX2("/servlet/excelData",G30,$E$4,$D31&amp;":"&amp;G$14&amp;G$15&amp;":AN:NULL:FISCAL")</f>
        <v/>
      </c>
      <c r="H31" s="946">
        <f>_xll.BLUEMATRIX2("/servlet/excelData",H30,$E$4,$D31&amp;":"&amp;H$14&amp;H$15&amp;":AN:NULL:FISCAL")</f>
        <v/>
      </c>
      <c r="I31" s="946">
        <f>_xll.BLUEMATRIX2("/servlet/excelData",I30,$E$4,$D31&amp;":"&amp;I$14&amp;I$15&amp;":AN:NULL:FISCAL")</f>
        <v/>
      </c>
      <c r="J31" s="946">
        <f>_xll.BLUEMATRIX2("/servlet/excelData",J30,$E$4,$D31&amp;":"&amp;J$14&amp;J$15&amp;":AN:NULL:FISCAL")</f>
        <v/>
      </c>
      <c r="K31" s="946">
        <f>_xll.BLUEMATRIX2("/servlet/excelData",K30,$E$4,$D31&amp;":"&amp;K$14&amp;K$15&amp;":AN:NULL:FISCAL")</f>
        <v/>
      </c>
      <c r="L31" s="710">
        <f>_xll.BLUEMATRIX2("/servlet/excelData",L30,$E$4,$D31&amp;":"&amp;L$14&amp;L$15&amp;":AN:NULL:FISCAL")</f>
        <v/>
      </c>
      <c r="M31" s="710">
        <f>_xll.BLUEMATRIX2("/servlet/excelData",M30,$E$4,$D31&amp;":"&amp;M$14&amp;M$15&amp;":AN:NULL:FISCAL")</f>
        <v/>
      </c>
      <c r="N31" s="710">
        <f>_xll.BLUEMATRIX2("/servlet/excelData",N30,$E$4,$D31&amp;":"&amp;N$14&amp;N$15&amp;":AN:NULL:FISCAL")</f>
        <v/>
      </c>
    </row>
    <row r="32">
      <c r="A32" s="799" t="n"/>
      <c r="B32" s="782" t="inlineStr">
        <is>
          <t>Other Long-Term Liabilities (M)</t>
        </is>
      </c>
      <c r="C32" s="782" t="inlineStr">
        <is>
          <t>Includes Long-term deferred revenue &amp; Other long-term liabilities</t>
        </is>
      </c>
      <c r="D32" s="783" t="inlineStr">
        <is>
          <t>OTHER_LT_LIAB</t>
        </is>
      </c>
      <c r="E32" s="948">
        <f>(FS_Y!Q66-FS_Y!Q65-FS_Y!Q63)/1000</f>
        <v/>
      </c>
      <c r="F32" s="948">
        <f>(FS_Y!R66-FS_Y!R65-FS_Y!R63)/1000</f>
        <v/>
      </c>
      <c r="G32" s="948">
        <f>(FS_Y!S66-FS_Y!S65-FS_Y!S63)/1000</f>
        <v/>
      </c>
      <c r="H32" s="948">
        <f>(FS_Y!T66-FS_Y!T65-FS_Y!T63)/1000</f>
        <v/>
      </c>
      <c r="I32" s="948">
        <f>(FS_Y!U66-FS_Y!U65-FS_Y!U63)/1000</f>
        <v/>
      </c>
      <c r="J32" s="948">
        <f>(FS_Y!V66-FS_Y!V65-FS_Y!V63)/1000</f>
        <v/>
      </c>
      <c r="K32" s="948">
        <f>(FS_Y!W66-FS_Y!W65-FS_Y!W63)/1000</f>
        <v/>
      </c>
      <c r="L32" s="793" t="n"/>
      <c r="M32" s="793" t="n"/>
      <c r="N32" s="793" t="n"/>
    </row>
    <row r="33" ht="12" customHeight="1">
      <c r="A33" s="799" t="n"/>
      <c r="B33" s="786" t="inlineStr">
        <is>
          <t>BM Formula &amp; Result</t>
        </is>
      </c>
      <c r="C33" s="787" t="n"/>
      <c r="D33" s="800" t="inlineStr">
        <is>
          <t>OTHER_LT_LIAB</t>
        </is>
      </c>
      <c r="E33" s="946">
        <f>_xll.BLUEMATRIX2("/servlet/excelData",E32,$E$4,$D33&amp;":"&amp;E$14&amp;E$15&amp;":AN:NULL:FISCAL")</f>
        <v/>
      </c>
      <c r="F33" s="946">
        <f>_xll.BLUEMATRIX2("/servlet/excelData",F32,$E$4,$D33&amp;":"&amp;F$14&amp;F$15&amp;":AN:NULL:FISCAL")</f>
        <v/>
      </c>
      <c r="G33" s="946">
        <f>_xll.BLUEMATRIX2("/servlet/excelData",G32,$E$4,$D33&amp;":"&amp;G$14&amp;G$15&amp;":AN:NULL:FISCAL")</f>
        <v/>
      </c>
      <c r="H33" s="946">
        <f>_xll.BLUEMATRIX2("/servlet/excelData",H32,$E$4,$D33&amp;":"&amp;H$14&amp;H$15&amp;":AN:NULL:FISCAL")</f>
        <v/>
      </c>
      <c r="I33" s="946">
        <f>_xll.BLUEMATRIX2("/servlet/excelData",I32,$E$4,$D33&amp;":"&amp;I$14&amp;I$15&amp;":AN:NULL:FISCAL")</f>
        <v/>
      </c>
      <c r="J33" s="946">
        <f>_xll.BLUEMATRIX2("/servlet/excelData",J32,$E$4,$D33&amp;":"&amp;J$14&amp;J$15&amp;":AN:NULL:FISCAL")</f>
        <v/>
      </c>
      <c r="K33" s="946">
        <f>_xll.BLUEMATRIX2("/servlet/excelData",K32,$E$4,$D33&amp;":"&amp;K$14&amp;K$15&amp;":AN:NULL:FISCAL")</f>
        <v/>
      </c>
      <c r="L33" s="710">
        <f>_xll.BLUEMATRIX2("/servlet/excelData",L32,$E$4,$D33&amp;":"&amp;L$14&amp;L$15&amp;":AN:NULL:FISCAL")</f>
        <v/>
      </c>
      <c r="M33" s="710">
        <f>_xll.BLUEMATRIX2("/servlet/excelData",M32,$E$4,$D33&amp;":"&amp;M$14&amp;M$15&amp;":AN:NULL:FISCAL")</f>
        <v/>
      </c>
      <c r="N33" s="710">
        <f>_xll.BLUEMATRIX2("/servlet/excelData",N32,$E$4,$D33&amp;":"&amp;N$14&amp;N$15&amp;":AN:NULL:FISCAL")</f>
        <v/>
      </c>
    </row>
    <row r="34" ht="12" customHeight="1">
      <c r="A34" s="799" t="n"/>
      <c r="B34" s="782" t="inlineStr">
        <is>
          <t>Total Equity (M)</t>
        </is>
      </c>
      <c r="C34" s="776" t="inlineStr">
        <is>
          <t>Share capital + reserves</t>
        </is>
      </c>
      <c r="D34" s="783" t="inlineStr">
        <is>
          <t>TOTAL_EQUITY</t>
        </is>
      </c>
      <c r="E34" s="833">
        <f>(FS_Y!Q75)/1000</f>
        <v/>
      </c>
      <c r="F34" s="833">
        <f>(FS_Y!R75)/1000</f>
        <v/>
      </c>
      <c r="G34" s="833">
        <f>(FS_Y!S75)/1000</f>
        <v/>
      </c>
      <c r="H34" s="833">
        <f>(FS_Y!T75)/1000</f>
        <v/>
      </c>
      <c r="I34" s="833">
        <f>(FS_Y!U75)/1000</f>
        <v/>
      </c>
      <c r="J34" s="833">
        <f>(FS_Y!V75)/1000</f>
        <v/>
      </c>
      <c r="K34" s="833">
        <f>(FS_Y!W75)/1000</f>
        <v/>
      </c>
      <c r="L34" s="793" t="n"/>
      <c r="M34" s="793" t="n"/>
      <c r="N34" s="793" t="n"/>
    </row>
    <row r="35" ht="12" customHeight="1">
      <c r="A35" s="799" t="n"/>
      <c r="B35" s="786" t="inlineStr">
        <is>
          <t>BM Formula &amp; Result</t>
        </is>
      </c>
      <c r="C35" s="787" t="n"/>
      <c r="D35" s="800" t="inlineStr">
        <is>
          <t>TOTAL_EQUITY</t>
        </is>
      </c>
      <c r="E35" s="710">
        <f>_xll.BLUEMATRIX2("/servlet/excelData",E34,$E$4,$D35&amp;":"&amp;E$14&amp;E$15&amp;":AN:NULL:FISCAL")</f>
        <v/>
      </c>
      <c r="F35" s="710">
        <f>_xll.BLUEMATRIX2("/servlet/excelData",F34,$E$4,$D35&amp;":"&amp;F$14&amp;F$15&amp;":AN:NULL:FISCAL")</f>
        <v/>
      </c>
      <c r="G35" s="710">
        <f>_xll.BLUEMATRIX2("/servlet/excelData",G34,$E$4,$D35&amp;":"&amp;G$14&amp;G$15&amp;":AN:NULL:FISCAL")</f>
        <v/>
      </c>
      <c r="H35" s="710">
        <f>_xll.BLUEMATRIX2("/servlet/excelData",H34,$E$4,$D35&amp;":"&amp;H$14&amp;H$15&amp;":AN:NULL:FISCAL")</f>
        <v/>
      </c>
      <c r="I35" s="710">
        <f>_xll.BLUEMATRIX2("/servlet/excelData",I34,$E$4,$D35&amp;":"&amp;I$14&amp;I$15&amp;":AN:NULL:FISCAL")</f>
        <v/>
      </c>
      <c r="J35" s="710">
        <f>_xll.BLUEMATRIX2("/servlet/excelData",J34,$E$4,$D35&amp;":"&amp;J$14&amp;J$15&amp;":AN:NULL:FISCAL")</f>
        <v/>
      </c>
      <c r="K35" s="710">
        <f>_xll.BLUEMATRIX2("/servlet/excelData",K34,$E$4,$D35&amp;":"&amp;K$14&amp;K$15&amp;":AN:NULL:FISCAL")</f>
        <v/>
      </c>
      <c r="L35" s="710">
        <f>_xll.BLUEMATRIX2("/servlet/excelData",L34,$E$4,$D35&amp;":"&amp;L$14&amp;L$15&amp;":AN:NULL:FISCAL")</f>
        <v/>
      </c>
      <c r="M35" s="710">
        <f>_xll.BLUEMATRIX2("/servlet/excelData",M34,$E$4,$D35&amp;":"&amp;M$14&amp;M$15&amp;":AN:NULL:FISCAL")</f>
        <v/>
      </c>
      <c r="N35" s="710">
        <f>_xll.BLUEMATRIX2("/servlet/excelData",N34,$E$4,$D35&amp;":"&amp;N$14&amp;N$15&amp;":AN:NULL:FISCAL")</f>
        <v/>
      </c>
    </row>
    <row r="36" customFormat="1" s="735">
      <c r="A36" s="799" t="n"/>
      <c r="B36" s="782" t="inlineStr">
        <is>
          <t>Minorities</t>
        </is>
      </c>
      <c r="C36" s="776" t="inlineStr">
        <is>
          <t>Minority interests on balance sheet</t>
        </is>
      </c>
      <c r="D36" s="783" t="inlineStr">
        <is>
          <t>Minorities</t>
        </is>
      </c>
      <c r="E36" s="828">
        <f>FS_Y!Q74</f>
        <v/>
      </c>
      <c r="F36" s="828">
        <f>FS_Y!R74</f>
        <v/>
      </c>
      <c r="G36" s="828">
        <f>FS_Y!S74</f>
        <v/>
      </c>
      <c r="H36" s="828">
        <f>FS_Y!T74</f>
        <v/>
      </c>
      <c r="I36" s="828">
        <f>FS_Y!U74</f>
        <v/>
      </c>
      <c r="J36" s="828">
        <f>FS_Y!V74</f>
        <v/>
      </c>
      <c r="K36" s="828">
        <f>FS_Y!W74</f>
        <v/>
      </c>
      <c r="L36" s="793" t="n"/>
      <c r="M36" s="793" t="n"/>
      <c r="N36" s="793" t="n"/>
    </row>
    <row r="37" ht="12" customFormat="1" customHeight="1" s="735">
      <c r="A37" s="799" t="n"/>
      <c r="B37" s="786" t="inlineStr">
        <is>
          <t>BM Formula &amp; Result</t>
        </is>
      </c>
      <c r="C37" s="787" t="n"/>
      <c r="D37" s="800" t="inlineStr">
        <is>
          <t>Minorities</t>
        </is>
      </c>
      <c r="E37" s="710">
        <f>_xll.BLUEMATRIX2("/servlet/excelData",E36,$E$4,$D37&amp;":"&amp;E$14&amp;E$15&amp;":AN:NULL:FISCAL")</f>
        <v/>
      </c>
      <c r="F37" s="710">
        <f>_xll.BLUEMATRIX2("/servlet/excelData",F36,$E$4,$D37&amp;":"&amp;F$14&amp;F$15&amp;":AN:NULL:FISCAL")</f>
        <v/>
      </c>
      <c r="G37" s="710">
        <f>_xll.BLUEMATRIX2("/servlet/excelData",G36,$E$4,$D37&amp;":"&amp;G$14&amp;G$15&amp;":AN:NULL:FISCAL")</f>
        <v/>
      </c>
      <c r="H37" s="710">
        <f>_xll.BLUEMATRIX2("/servlet/excelData",H36,$E$4,$D37&amp;":"&amp;H$14&amp;H$15&amp;":AN:NULL:FISCAL")</f>
        <v/>
      </c>
      <c r="I37" s="710">
        <f>_xll.BLUEMATRIX2("/servlet/excelData",I36,$E$4,$D37&amp;":"&amp;I$14&amp;I$15&amp;":AN:NULL:FISCAL")</f>
        <v/>
      </c>
      <c r="J37" s="710">
        <f>_xll.BLUEMATRIX2("/servlet/excelData",J36,$E$4,$D37&amp;":"&amp;J$14&amp;J$15&amp;":AN:NULL:FISCAL")</f>
        <v/>
      </c>
      <c r="K37" s="710">
        <f>_xll.BLUEMATRIX2("/servlet/excelData",K36,$E$4,$D37&amp;":"&amp;K$14&amp;K$15&amp;":AN:NULL:FISCAL")</f>
        <v/>
      </c>
      <c r="L37" s="710">
        <f>_xll.BLUEMATRIX2("/servlet/excelData",L36,$E$4,$D37&amp;":"&amp;L$14&amp;L$15&amp;":AN:NULL:FISCAL")</f>
        <v/>
      </c>
      <c r="M37" s="710">
        <f>_xll.BLUEMATRIX2("/servlet/excelData",M36,$E$4,$D37&amp;":"&amp;M$14&amp;M$15&amp;":AN:NULL:FISCAL")</f>
        <v/>
      </c>
      <c r="N37" s="710">
        <f>_xll.BLUEMATRIX2("/servlet/excelData",N36,$E$4,$D37&amp;":"&amp;N$14&amp;N$15&amp;":AN:NULL:FISCAL")</f>
        <v/>
      </c>
    </row>
    <row r="38" customFormat="1" s="735">
      <c r="A38" s="799" t="n"/>
      <c r="B38" s="782" t="inlineStr">
        <is>
          <t>Total Provision (M)</t>
        </is>
      </c>
      <c r="C38" s="776" t="inlineStr">
        <is>
          <t>Provisions other than employee benefits</t>
        </is>
      </c>
      <c r="D38" s="783" t="inlineStr">
        <is>
          <t>PROV</t>
        </is>
      </c>
      <c r="E38" s="793" t="n"/>
      <c r="F38" s="793" t="n"/>
      <c r="G38" s="793" t="n"/>
      <c r="H38" s="793" t="n"/>
      <c r="I38" s="793" t="n"/>
      <c r="J38" s="793" t="n"/>
      <c r="K38" s="793" t="n"/>
      <c r="L38" s="793" t="n"/>
      <c r="M38" s="793" t="n"/>
      <c r="N38" s="793" t="n"/>
    </row>
    <row r="39" ht="12" customFormat="1" customHeight="1" s="735">
      <c r="A39" s="799" t="n"/>
      <c r="B39" s="786" t="inlineStr">
        <is>
          <t>BM Formula &amp; Result</t>
        </is>
      </c>
      <c r="C39" s="787" t="n"/>
      <c r="D39" s="800" t="inlineStr">
        <is>
          <t>PROV</t>
        </is>
      </c>
      <c r="E39" s="710">
        <f>_xll.BLUEMATRIX2("/servlet/excelData",E38,$E$4,$D39&amp;":"&amp;E$14&amp;E$15&amp;":AN:NULL:FISCAL")</f>
        <v/>
      </c>
      <c r="F39" s="710">
        <f>_xll.BLUEMATRIX2("/servlet/excelData",F38,$E$4,$D39&amp;":"&amp;F$14&amp;F$15&amp;":AN:NULL:FISCAL")</f>
        <v/>
      </c>
      <c r="G39" s="710">
        <f>_xll.BLUEMATRIX2("/servlet/excelData",G38,$E$4,$D39&amp;":"&amp;G$14&amp;G$15&amp;":AN:NULL:FISCAL")</f>
        <v/>
      </c>
      <c r="H39" s="710">
        <f>_xll.BLUEMATRIX2("/servlet/excelData",H38,$E$4,$D39&amp;":"&amp;H$14&amp;H$15&amp;":AN:NULL:FISCAL")</f>
        <v/>
      </c>
      <c r="I39" s="710">
        <f>_xll.BLUEMATRIX2("/servlet/excelData",I38,$E$4,$D39&amp;":"&amp;I$14&amp;I$15&amp;":AN:NULL:FISCAL")</f>
        <v/>
      </c>
      <c r="J39" s="710">
        <f>_xll.BLUEMATRIX2("/servlet/excelData",J38,$E$4,$D39&amp;":"&amp;J$14&amp;J$15&amp;":AN:NULL:FISCAL")</f>
        <v/>
      </c>
      <c r="K39" s="710">
        <f>_xll.BLUEMATRIX2("/servlet/excelData",K38,$E$4,$D39&amp;":"&amp;K$14&amp;K$15&amp;":AN:NULL:FISCAL")</f>
        <v/>
      </c>
      <c r="L39" s="710">
        <f>_xll.BLUEMATRIX2("/servlet/excelData",L38,$E$4,$D39&amp;":"&amp;L$14&amp;L$15&amp;":AN:NULL:FISCAL")</f>
        <v/>
      </c>
      <c r="M39" s="710">
        <f>_xll.BLUEMATRIX2("/servlet/excelData",M38,$E$4,$D39&amp;":"&amp;M$14&amp;M$15&amp;":AN:NULL:FISCAL")</f>
        <v/>
      </c>
      <c r="N39" s="710">
        <f>_xll.BLUEMATRIX2("/servlet/excelData",N38,$E$4,$D39&amp;":"&amp;N$14&amp;N$15&amp;":AN:NULL:FISCAL")</f>
        <v/>
      </c>
    </row>
    <row r="40" customFormat="1" s="735">
      <c r="A40" s="799" t="n"/>
      <c r="B40" s="782" t="inlineStr">
        <is>
          <t>Employee benefit obligations</t>
        </is>
      </c>
      <c r="C40" s="776" t="inlineStr">
        <is>
          <t>Retirement &amp; others employee benefit obligations (pension provisions, short and long term)</t>
        </is>
      </c>
      <c r="D40" s="783" t="inlineStr">
        <is>
          <t>EMP_BEN_OBLIG</t>
        </is>
      </c>
      <c r="E40" s="793" t="n"/>
      <c r="F40" s="793" t="n"/>
      <c r="G40" s="793" t="n"/>
      <c r="H40" s="793" t="n"/>
      <c r="I40" s="793" t="n"/>
      <c r="J40" s="793" t="n"/>
      <c r="K40" s="793" t="n"/>
      <c r="L40" s="793" t="n"/>
      <c r="M40" s="793" t="n"/>
      <c r="N40" s="793" t="n"/>
    </row>
    <row r="41" ht="12" customFormat="1" customHeight="1" s="735">
      <c r="A41" s="799" t="n"/>
      <c r="B41" s="786" t="inlineStr">
        <is>
          <t>BM Formula &amp; Result</t>
        </is>
      </c>
      <c r="C41" s="787" t="n"/>
      <c r="D41" s="800" t="inlineStr">
        <is>
          <t>EMP_BEN_OBLIG</t>
        </is>
      </c>
      <c r="E41" s="710">
        <f>_xll.BLUEMATRIX2("/servlet/excelData",E40,$E$4,$D41&amp;":"&amp;E$14&amp;E$15&amp;":AN:NULL:FISCAL")</f>
        <v/>
      </c>
      <c r="F41" s="710">
        <f>_xll.BLUEMATRIX2("/servlet/excelData",F40,$E$4,$D41&amp;":"&amp;F$14&amp;F$15&amp;":AN:NULL:FISCAL")</f>
        <v/>
      </c>
      <c r="G41" s="710">
        <f>_xll.BLUEMATRIX2("/servlet/excelData",G40,$E$4,$D41&amp;":"&amp;G$14&amp;G$15&amp;":AN:NULL:FISCAL")</f>
        <v/>
      </c>
      <c r="H41" s="710">
        <f>_xll.BLUEMATRIX2("/servlet/excelData",H40,$E$4,$D41&amp;":"&amp;H$14&amp;H$15&amp;":AN:NULL:FISCAL")</f>
        <v/>
      </c>
      <c r="I41" s="710">
        <f>_xll.BLUEMATRIX2("/servlet/excelData",I40,$E$4,$D41&amp;":"&amp;I$14&amp;I$15&amp;":AN:NULL:FISCAL")</f>
        <v/>
      </c>
      <c r="J41" s="710">
        <f>_xll.BLUEMATRIX2("/servlet/excelData",J40,$E$4,$D41&amp;":"&amp;J$14&amp;J$15&amp;":AN:NULL:FISCAL")</f>
        <v/>
      </c>
      <c r="K41" s="710">
        <f>_xll.BLUEMATRIX2("/servlet/excelData",K40,$E$4,$D41&amp;":"&amp;K$14&amp;K$15&amp;":AN:NULL:FISCAL")</f>
        <v/>
      </c>
      <c r="L41" s="710">
        <f>_xll.BLUEMATRIX2("/servlet/excelData",L40,$E$4,$D41&amp;":"&amp;L$14&amp;L$15&amp;":AN:NULL:FISCAL")</f>
        <v/>
      </c>
      <c r="M41" s="710">
        <f>_xll.BLUEMATRIX2("/servlet/excelData",M40,$E$4,$D41&amp;":"&amp;M$14&amp;M$15&amp;":AN:NULL:FISCAL")</f>
        <v/>
      </c>
      <c r="N41" s="710">
        <f>_xll.BLUEMATRIX2("/servlet/excelData",N40,$E$4,$D41&amp;":"&amp;N$14&amp;N$15&amp;":AN:NULL:FISCAL")</f>
        <v/>
      </c>
    </row>
    <row r="42" ht="15" customHeight="1">
      <c r="A42" s="799" t="n"/>
      <c r="B42" s="782" t="inlineStr">
        <is>
          <t>Working Capital (M)</t>
        </is>
      </c>
      <c r="C42" s="776" t="inlineStr">
        <is>
          <t>Working capital assets minus liabilities</t>
        </is>
      </c>
      <c r="D42" s="783" t="inlineStr">
        <is>
          <t>WORKING_CAPITAL</t>
        </is>
      </c>
      <c r="E42" s="835">
        <f>(FS_Y!Q162)/1000</f>
        <v/>
      </c>
      <c r="F42" s="835">
        <f>(FS_Y!R162)/1000</f>
        <v/>
      </c>
      <c r="G42" s="835">
        <f>(FS_Y!S162)/1000</f>
        <v/>
      </c>
      <c r="H42" s="835">
        <f>(FS_Y!T162)/1000</f>
        <v/>
      </c>
      <c r="I42" s="835">
        <f>(FS_Y!U162)/1000</f>
        <v/>
      </c>
      <c r="J42" s="835">
        <f>(FS_Y!V162)/1000</f>
        <v/>
      </c>
      <c r="K42" s="835">
        <f>(FS_Y!W162)/1000</f>
        <v/>
      </c>
      <c r="L42" s="793" t="n"/>
      <c r="M42" s="793" t="n"/>
      <c r="N42" s="793" t="n"/>
    </row>
    <row r="43" ht="15" customHeight="1">
      <c r="A43" s="799" t="n"/>
      <c r="B43" s="786" t="inlineStr">
        <is>
          <t>BM Formula &amp; Result</t>
        </is>
      </c>
      <c r="C43" s="787" t="n"/>
      <c r="D43" s="800" t="inlineStr">
        <is>
          <t>WORKING_CAPITAL</t>
        </is>
      </c>
      <c r="E43" s="710">
        <f>_xll.BLUEMATRIX2("/servlet/excelData",E42,$E$4,$D43&amp;":"&amp;E$14&amp;E$15&amp;":AN:NULL:FISCAL")</f>
        <v/>
      </c>
      <c r="F43" s="710">
        <f>_xll.BLUEMATRIX2("/servlet/excelData",F42,$E$4,$D43&amp;":"&amp;F$14&amp;F$15&amp;":AN:NULL:FISCAL")</f>
        <v/>
      </c>
      <c r="G43" s="710">
        <f>_xll.BLUEMATRIX2("/servlet/excelData",G42,$E$4,$D43&amp;":"&amp;G$14&amp;G$15&amp;":AN:NULL:FISCAL")</f>
        <v/>
      </c>
      <c r="H43" s="710">
        <f>_xll.BLUEMATRIX2("/servlet/excelData",H42,$E$4,$D43&amp;":"&amp;H$14&amp;H$15&amp;":AN:NULL:FISCAL")</f>
        <v/>
      </c>
      <c r="I43" s="710">
        <f>_xll.BLUEMATRIX2("/servlet/excelData",I42,$E$4,$D43&amp;":"&amp;I$14&amp;I$15&amp;":AN:NULL:FISCAL")</f>
        <v/>
      </c>
      <c r="J43" s="710">
        <f>_xll.BLUEMATRIX2("/servlet/excelData",J42,$E$4,$D43&amp;":"&amp;J$14&amp;J$15&amp;":AN:NULL:FISCAL")</f>
        <v/>
      </c>
      <c r="K43" s="710">
        <f>_xll.BLUEMATRIX2("/servlet/excelData",K42,$E$4,$D43&amp;":"&amp;K$14&amp;K$15&amp;":AN:NULL:FISCAL")</f>
        <v/>
      </c>
      <c r="L43" s="710">
        <f>_xll.BLUEMATRIX2("/servlet/excelData",L42,$E$4,$D43&amp;":"&amp;L$14&amp;L$15&amp;":AN:NULL:FISCAL")</f>
        <v/>
      </c>
      <c r="M43" s="710">
        <f>_xll.BLUEMATRIX2("/servlet/excelData",M42,$E$4,$D43&amp;":"&amp;M$14&amp;M$15&amp;":AN:NULL:FISCAL")</f>
        <v/>
      </c>
      <c r="N43" s="710">
        <f>_xll.BLUEMATRIX2("/servlet/excelData",N42,$E$4,$D43&amp;":"&amp;N$14&amp;N$15&amp;":AN:NULL:FISCAL")</f>
        <v/>
      </c>
    </row>
    <row r="44" customFormat="1" s="735">
      <c r="A44" s="799" t="n"/>
      <c r="B44" s="782" t="inlineStr">
        <is>
          <t>Net Debt (Cash) (M)</t>
        </is>
      </c>
      <c r="C44" s="776" t="inlineStr">
        <is>
          <t>Long term financial debt +  short term financial debt  minus cash, cash equivalents &amp; short-term investments</t>
        </is>
      </c>
      <c r="D44" s="783" t="inlineStr">
        <is>
          <t>NETDEBT_EST</t>
        </is>
      </c>
      <c r="E44" s="835">
        <f>(FS_Y!Q146-FS_Y!Q139)/1000</f>
        <v/>
      </c>
      <c r="F44" s="835">
        <f>(FS_Y!R146-FS_Y!R139)/1000</f>
        <v/>
      </c>
      <c r="G44" s="835">
        <f>(FS_Y!S146-FS_Y!S139)/1000</f>
        <v/>
      </c>
      <c r="H44" s="835">
        <f>(FS_Y!T146-FS_Y!T139)/1000</f>
        <v/>
      </c>
      <c r="I44" s="835">
        <f>(FS_Y!U146-FS_Y!U139)/1000</f>
        <v/>
      </c>
      <c r="J44" s="835">
        <f>(FS_Y!V146-FS_Y!V139)/1000</f>
        <v/>
      </c>
      <c r="K44" s="835">
        <f>(FS_Y!W146-FS_Y!W139)/1000</f>
        <v/>
      </c>
      <c r="L44" s="793" t="n"/>
      <c r="M44" s="793" t="n"/>
      <c r="N44" s="793" t="n"/>
    </row>
    <row r="45" ht="12" customFormat="1" customHeight="1" s="735">
      <c r="A45" s="799" t="n"/>
      <c r="B45" s="786" t="inlineStr">
        <is>
          <t>BM Formula &amp; Result</t>
        </is>
      </c>
      <c r="C45" s="787" t="n"/>
      <c r="D45" s="800" t="inlineStr">
        <is>
          <t>NETDEBT_EST</t>
        </is>
      </c>
      <c r="E45" s="710">
        <f>_xll.BLUEMATRIX2("/servlet/excelData",E44,$E$4,$D45&amp;":"&amp;E$14&amp;E$15&amp;":AN:NULL:FISCAL")</f>
        <v/>
      </c>
      <c r="F45" s="710">
        <f>_xll.BLUEMATRIX2("/servlet/excelData",F44,$E$4,$D45&amp;":"&amp;F$14&amp;F$15&amp;":AN:NULL:FISCAL")</f>
        <v/>
      </c>
      <c r="G45" s="710">
        <f>_xll.BLUEMATRIX2("/servlet/excelData",G44,$E$4,$D45&amp;":"&amp;G$14&amp;G$15&amp;":AN:NULL:FISCAL")</f>
        <v/>
      </c>
      <c r="H45" s="710">
        <f>_xll.BLUEMATRIX2("/servlet/excelData",H44,$E$4,$D45&amp;":"&amp;H$14&amp;H$15&amp;":AN:NULL:FISCAL")</f>
        <v/>
      </c>
      <c r="I45" s="710">
        <f>_xll.BLUEMATRIX2("/servlet/excelData",I44,$E$4,$D45&amp;":"&amp;I$14&amp;I$15&amp;":AN:NULL:FISCAL")</f>
        <v/>
      </c>
      <c r="J45" s="710">
        <f>_xll.BLUEMATRIX2("/servlet/excelData",J44,$E$4,$D45&amp;":"&amp;J$14&amp;J$15&amp;":AN:NULL:FISCAL")</f>
        <v/>
      </c>
      <c r="K45" s="710">
        <f>_xll.BLUEMATRIX2("/servlet/excelData",K44,$E$4,$D45&amp;":"&amp;K$14&amp;K$15&amp;":AN:NULL:FISCAL")</f>
        <v/>
      </c>
      <c r="L45" s="710">
        <f>_xll.BLUEMATRIX2("/servlet/excelData",L44,$E$4,$D45&amp;":"&amp;L$14&amp;L$15&amp;":AN:NULL:FISCAL")</f>
        <v/>
      </c>
      <c r="M45" s="710">
        <f>_xll.BLUEMATRIX2("/servlet/excelData",M44,$E$4,$D45&amp;":"&amp;M$14&amp;M$15&amp;":AN:NULL:FISCAL")</f>
        <v/>
      </c>
      <c r="N45" s="710">
        <f>_xll.BLUEMATRIX2("/servlet/excelData",N44,$E$4,$D45&amp;":"&amp;N$14&amp;N$15&amp;":AN:NULL:FISCAL")</f>
        <v/>
      </c>
    </row>
    <row r="46" customFormat="1" s="735">
      <c r="A46" s="799" t="n"/>
      <c r="B46" s="782" t="inlineStr">
        <is>
          <t>Gearing (%)</t>
        </is>
      </c>
      <c r="C46" s="776" t="inlineStr">
        <is>
          <t>Financial net debt / Book value of equity</t>
        </is>
      </c>
      <c r="D46" s="783" t="inlineStr">
        <is>
          <t>GEARING</t>
        </is>
      </c>
      <c r="E46" s="836">
        <f>E44/E34</f>
        <v/>
      </c>
      <c r="F46" s="836">
        <f>F44/F34</f>
        <v/>
      </c>
      <c r="G46" s="836">
        <f>G44/G34</f>
        <v/>
      </c>
      <c r="H46" s="836">
        <f>H44/H34</f>
        <v/>
      </c>
      <c r="I46" s="836">
        <f>I44/I34</f>
        <v/>
      </c>
      <c r="J46" s="836">
        <f>J44/J34</f>
        <v/>
      </c>
      <c r="K46" s="836">
        <f>K44/K34</f>
        <v/>
      </c>
      <c r="L46" s="793" t="n"/>
      <c r="M46" s="793" t="n"/>
      <c r="N46" s="793" t="n"/>
    </row>
    <row r="47" ht="12" customFormat="1" customHeight="1" s="735">
      <c r="A47" s="799" t="n"/>
      <c r="B47" s="786" t="inlineStr">
        <is>
          <t>BM Formula &amp; Result</t>
        </is>
      </c>
      <c r="C47" s="787" t="n"/>
      <c r="D47" s="800" t="inlineStr">
        <is>
          <t>GEARING</t>
        </is>
      </c>
      <c r="E47" s="710">
        <f>_xll.BLUEMATRIX2("/servlet/excelData",E46,$E$4,$D47&amp;":"&amp;E$14&amp;E$15&amp;":AN:NULL:FISCAL")</f>
        <v/>
      </c>
      <c r="F47" s="710">
        <f>_xll.BLUEMATRIX2("/servlet/excelData",F46,$E$4,$D47&amp;":"&amp;F$14&amp;F$15&amp;":AN:NULL:FISCAL")</f>
        <v/>
      </c>
      <c r="G47" s="710">
        <f>_xll.BLUEMATRIX2("/servlet/excelData",G46,$E$4,$D47&amp;":"&amp;G$14&amp;G$15&amp;":AN:NULL:FISCAL")</f>
        <v/>
      </c>
      <c r="H47" s="710">
        <f>_xll.BLUEMATRIX2("/servlet/excelData",H46,$E$4,$D47&amp;":"&amp;H$14&amp;H$15&amp;":AN:NULL:FISCAL")</f>
        <v/>
      </c>
      <c r="I47" s="710">
        <f>_xll.BLUEMATRIX2("/servlet/excelData",I46,$E$4,$D47&amp;":"&amp;I$14&amp;I$15&amp;":AN:NULL:FISCAL")</f>
        <v/>
      </c>
      <c r="J47" s="710">
        <f>_xll.BLUEMATRIX2("/servlet/excelData",J46,$E$4,$D47&amp;":"&amp;J$14&amp;J$15&amp;":AN:NULL:FISCAL")</f>
        <v/>
      </c>
      <c r="K47" s="710">
        <f>_xll.BLUEMATRIX2("/servlet/excelData",K46,$E$4,$D47&amp;":"&amp;K$14&amp;K$15&amp;":AN:NULL:FISCAL")</f>
        <v/>
      </c>
      <c r="L47" s="710">
        <f>_xll.BLUEMATRIX2("/servlet/excelData",L46,$E$4,$D47&amp;":"&amp;L$14&amp;L$15&amp;":AN:NULL:FISCAL")</f>
        <v/>
      </c>
      <c r="M47" s="710">
        <f>_xll.BLUEMATRIX2("/servlet/excelData",M46,$E$4,$D47&amp;":"&amp;M$14&amp;M$15&amp;":AN:NULL:FISCAL")</f>
        <v/>
      </c>
      <c r="N47" s="710">
        <f>_xll.BLUEMATRIX2("/servlet/excelData",N46,$E$4,$D47&amp;":"&amp;N$14&amp;N$15&amp;":AN:NULL:FISCAL")</f>
        <v/>
      </c>
    </row>
    <row r="48" customFormat="1" s="735">
      <c r="A48" s="799" t="n"/>
      <c r="B48" s="782" t="inlineStr">
        <is>
          <t>Invested Capital (exc. Assoc)(M)</t>
        </is>
      </c>
      <c r="C48" s="782" t="inlineStr">
        <is>
          <t>Year end</t>
        </is>
      </c>
      <c r="D48" s="783" t="inlineStr">
        <is>
          <t>INVESTED_CAPITAL</t>
        </is>
      </c>
      <c r="E48" s="835">
        <f>(FS_Y!Q161)/1000</f>
        <v/>
      </c>
      <c r="F48" s="835">
        <f>(FS_Y!R161)/1000</f>
        <v/>
      </c>
      <c r="G48" s="835">
        <f>(FS_Y!S161)/1000</f>
        <v/>
      </c>
      <c r="H48" s="835">
        <f>(FS_Y!T161)/1000</f>
        <v/>
      </c>
      <c r="I48" s="835">
        <f>(FS_Y!U161)/1000</f>
        <v/>
      </c>
      <c r="J48" s="835">
        <f>(FS_Y!V161)/1000</f>
        <v/>
      </c>
      <c r="K48" s="835">
        <f>(FS_Y!W161)/1000</f>
        <v/>
      </c>
      <c r="L48" s="793" t="n"/>
      <c r="M48" s="793" t="n"/>
      <c r="N48" s="793" t="n"/>
    </row>
    <row r="49" ht="12" customFormat="1" customHeight="1" s="735">
      <c r="A49" s="799" t="n"/>
      <c r="B49" s="786" t="inlineStr">
        <is>
          <t>BM Formula &amp; Result</t>
        </is>
      </c>
      <c r="C49" s="787" t="n"/>
      <c r="D49" s="800" t="inlineStr">
        <is>
          <t>INVESTED_CAPITAL</t>
        </is>
      </c>
      <c r="E49" s="710">
        <f>_xll.BLUEMATRIX2("/servlet/excelData",E48,$E$4,$D49&amp;":"&amp;E$14&amp;E$15&amp;":AN:NULL:FISCAL")</f>
        <v/>
      </c>
      <c r="F49" s="710">
        <f>_xll.BLUEMATRIX2("/servlet/excelData",F48,$E$4,$D49&amp;":"&amp;F$14&amp;F$15&amp;":AN:NULL:FISCAL")</f>
        <v/>
      </c>
      <c r="G49" s="710">
        <f>_xll.BLUEMATRIX2("/servlet/excelData",G48,$E$4,$D49&amp;":"&amp;G$14&amp;G$15&amp;":AN:NULL:FISCAL")</f>
        <v/>
      </c>
      <c r="H49" s="710">
        <f>_xll.BLUEMATRIX2("/servlet/excelData",H48,$E$4,$D49&amp;":"&amp;H$14&amp;H$15&amp;":AN:NULL:FISCAL")</f>
        <v/>
      </c>
      <c r="I49" s="710">
        <f>_xll.BLUEMATRIX2("/servlet/excelData",I48,$E$4,$D49&amp;":"&amp;I$14&amp;I$15&amp;":AN:NULL:FISCAL")</f>
        <v/>
      </c>
      <c r="J49" s="710">
        <f>_xll.BLUEMATRIX2("/servlet/excelData",J48,$E$4,$D49&amp;":"&amp;J$14&amp;J$15&amp;":AN:NULL:FISCAL")</f>
        <v/>
      </c>
      <c r="K49" s="710">
        <f>_xll.BLUEMATRIX2("/servlet/excelData",K48,$E$4,$D49&amp;":"&amp;K$14&amp;K$15&amp;":AN:NULL:FISCAL")</f>
        <v/>
      </c>
      <c r="L49" s="710">
        <f>_xll.BLUEMATRIX2("/servlet/excelData",L48,$E$4,$D49&amp;":"&amp;L$14&amp;L$15&amp;":AN:NULL:FISCAL")</f>
        <v/>
      </c>
      <c r="M49" s="710">
        <f>_xll.BLUEMATRIX2("/servlet/excelData",M48,$E$4,$D49&amp;":"&amp;M$14&amp;M$15&amp;":AN:NULL:FISCAL")</f>
        <v/>
      </c>
      <c r="N49" s="710">
        <f>_xll.BLUEMATRIX2("/servlet/excelData",N48,$E$4,$D49&amp;":"&amp;N$14&amp;N$15&amp;":AN:NULL:FISCAL")</f>
        <v/>
      </c>
    </row>
    <row r="50" customFormat="1" s="735">
      <c r="A50" s="799" t="n"/>
      <c r="B50" s="782" t="inlineStr">
        <is>
          <t>Invested Capital (inc. Assoc)(M)</t>
        </is>
      </c>
      <c r="C50" s="782" t="inlineStr">
        <is>
          <t>Year end</t>
        </is>
      </c>
      <c r="D50" s="783" t="inlineStr">
        <is>
          <t>INVESTED_CAPITAL_INC_ASSOC</t>
        </is>
      </c>
      <c r="E50" s="835">
        <f>(FS_Y!Q161)/1000</f>
        <v/>
      </c>
      <c r="F50" s="835">
        <f>(FS_Y!R161)/1000</f>
        <v/>
      </c>
      <c r="G50" s="835">
        <f>(FS_Y!S161)/1000</f>
        <v/>
      </c>
      <c r="H50" s="835">
        <f>(FS_Y!T161)/1000</f>
        <v/>
      </c>
      <c r="I50" s="835">
        <f>(FS_Y!U161)/1000</f>
        <v/>
      </c>
      <c r="J50" s="835">
        <f>(FS_Y!V161)/1000</f>
        <v/>
      </c>
      <c r="K50" s="835">
        <f>(FS_Y!W161)/1000</f>
        <v/>
      </c>
      <c r="L50" s="793" t="n"/>
      <c r="M50" s="793" t="n"/>
      <c r="N50" s="793" t="n"/>
    </row>
    <row r="51" ht="12" customFormat="1" customHeight="1" s="735">
      <c r="A51" s="799" t="n"/>
      <c r="B51" s="786" t="inlineStr">
        <is>
          <t>BM Formula &amp; Result</t>
        </is>
      </c>
      <c r="C51" s="787" t="n"/>
      <c r="D51" s="800" t="inlineStr">
        <is>
          <t>INVESTED_CAPITAL_INC_ASSOC</t>
        </is>
      </c>
      <c r="E51" s="710">
        <f>_xll.BLUEMATRIX2("/servlet/excelData",E50,$E$4,$D51&amp;":"&amp;E$14&amp;E$15&amp;":AN:NULL:FISCAL")</f>
        <v/>
      </c>
      <c r="F51" s="710">
        <f>_xll.BLUEMATRIX2("/servlet/excelData",F50,$E$4,$D51&amp;":"&amp;F$14&amp;F$15&amp;":AN:NULL:FISCAL")</f>
        <v/>
      </c>
      <c r="G51" s="710">
        <f>_xll.BLUEMATRIX2("/servlet/excelData",G50,$E$4,$D51&amp;":"&amp;G$14&amp;G$15&amp;":AN:NULL:FISCAL")</f>
        <v/>
      </c>
      <c r="H51" s="710">
        <f>_xll.BLUEMATRIX2("/servlet/excelData",H50,$E$4,$D51&amp;":"&amp;H$14&amp;H$15&amp;":AN:NULL:FISCAL")</f>
        <v/>
      </c>
      <c r="I51" s="710">
        <f>_xll.BLUEMATRIX2("/servlet/excelData",I50,$E$4,$D51&amp;":"&amp;I$14&amp;I$15&amp;":AN:NULL:FISCAL")</f>
        <v/>
      </c>
      <c r="J51" s="710">
        <f>_xll.BLUEMATRIX2("/servlet/excelData",J50,$E$4,$D51&amp;":"&amp;J$14&amp;J$15&amp;":AN:NULL:FISCAL")</f>
        <v/>
      </c>
      <c r="K51" s="710">
        <f>_xll.BLUEMATRIX2("/servlet/excelData",K50,$E$4,$D51&amp;":"&amp;K$14&amp;K$15&amp;":AN:NULL:FISCAL")</f>
        <v/>
      </c>
      <c r="L51" s="710">
        <f>_xll.BLUEMATRIX2("/servlet/excelData",L50,$E$4,$D51&amp;":"&amp;L$14&amp;L$15&amp;":AN:NULL:FISCAL")</f>
        <v/>
      </c>
      <c r="M51" s="710">
        <f>_xll.BLUEMATRIX2("/servlet/excelData",M50,$E$4,$D51&amp;":"&amp;M$14&amp;M$15&amp;":AN:NULL:FISCAL")</f>
        <v/>
      </c>
      <c r="N51" s="710">
        <f>_xll.BLUEMATRIX2("/servlet/excelData",N50,$E$4,$D51&amp;":"&amp;N$14&amp;N$15&amp;":AN:NULL:FISCAL")</f>
        <v/>
      </c>
    </row>
    <row r="52" customFormat="1" s="735">
      <c r="A52" s="799" t="n"/>
      <c r="B52" s="782" t="inlineStr">
        <is>
          <t>Invested capital: other adjustments</t>
        </is>
      </c>
      <c r="C52" s="782" t="inlineStr">
        <is>
          <t>Adjustment for invested capital calculation (provisions, off-balance sheet items, etc.)</t>
        </is>
      </c>
      <c r="D52" s="783" t="inlineStr">
        <is>
          <t>INV_CAPITAL_OTHER_ADJ</t>
        </is>
      </c>
      <c r="E52" s="793" t="n"/>
      <c r="F52" s="793" t="n"/>
      <c r="G52" s="793" t="n"/>
      <c r="H52" s="793" t="n"/>
      <c r="I52" s="793" t="n"/>
      <c r="J52" s="793" t="n"/>
      <c r="K52" s="793" t="n"/>
      <c r="L52" s="793" t="n"/>
      <c r="M52" s="793" t="n"/>
      <c r="N52" s="793" t="n"/>
    </row>
    <row r="53" ht="12" customFormat="1" customHeight="1" s="735">
      <c r="A53" s="799" t="n"/>
      <c r="B53" s="786" t="inlineStr">
        <is>
          <t>BM Formula &amp; Result</t>
        </is>
      </c>
      <c r="C53" s="787" t="n"/>
      <c r="D53" s="800" t="inlineStr">
        <is>
          <t>INV_CAPITAL_OTHER_ADJ</t>
        </is>
      </c>
      <c r="E53" s="710">
        <f>_xll.BLUEMATRIX2("/servlet/excelData",E52,$E$4,$D53&amp;":"&amp;E$14&amp;E$15&amp;":AN:NULL:FISCAL")</f>
        <v/>
      </c>
      <c r="F53" s="710">
        <f>_xll.BLUEMATRIX2("/servlet/excelData",F52,$E$4,$D53&amp;":"&amp;F$14&amp;F$15&amp;":AN:NULL:FISCAL")</f>
        <v/>
      </c>
      <c r="G53" s="710">
        <f>_xll.BLUEMATRIX2("/servlet/excelData",G52,$E$4,$D53&amp;":"&amp;G$14&amp;G$15&amp;":AN:NULL:FISCAL")</f>
        <v/>
      </c>
      <c r="H53" s="710">
        <f>_xll.BLUEMATRIX2("/servlet/excelData",H52,$E$4,$D53&amp;":"&amp;H$14&amp;H$15&amp;":AN:NULL:FISCAL")</f>
        <v/>
      </c>
      <c r="I53" s="710">
        <f>_xll.BLUEMATRIX2("/servlet/excelData",I52,$E$4,$D53&amp;":"&amp;I$14&amp;I$15&amp;":AN:NULL:FISCAL")</f>
        <v/>
      </c>
      <c r="J53" s="710">
        <f>_xll.BLUEMATRIX2("/servlet/excelData",J52,$E$4,$D53&amp;":"&amp;J$14&amp;J$15&amp;":AN:NULL:FISCAL")</f>
        <v/>
      </c>
      <c r="K53" s="710">
        <f>_xll.BLUEMATRIX2("/servlet/excelData",K52,$E$4,$D53&amp;":"&amp;K$14&amp;K$15&amp;":AN:NULL:FISCAL")</f>
        <v/>
      </c>
      <c r="L53" s="710">
        <f>_xll.BLUEMATRIX2("/servlet/excelData",L52,$E$4,$D53&amp;":"&amp;L$14&amp;L$15&amp;":AN:NULL:FISCAL")</f>
        <v/>
      </c>
      <c r="M53" s="710">
        <f>_xll.BLUEMATRIX2("/servlet/excelData",M52,$E$4,$D53&amp;":"&amp;M$14&amp;M$15&amp;":AN:NULL:FISCAL")</f>
        <v/>
      </c>
      <c r="N53" s="710">
        <f>_xll.BLUEMATRIX2("/servlet/excelData",N52,$E$4,$D53&amp;":"&amp;N$14&amp;N$15&amp;":AN:NULL:FISCAL")</f>
        <v/>
      </c>
    </row>
    <row r="54" customFormat="1" s="735">
      <c r="A54" s="799" t="n"/>
      <c r="B54" s="782" t="inlineStr">
        <is>
          <t>Average Invested Capital (exc. Assoc)(M)</t>
        </is>
      </c>
      <c r="C54" s="776" t="inlineStr">
        <is>
          <t>For ROCE calculation</t>
        </is>
      </c>
      <c r="D54" s="783" t="inlineStr">
        <is>
          <t>AVE_INVESTED_CAPITAL</t>
        </is>
      </c>
      <c r="E54" s="835">
        <f>(AVERAGE(FS_Y!P56:Q56)-AVERAGE(FS_Y!P63:Q63))/1000</f>
        <v/>
      </c>
      <c r="F54" s="835">
        <f>(AVERAGE(FS_Y!Q56:R56)-AVERAGE(FS_Y!Q63:R63))/1000</f>
        <v/>
      </c>
      <c r="G54" s="835">
        <f>(AVERAGE(FS_Y!R56:S56)-AVERAGE(FS_Y!R63:S63))/1000</f>
        <v/>
      </c>
      <c r="H54" s="835">
        <f>(AVERAGE(FS_Y!S56:T56)-AVERAGE(FS_Y!S63:T63))/1000</f>
        <v/>
      </c>
      <c r="I54" s="835">
        <f>(AVERAGE(FS_Y!T56:U56)-AVERAGE(FS_Y!T63:U63))/1000</f>
        <v/>
      </c>
      <c r="J54" s="835">
        <f>(AVERAGE(FS_Y!U56:V56)-AVERAGE(FS_Y!U63:V63))/1000</f>
        <v/>
      </c>
      <c r="K54" s="835">
        <f>(AVERAGE(FS_Y!V56:W56)-AVERAGE(FS_Y!V63:W63))/1000</f>
        <v/>
      </c>
      <c r="L54" s="784" t="n"/>
      <c r="M54" s="784" t="n"/>
      <c r="N54" s="784" t="n"/>
    </row>
    <row r="55" ht="12" customFormat="1" customHeight="1" s="735">
      <c r="A55" s="799" t="n"/>
      <c r="B55" s="786" t="inlineStr">
        <is>
          <t>BM Formula &amp; Result</t>
        </is>
      </c>
      <c r="C55" s="787" t="n"/>
      <c r="D55" s="800" t="inlineStr">
        <is>
          <t>AVE_INVESTED_CAPITAL</t>
        </is>
      </c>
      <c r="E55" s="710">
        <f>_xll.BLUEMATRIX2("/servlet/excelData",E54,$E$4,$D55&amp;":"&amp;E$14&amp;E$15&amp;":AN:NULL:FISCAL")</f>
        <v/>
      </c>
      <c r="F55" s="710">
        <f>_xll.BLUEMATRIX2("/servlet/excelData",F54,$E$4,$D55&amp;":"&amp;F$14&amp;F$15&amp;":AN:NULL:FISCAL")</f>
        <v/>
      </c>
      <c r="G55" s="710">
        <f>_xll.BLUEMATRIX2("/servlet/excelData",G54,$E$4,$D55&amp;":"&amp;G$14&amp;G$15&amp;":AN:NULL:FISCAL")</f>
        <v/>
      </c>
      <c r="H55" s="710">
        <f>_xll.BLUEMATRIX2("/servlet/excelData",H54,$E$4,$D55&amp;":"&amp;H$14&amp;H$15&amp;":AN:NULL:FISCAL")</f>
        <v/>
      </c>
      <c r="I55" s="710">
        <f>_xll.BLUEMATRIX2("/servlet/excelData",I54,$E$4,$D55&amp;":"&amp;I$14&amp;I$15&amp;":AN:NULL:FISCAL")</f>
        <v/>
      </c>
      <c r="J55" s="710">
        <f>_xll.BLUEMATRIX2("/servlet/excelData",J54,$E$4,$D55&amp;":"&amp;J$14&amp;J$15&amp;":AN:NULL:FISCAL")</f>
        <v/>
      </c>
      <c r="K55" s="710">
        <f>_xll.BLUEMATRIX2("/servlet/excelData",K54,$E$4,$D55&amp;":"&amp;K$14&amp;K$15&amp;":AN:NULL:FISCAL")</f>
        <v/>
      </c>
      <c r="L55" s="710">
        <f>_xll.BLUEMATRIX2("/servlet/excelData",L54,$E$4,$D55&amp;":"&amp;L$14&amp;L$15&amp;":AN:NULL:FISCAL")</f>
        <v/>
      </c>
      <c r="M55" s="710">
        <f>_xll.BLUEMATRIX2("/servlet/excelData",M54,$E$4,$D55&amp;":"&amp;M$14&amp;M$15&amp;":AN:NULL:FISCAL")</f>
        <v/>
      </c>
      <c r="N55" s="710">
        <f>_xll.BLUEMATRIX2("/servlet/excelData",N54,$E$4,$D55&amp;":"&amp;N$14&amp;N$15&amp;":AN:NULL:FISCAL")</f>
        <v/>
      </c>
    </row>
    <row r="56" customFormat="1" s="735">
      <c r="A56" s="802" t="n"/>
      <c r="B56" s="782" t="inlineStr">
        <is>
          <t>Average Invested Capital (inc. Assoc)(M)</t>
        </is>
      </c>
      <c r="C56" s="776" t="inlineStr">
        <is>
          <t>For ROCE calculation</t>
        </is>
      </c>
      <c r="D56" s="783" t="inlineStr">
        <is>
          <t>AVE_INVESTED_CAPITAL_INC_ASSOC</t>
        </is>
      </c>
      <c r="E56" s="835">
        <f>(AVERAGE(FS_Y!P56:Q56)-AVERAGE(FS_Y!P63:Q63))/1000</f>
        <v/>
      </c>
      <c r="F56" s="835">
        <f>(AVERAGE(FS_Y!Q56:R56)-AVERAGE(FS_Y!Q63:R63))/1000</f>
        <v/>
      </c>
      <c r="G56" s="835">
        <f>(AVERAGE(FS_Y!R56:S56)-AVERAGE(FS_Y!R63:S63))/1000</f>
        <v/>
      </c>
      <c r="H56" s="835">
        <f>(AVERAGE(FS_Y!S56:T56)-AVERAGE(FS_Y!S63:T63))/1000</f>
        <v/>
      </c>
      <c r="I56" s="835">
        <f>(AVERAGE(FS_Y!T56:U56)-AVERAGE(FS_Y!T63:U63))/1000</f>
        <v/>
      </c>
      <c r="J56" s="835">
        <f>(AVERAGE(FS_Y!U56:V56)-AVERAGE(FS_Y!U63:V63))/1000</f>
        <v/>
      </c>
      <c r="K56" s="835">
        <f>(AVERAGE(FS_Y!V56:W56)-AVERAGE(FS_Y!V63:W63))/1000</f>
        <v/>
      </c>
      <c r="L56" s="793" t="n"/>
      <c r="M56" s="793" t="n"/>
      <c r="N56" s="793" t="n"/>
    </row>
    <row r="57" ht="12" customFormat="1" customHeight="1" s="735">
      <c r="A57" s="803" t="n"/>
      <c r="B57" s="786" t="inlineStr">
        <is>
          <t>BM Formula &amp; Result</t>
        </is>
      </c>
      <c r="C57" s="787" t="n"/>
      <c r="D57" s="800" t="inlineStr">
        <is>
          <t>AVE_INVESTED_CAPITAL_INC_ASSOC</t>
        </is>
      </c>
      <c r="E57" s="710">
        <f>_xll.BLUEMATRIX2("/servlet/excelData",E56,$E$4,$D57&amp;":"&amp;E$14&amp;E$15&amp;":AN:NULL:FISCAL")</f>
        <v/>
      </c>
      <c r="F57" s="710">
        <f>_xll.BLUEMATRIX2("/servlet/excelData",F56,$E$4,$D57&amp;":"&amp;F$14&amp;F$15&amp;":AN:NULL:FISCAL")</f>
        <v/>
      </c>
      <c r="G57" s="710">
        <f>_xll.BLUEMATRIX2("/servlet/excelData",G56,$E$4,$D57&amp;":"&amp;G$14&amp;G$15&amp;":AN:NULL:FISCAL")</f>
        <v/>
      </c>
      <c r="H57" s="710">
        <f>_xll.BLUEMATRIX2("/servlet/excelData",H56,$E$4,$D57&amp;":"&amp;H$14&amp;H$15&amp;":AN:NULL:FISCAL")</f>
        <v/>
      </c>
      <c r="I57" s="710">
        <f>_xll.BLUEMATRIX2("/servlet/excelData",I56,$E$4,$D57&amp;":"&amp;I$14&amp;I$15&amp;":AN:NULL:FISCAL")</f>
        <v/>
      </c>
      <c r="J57" s="710">
        <f>_xll.BLUEMATRIX2("/servlet/excelData",J56,$E$4,$D57&amp;":"&amp;J$14&amp;J$15&amp;":AN:NULL:FISCAL")</f>
        <v/>
      </c>
      <c r="K57" s="710">
        <f>_xll.BLUEMATRIX2("/servlet/excelData",K56,$E$4,$D57&amp;":"&amp;K$14&amp;K$15&amp;":AN:NULL:FISCAL")</f>
        <v/>
      </c>
      <c r="L57" s="710">
        <f>_xll.BLUEMATRIX2("/servlet/excelData",L56,$E$4,$D57&amp;":"&amp;L$14&amp;L$15&amp;":AN:NULL:FISCAL")</f>
        <v/>
      </c>
      <c r="M57" s="710">
        <f>_xll.BLUEMATRIX2("/servlet/excelData",M56,$E$4,$D57&amp;":"&amp;M$14&amp;M$15&amp;":AN:NULL:FISCAL")</f>
        <v/>
      </c>
      <c r="N57" s="710">
        <f>_xll.BLUEMATRIX2("/servlet/excelData",N56,$E$4,$D57&amp;":"&amp;N$14&amp;N$15&amp;":AN:NULL:FISCAL")</f>
        <v/>
      </c>
    </row>
    <row r="58">
      <c r="A58" s="804" t="inlineStr">
        <is>
          <t>Cash Flow</t>
        </is>
      </c>
      <c r="B58" s="795" t="inlineStr">
        <is>
          <t>Taxation paid</t>
        </is>
      </c>
      <c r="C58" s="796" t="inlineStr">
        <is>
          <t>Taxation paid (cash)</t>
        </is>
      </c>
      <c r="D58" s="797" t="inlineStr">
        <is>
          <t>TAXATION_PAID</t>
        </is>
      </c>
      <c r="E58" s="805" t="n"/>
      <c r="F58" s="805" t="n"/>
      <c r="G58" s="805" t="n"/>
      <c r="H58" s="805" t="n"/>
      <c r="I58" s="805" t="n"/>
      <c r="J58" s="805" t="n"/>
      <c r="K58" s="805" t="n"/>
      <c r="L58" s="805" t="n"/>
      <c r="M58" s="805" t="n"/>
      <c r="N58" s="805" t="n"/>
    </row>
    <row r="59">
      <c r="A59" s="806" t="n"/>
      <c r="B59" s="786" t="inlineStr">
        <is>
          <t>BM Formula &amp; Result</t>
        </is>
      </c>
      <c r="C59" s="787" t="n"/>
      <c r="D59" s="800" t="inlineStr">
        <is>
          <t>TAXATION_PAID</t>
        </is>
      </c>
      <c r="E59" s="710">
        <f>_xll.BLUEMATRIX2("/servlet/excelData",E58,$E$4,$D59&amp;":"&amp;E$14&amp;E$15&amp;":AN:NULL:FISCAL")</f>
        <v/>
      </c>
      <c r="F59" s="710">
        <f>_xll.BLUEMATRIX2("/servlet/excelData",F58,$E$4,$D59&amp;":"&amp;F$14&amp;F$15&amp;":AN:NULL:FISCAL")</f>
        <v/>
      </c>
      <c r="G59" s="710">
        <f>_xll.BLUEMATRIX2("/servlet/excelData",G58,$E$4,$D59&amp;":"&amp;G$14&amp;G$15&amp;":AN:NULL:FISCAL")</f>
        <v/>
      </c>
      <c r="H59" s="710">
        <f>_xll.BLUEMATRIX2("/servlet/excelData",H58,$E$4,$D59&amp;":"&amp;H$14&amp;H$15&amp;":AN:NULL:FISCAL")</f>
        <v/>
      </c>
      <c r="I59" s="710">
        <f>_xll.BLUEMATRIX2("/servlet/excelData",I58,$E$4,$D59&amp;":"&amp;I$14&amp;I$15&amp;":AN:NULL:FISCAL")</f>
        <v/>
      </c>
      <c r="J59" s="710">
        <f>_xll.BLUEMATRIX2("/servlet/excelData",J58,$E$4,$D59&amp;":"&amp;J$14&amp;J$15&amp;":AN:NULL:FISCAL")</f>
        <v/>
      </c>
      <c r="K59" s="710">
        <f>_xll.BLUEMATRIX2("/servlet/excelData",K58,$E$4,$D59&amp;":"&amp;K$14&amp;K$15&amp;":AN:NULL:FISCAL")</f>
        <v/>
      </c>
      <c r="L59" s="710">
        <f>_xll.BLUEMATRIX2("/servlet/excelData",L58,$E$4,$D59&amp;":"&amp;L$14&amp;L$15&amp;":AN:NULL:FISCAL")</f>
        <v/>
      </c>
      <c r="M59" s="710">
        <f>_xll.BLUEMATRIX2("/servlet/excelData",M58,$E$4,$D59&amp;":"&amp;M$14&amp;M$15&amp;":AN:NULL:FISCAL")</f>
        <v/>
      </c>
      <c r="N59" s="710">
        <f>_xll.BLUEMATRIX2("/servlet/excelData",N58,$E$4,$D59&amp;":"&amp;N$14&amp;N$15&amp;":AN:NULL:FISCAL")</f>
        <v/>
      </c>
    </row>
    <row r="60">
      <c r="A60" s="806" t="n"/>
      <c r="B60" s="782" t="inlineStr">
        <is>
          <t>CFO excl Chg in Work Cap</t>
        </is>
      </c>
      <c r="C60" s="776" t="inlineStr">
        <is>
          <t>EBITDA (ex. associates) - Share based payment (in deduction) - other non cash items included in EBITDA  + Dividends from associates + Net interest income/ (expense) paid + Taxation paid + Other cash movements</t>
        </is>
      </c>
      <c r="D60" s="783" t="inlineStr">
        <is>
          <t>CF_FROM_OP_EX_CHG_WCR</t>
        </is>
      </c>
      <c r="E60" s="828">
        <f>E64-E62</f>
        <v/>
      </c>
      <c r="F60" s="828">
        <f>F64-F62</f>
        <v/>
      </c>
      <c r="G60" s="828">
        <f>G64-G62</f>
        <v/>
      </c>
      <c r="H60" s="828">
        <f>H64-H62</f>
        <v/>
      </c>
      <c r="I60" s="828">
        <f>I64-I62</f>
        <v/>
      </c>
      <c r="J60" s="828">
        <f>J64-J62</f>
        <v/>
      </c>
      <c r="K60" s="828">
        <f>K64-K62</f>
        <v/>
      </c>
      <c r="L60" s="793" t="n"/>
      <c r="M60" s="793" t="n"/>
      <c r="N60" s="793" t="n"/>
    </row>
    <row r="61">
      <c r="A61" s="806" t="n"/>
      <c r="B61" s="786" t="inlineStr">
        <is>
          <t>BM Formula &amp; Result</t>
        </is>
      </c>
      <c r="C61" s="787" t="n"/>
      <c r="D61" s="800" t="inlineStr">
        <is>
          <t>CF_FROM_OP_EX_CHG_WCR</t>
        </is>
      </c>
      <c r="E61" s="710">
        <f>_xll.BLUEMATRIX2("/servlet/excelData",E60,$E$4,$D61&amp;":"&amp;E$14&amp;E$15&amp;":AN:NULL:FISCAL")</f>
        <v/>
      </c>
      <c r="F61" s="710">
        <f>_xll.BLUEMATRIX2("/servlet/excelData",F60,$E$4,$D61&amp;":"&amp;F$14&amp;F$15&amp;":AN:NULL:FISCAL")</f>
        <v/>
      </c>
      <c r="G61" s="710">
        <f>_xll.BLUEMATRIX2("/servlet/excelData",G60,$E$4,$D61&amp;":"&amp;G$14&amp;G$15&amp;":AN:NULL:FISCAL")</f>
        <v/>
      </c>
      <c r="H61" s="710">
        <f>_xll.BLUEMATRIX2("/servlet/excelData",H60,$E$4,$D61&amp;":"&amp;H$14&amp;H$15&amp;":AN:NULL:FISCAL")</f>
        <v/>
      </c>
      <c r="I61" s="710">
        <f>_xll.BLUEMATRIX2("/servlet/excelData",I60,$E$4,$D61&amp;":"&amp;I$14&amp;I$15&amp;":AN:NULL:FISCAL")</f>
        <v/>
      </c>
      <c r="J61" s="710">
        <f>_xll.BLUEMATRIX2("/servlet/excelData",J60,$E$4,$D61&amp;":"&amp;J$14&amp;J$15&amp;":AN:NULL:FISCAL")</f>
        <v/>
      </c>
      <c r="K61" s="710">
        <f>_xll.BLUEMATRIX2("/servlet/excelData",K60,$E$4,$D61&amp;":"&amp;K$14&amp;K$15&amp;":AN:NULL:FISCAL")</f>
        <v/>
      </c>
      <c r="L61" s="710">
        <f>_xll.BLUEMATRIX2("/servlet/excelData",L60,$E$4,$D61&amp;":"&amp;L$14&amp;L$15&amp;":AN:NULL:FISCAL")</f>
        <v/>
      </c>
      <c r="M61" s="710">
        <f>_xll.BLUEMATRIX2("/servlet/excelData",M60,$E$4,$D61&amp;":"&amp;M$14&amp;M$15&amp;":AN:NULL:FISCAL")</f>
        <v/>
      </c>
      <c r="N61" s="710">
        <f>_xll.BLUEMATRIX2("/servlet/excelData",N60,$E$4,$D61&amp;":"&amp;N$14&amp;N$15&amp;":AN:NULL:FISCAL")</f>
        <v/>
      </c>
    </row>
    <row r="62">
      <c r="A62" s="806" t="n"/>
      <c r="B62" s="782" t="inlineStr">
        <is>
          <t>Change in Working Cap Requirement (M)</t>
        </is>
      </c>
      <c r="C62" s="801" t="n"/>
      <c r="D62" s="783" t="inlineStr">
        <is>
          <t>DEC_INCR_IN_WORKING_CAPITAL</t>
        </is>
      </c>
      <c r="E62" s="835">
        <f>(SUM(FS_Y!Q97:Q101))/1000</f>
        <v/>
      </c>
      <c r="F62" s="835">
        <f>(SUM(FS_Y!R97:R101))/1000</f>
        <v/>
      </c>
      <c r="G62" s="835">
        <f>(SUM(FS_Y!S97:S101))/1000</f>
        <v/>
      </c>
      <c r="H62" s="835">
        <f>(SUM(FS_Y!T97:T101))/1000</f>
        <v/>
      </c>
      <c r="I62" s="835">
        <f>(SUM(FS_Y!U97:U101))/1000</f>
        <v/>
      </c>
      <c r="J62" s="835">
        <f>(SUM(FS_Y!V97:V101))/1000</f>
        <v/>
      </c>
      <c r="K62" s="835">
        <f>(SUM(FS_Y!W97:W101))/1000</f>
        <v/>
      </c>
      <c r="L62" s="793" t="n"/>
      <c r="M62" s="793" t="n"/>
      <c r="N62" s="793" t="n"/>
    </row>
    <row r="63">
      <c r="A63" s="806" t="n"/>
      <c r="B63" s="786" t="inlineStr">
        <is>
          <t>BM Formula &amp; Result</t>
        </is>
      </c>
      <c r="C63" s="787" t="n"/>
      <c r="D63" s="800" t="inlineStr">
        <is>
          <t>DEC_INCR_IN_WORKING_CAPITAL</t>
        </is>
      </c>
      <c r="E63" s="710">
        <f>_xll.BLUEMATRIX2("/servlet/excelData",E62,$E$4,$D63&amp;":"&amp;E$14&amp;E$15&amp;":AN:NULL:FISCAL")</f>
        <v/>
      </c>
      <c r="F63" s="710">
        <f>_xll.BLUEMATRIX2("/servlet/excelData",F62,$E$4,$D63&amp;":"&amp;F$14&amp;F$15&amp;":AN:NULL:FISCAL")</f>
        <v/>
      </c>
      <c r="G63" s="710">
        <f>_xll.BLUEMATRIX2("/servlet/excelData",G62,$E$4,$D63&amp;":"&amp;G$14&amp;G$15&amp;":AN:NULL:FISCAL")</f>
        <v/>
      </c>
      <c r="H63" s="710">
        <f>_xll.BLUEMATRIX2("/servlet/excelData",H62,$E$4,$D63&amp;":"&amp;H$14&amp;H$15&amp;":AN:NULL:FISCAL")</f>
        <v/>
      </c>
      <c r="I63" s="710">
        <f>_xll.BLUEMATRIX2("/servlet/excelData",I62,$E$4,$D63&amp;":"&amp;I$14&amp;I$15&amp;":AN:NULL:FISCAL")</f>
        <v/>
      </c>
      <c r="J63" s="710">
        <f>_xll.BLUEMATRIX2("/servlet/excelData",J62,$E$4,$D63&amp;":"&amp;J$14&amp;J$15&amp;":AN:NULL:FISCAL")</f>
        <v/>
      </c>
      <c r="K63" s="710">
        <f>_xll.BLUEMATRIX2("/servlet/excelData",K62,$E$4,$D63&amp;":"&amp;K$14&amp;K$15&amp;":AN:NULL:FISCAL")</f>
        <v/>
      </c>
      <c r="L63" s="710">
        <f>_xll.BLUEMATRIX2("/servlet/excelData",L62,$E$4,$D63&amp;":"&amp;L$14&amp;L$15&amp;":AN:NULL:FISCAL")</f>
        <v/>
      </c>
      <c r="M63" s="710">
        <f>_xll.BLUEMATRIX2("/servlet/excelData",M62,$E$4,$D63&amp;":"&amp;M$14&amp;M$15&amp;":AN:NULL:FISCAL")</f>
        <v/>
      </c>
      <c r="N63" s="710">
        <f>_xll.BLUEMATRIX2("/servlet/excelData",N62,$E$4,$D63&amp;":"&amp;N$14&amp;N$15&amp;":AN:NULL:FISCAL")</f>
        <v/>
      </c>
    </row>
    <row r="64">
      <c r="A64" s="806" t="n"/>
      <c r="B64" s="782" t="inlineStr">
        <is>
          <t>CFO (M)</t>
        </is>
      </c>
      <c r="C64" s="776" t="inlineStr">
        <is>
          <t>Cash flow from operating activities excluding change in working capital + Change in working capital</t>
        </is>
      </c>
      <c r="D64" s="783" t="inlineStr">
        <is>
          <t>OCF</t>
        </is>
      </c>
      <c r="E64" s="835">
        <f>(FS_Y!Q102)/1000</f>
        <v/>
      </c>
      <c r="F64" s="835">
        <f>(FS_Y!R102)/1000</f>
        <v/>
      </c>
      <c r="G64" s="835">
        <f>(FS_Y!S102)/1000</f>
        <v/>
      </c>
      <c r="H64" s="835">
        <f>(FS_Y!T102)/1000</f>
        <v/>
      </c>
      <c r="I64" s="835">
        <f>(FS_Y!U102)/1000</f>
        <v/>
      </c>
      <c r="J64" s="835">
        <f>(FS_Y!V102)/1000</f>
        <v/>
      </c>
      <c r="K64" s="835">
        <f>(FS_Y!W102)/1000</f>
        <v/>
      </c>
      <c r="L64" s="793" t="n"/>
      <c r="M64" s="793" t="n"/>
      <c r="N64" s="793" t="n"/>
    </row>
    <row r="65">
      <c r="A65" s="806" t="n"/>
      <c r="B65" s="786" t="inlineStr">
        <is>
          <t>BM Formula &amp; Result</t>
        </is>
      </c>
      <c r="C65" s="787" t="n"/>
      <c r="D65" s="800" t="inlineStr">
        <is>
          <t>OCF</t>
        </is>
      </c>
      <c r="E65" s="710">
        <f>_xll.BLUEMATRIX2("/servlet/excelData",E64,$E$4,$D65&amp;":"&amp;E$14&amp;E$15&amp;":AN:NULL:FISCAL")</f>
        <v/>
      </c>
      <c r="F65" s="710">
        <f>_xll.BLUEMATRIX2("/servlet/excelData",F64,$E$4,$D65&amp;":"&amp;F$14&amp;F$15&amp;":AN:NULL:FISCAL")</f>
        <v/>
      </c>
      <c r="G65" s="710">
        <f>_xll.BLUEMATRIX2("/servlet/excelData",G64,$E$4,$D65&amp;":"&amp;G$14&amp;G$15&amp;":AN:NULL:FISCAL")</f>
        <v/>
      </c>
      <c r="H65" s="710">
        <f>_xll.BLUEMATRIX2("/servlet/excelData",H64,$E$4,$D65&amp;":"&amp;H$14&amp;H$15&amp;":AN:NULL:FISCAL")</f>
        <v/>
      </c>
      <c r="I65" s="710">
        <f>_xll.BLUEMATRIX2("/servlet/excelData",I64,$E$4,$D65&amp;":"&amp;I$14&amp;I$15&amp;":AN:NULL:FISCAL")</f>
        <v/>
      </c>
      <c r="J65" s="710">
        <f>_xll.BLUEMATRIX2("/servlet/excelData",J64,$E$4,$D65&amp;":"&amp;J$14&amp;J$15&amp;":AN:NULL:FISCAL")</f>
        <v/>
      </c>
      <c r="K65" s="710">
        <f>_xll.BLUEMATRIX2("/servlet/excelData",K64,$E$4,$D65&amp;":"&amp;K$14&amp;K$15&amp;":AN:NULL:FISCAL")</f>
        <v/>
      </c>
      <c r="L65" s="710">
        <f>_xll.BLUEMATRIX2("/servlet/excelData",L64,$E$4,$D65&amp;":"&amp;L$14&amp;L$15&amp;":AN:NULL:FISCAL")</f>
        <v/>
      </c>
      <c r="M65" s="710">
        <f>_xll.BLUEMATRIX2("/servlet/excelData",M64,$E$4,$D65&amp;":"&amp;M$14&amp;M$15&amp;":AN:NULL:FISCAL")</f>
        <v/>
      </c>
      <c r="N65" s="710">
        <f>_xll.BLUEMATRIX2("/servlet/excelData",N64,$E$4,$D65&amp;":"&amp;N$14&amp;N$15&amp;":AN:NULL:FISCAL")</f>
        <v/>
      </c>
    </row>
    <row r="66">
      <c r="A66" s="806" t="n"/>
      <c r="B66" s="782" t="inlineStr">
        <is>
          <t>Net capital expenditure</t>
        </is>
      </c>
      <c r="C66" s="782" t="inlineStr">
        <is>
          <t>Capital expenditures is a net item, I.e. it consists of capital expenditure as well as sales of assets</t>
        </is>
      </c>
      <c r="D66" s="783" t="inlineStr">
        <is>
          <t>NET_CAPITAL_EXPENDITURE</t>
        </is>
      </c>
      <c r="E66" s="828">
        <f>FS_Y!Q105/1000</f>
        <v/>
      </c>
      <c r="F66" s="828">
        <f>FS_Y!R105/1000</f>
        <v/>
      </c>
      <c r="G66" s="828">
        <f>FS_Y!S105/1000</f>
        <v/>
      </c>
      <c r="H66" s="828">
        <f>FS_Y!T105/1000</f>
        <v/>
      </c>
      <c r="I66" s="828">
        <f>FS_Y!U105/1000</f>
        <v/>
      </c>
      <c r="J66" s="828">
        <f>FS_Y!V105/1000</f>
        <v/>
      </c>
      <c r="K66" s="828">
        <f>FS_Y!W105/1000</f>
        <v/>
      </c>
      <c r="L66" s="793" t="n"/>
      <c r="M66" s="793" t="n"/>
      <c r="N66" s="793" t="n"/>
    </row>
    <row r="67">
      <c r="A67" s="806" t="n"/>
      <c r="B67" s="786" t="inlineStr">
        <is>
          <t>BM Formula &amp; Result</t>
        </is>
      </c>
      <c r="C67" s="787" t="n"/>
      <c r="D67" s="800" t="inlineStr">
        <is>
          <t>NET_CAPITAL_EXPENDITURE</t>
        </is>
      </c>
      <c r="E67" s="710">
        <f>_xll.BLUEMATRIX2("/servlet/excelData",E66,$E$4,$D67&amp;":"&amp;E$14&amp;E$15&amp;":AN:NULL:FISCAL")</f>
        <v/>
      </c>
      <c r="F67" s="710">
        <f>_xll.BLUEMATRIX2("/servlet/excelData",F66,$E$4,$D67&amp;":"&amp;F$14&amp;F$15&amp;":AN:NULL:FISCAL")</f>
        <v/>
      </c>
      <c r="G67" s="710">
        <f>_xll.BLUEMATRIX2("/servlet/excelData",G66,$E$4,$D67&amp;":"&amp;G$14&amp;G$15&amp;":AN:NULL:FISCAL")</f>
        <v/>
      </c>
      <c r="H67" s="710">
        <f>_xll.BLUEMATRIX2("/servlet/excelData",H66,$E$4,$D67&amp;":"&amp;H$14&amp;H$15&amp;":AN:NULL:FISCAL")</f>
        <v/>
      </c>
      <c r="I67" s="710">
        <f>_xll.BLUEMATRIX2("/servlet/excelData",I66,$E$4,$D67&amp;":"&amp;I$14&amp;I$15&amp;":AN:NULL:FISCAL")</f>
        <v/>
      </c>
      <c r="J67" s="710">
        <f>_xll.BLUEMATRIX2("/servlet/excelData",J66,$E$4,$D67&amp;":"&amp;J$14&amp;J$15&amp;":AN:NULL:FISCAL")</f>
        <v/>
      </c>
      <c r="K67" s="710">
        <f>_xll.BLUEMATRIX2("/servlet/excelData",K66,$E$4,$D67&amp;":"&amp;K$14&amp;K$15&amp;":AN:NULL:FISCAL")</f>
        <v/>
      </c>
      <c r="L67" s="710">
        <f>_xll.BLUEMATRIX2("/servlet/excelData",L66,$E$4,$D67&amp;":"&amp;L$14&amp;L$15&amp;":AN:NULL:FISCAL")</f>
        <v/>
      </c>
      <c r="M67" s="710">
        <f>_xll.BLUEMATRIX2("/servlet/excelData",M66,$E$4,$D67&amp;":"&amp;M$14&amp;M$15&amp;":AN:NULL:FISCAL")</f>
        <v/>
      </c>
      <c r="N67" s="710">
        <f>_xll.BLUEMATRIX2("/servlet/excelData",N66,$E$4,$D67&amp;":"&amp;N$14&amp;N$15&amp;":AN:NULL:FISCAL")</f>
        <v/>
      </c>
    </row>
    <row r="68">
      <c r="A68" s="806" t="n"/>
      <c r="B68" s="782" t="inlineStr">
        <is>
          <t>Net Interest Inc Received/Expense Paid (M)</t>
        </is>
      </c>
      <c r="C68" s="776" t="inlineStr">
        <is>
          <t>Net interest income received/ (expense paid)</t>
        </is>
      </c>
      <c r="D68" s="783" t="inlineStr">
        <is>
          <t>NIM</t>
        </is>
      </c>
      <c r="E68" s="793" t="n"/>
      <c r="F68" s="793" t="n"/>
      <c r="G68" s="793" t="n"/>
      <c r="H68" s="793" t="n"/>
      <c r="I68" s="793" t="n"/>
      <c r="J68" s="793" t="n"/>
      <c r="K68" s="793" t="n"/>
      <c r="L68" s="793" t="n"/>
      <c r="M68" s="793" t="n"/>
      <c r="N68" s="793" t="n"/>
    </row>
    <row r="69">
      <c r="A69" s="806" t="n"/>
      <c r="B69" s="786" t="inlineStr">
        <is>
          <t>BM Formula &amp; Result</t>
        </is>
      </c>
      <c r="C69" s="787" t="n"/>
      <c r="D69" s="800" t="inlineStr">
        <is>
          <t>NIM</t>
        </is>
      </c>
      <c r="E69" s="710">
        <f>_xll.BLUEMATRIX2("/servlet/excelData",E68,$E$4,$D69&amp;":"&amp;E$14&amp;E$15&amp;":AN:NULL:FISCAL")</f>
        <v/>
      </c>
      <c r="F69" s="710">
        <f>_xll.BLUEMATRIX2("/servlet/excelData",F68,$E$4,$D69&amp;":"&amp;F$14&amp;F$15&amp;":AN:NULL:FISCAL")</f>
        <v/>
      </c>
      <c r="G69" s="710">
        <f>_xll.BLUEMATRIX2("/servlet/excelData",G68,$E$4,$D69&amp;":"&amp;G$14&amp;G$15&amp;":AN:NULL:FISCAL")</f>
        <v/>
      </c>
      <c r="H69" s="710">
        <f>_xll.BLUEMATRIX2("/servlet/excelData",H68,$E$4,$D69&amp;":"&amp;H$14&amp;H$15&amp;":AN:NULL:FISCAL")</f>
        <v/>
      </c>
      <c r="I69" s="710">
        <f>_xll.BLUEMATRIX2("/servlet/excelData",I68,$E$4,$D69&amp;":"&amp;I$14&amp;I$15&amp;":AN:NULL:FISCAL")</f>
        <v/>
      </c>
      <c r="J69" s="710">
        <f>_xll.BLUEMATRIX2("/servlet/excelData",J68,$E$4,$D69&amp;":"&amp;J$14&amp;J$15&amp;":AN:NULL:FISCAL")</f>
        <v/>
      </c>
      <c r="K69" s="710">
        <f>_xll.BLUEMATRIX2("/servlet/excelData",K68,$E$4,$D69&amp;":"&amp;K$14&amp;K$15&amp;":AN:NULL:FISCAL")</f>
        <v/>
      </c>
      <c r="L69" s="710">
        <f>_xll.BLUEMATRIX2("/servlet/excelData",L68,$E$4,$D69&amp;":"&amp;L$14&amp;L$15&amp;":AN:NULL:FISCAL")</f>
        <v/>
      </c>
      <c r="M69" s="710">
        <f>_xll.BLUEMATRIX2("/servlet/excelData",M68,$E$4,$D69&amp;":"&amp;M$14&amp;M$15&amp;":AN:NULL:FISCAL")</f>
        <v/>
      </c>
      <c r="N69" s="710">
        <f>_xll.BLUEMATRIX2("/servlet/excelData",N68,$E$4,$D69&amp;":"&amp;N$14&amp;N$15&amp;":AN:NULL:FISCAL")</f>
        <v/>
      </c>
    </row>
    <row r="70">
      <c r="A70" s="806" t="n"/>
      <c r="B70" s="782" t="inlineStr">
        <is>
          <t>FCF (M)</t>
        </is>
      </c>
      <c r="C70" s="776" t="inlineStr">
        <is>
          <t>Cash flow from operating activities + Net capital expenditure</t>
        </is>
      </c>
      <c r="D70" s="783" t="inlineStr">
        <is>
          <t>FCF</t>
        </is>
      </c>
      <c r="E70" s="835">
        <f>(FS_Y!Q173)/1000</f>
        <v/>
      </c>
      <c r="F70" s="835">
        <f>(FS_Y!R173)/1000</f>
        <v/>
      </c>
      <c r="G70" s="835">
        <f>(FS_Y!S173)/1000</f>
        <v/>
      </c>
      <c r="H70" s="835">
        <f>(FS_Y!T173)/1000</f>
        <v/>
      </c>
      <c r="I70" s="835">
        <f>(FS_Y!U173)/1000</f>
        <v/>
      </c>
      <c r="J70" s="835">
        <f>(FS_Y!V173)/1000</f>
        <v/>
      </c>
      <c r="K70" s="835">
        <f>(FS_Y!W173)/1000</f>
        <v/>
      </c>
      <c r="L70" s="793" t="n"/>
      <c r="M70" s="793" t="n"/>
      <c r="N70" s="793" t="n"/>
    </row>
    <row r="71">
      <c r="A71" s="806" t="n"/>
      <c r="B71" s="786" t="inlineStr">
        <is>
          <t>BM Formula &amp; Result</t>
        </is>
      </c>
      <c r="C71" s="787" t="n"/>
      <c r="D71" s="800" t="inlineStr">
        <is>
          <t>FCF</t>
        </is>
      </c>
      <c r="E71" s="710">
        <f>_xll.BLUEMATRIX2("/servlet/excelData",E70,$E$4,$D71&amp;":"&amp;E$14&amp;E$15&amp;":AN:NULL:FISCAL")</f>
        <v/>
      </c>
      <c r="F71" s="710">
        <f>_xll.BLUEMATRIX2("/servlet/excelData",F70,$E$4,$D71&amp;":"&amp;F$14&amp;F$15&amp;":AN:NULL:FISCAL")</f>
        <v/>
      </c>
      <c r="G71" s="710">
        <f>_xll.BLUEMATRIX2("/servlet/excelData",G70,$E$4,$D71&amp;":"&amp;G$14&amp;G$15&amp;":AN:NULL:FISCAL")</f>
        <v/>
      </c>
      <c r="H71" s="710">
        <f>_xll.BLUEMATRIX2("/servlet/excelData",H70,$E$4,$D71&amp;":"&amp;H$14&amp;H$15&amp;":AN:NULL:FISCAL")</f>
        <v/>
      </c>
      <c r="I71" s="710">
        <f>_xll.BLUEMATRIX2("/servlet/excelData",I70,$E$4,$D71&amp;":"&amp;I$14&amp;I$15&amp;":AN:NULL:FISCAL")</f>
        <v/>
      </c>
      <c r="J71" s="710">
        <f>_xll.BLUEMATRIX2("/servlet/excelData",J70,$E$4,$D71&amp;":"&amp;J$14&amp;J$15&amp;":AN:NULL:FISCAL")</f>
        <v/>
      </c>
      <c r="K71" s="710">
        <f>_xll.BLUEMATRIX2("/servlet/excelData",K70,$E$4,$D71&amp;":"&amp;K$14&amp;K$15&amp;":AN:NULL:FISCAL")</f>
        <v/>
      </c>
      <c r="L71" s="710">
        <f>_xll.BLUEMATRIX2("/servlet/excelData",L70,$E$4,$D71&amp;":"&amp;L$14&amp;L$15&amp;":AN:NULL:FISCAL")</f>
        <v/>
      </c>
      <c r="M71" s="710">
        <f>_xll.BLUEMATRIX2("/servlet/excelData",M70,$E$4,$D71&amp;":"&amp;M$14&amp;M$15&amp;":AN:NULL:FISCAL")</f>
        <v/>
      </c>
      <c r="N71" s="710">
        <f>_xll.BLUEMATRIX2("/servlet/excelData",N70,$E$4,$D71&amp;":"&amp;N$14&amp;N$15&amp;":AN:NULL:FISCAL")</f>
        <v/>
      </c>
    </row>
    <row r="72">
      <c r="A72" s="806" t="n"/>
      <c r="B72" s="782" t="inlineStr">
        <is>
          <t>Acquisitions</t>
        </is>
      </c>
      <c r="C72" s="776" t="inlineStr">
        <is>
          <t>Acquisitions of subsidiaries, securities &amp; other investments</t>
        </is>
      </c>
      <c r="D72" s="783" t="inlineStr">
        <is>
          <t>ACQU_SUBSIDS_SECS_INVEST</t>
        </is>
      </c>
      <c r="E72" s="793" t="n"/>
      <c r="F72" s="793" t="n"/>
      <c r="G72" s="793" t="n"/>
      <c r="H72" s="793" t="n"/>
      <c r="I72" s="793" t="n"/>
      <c r="J72" s="793" t="n"/>
      <c r="K72" s="793" t="n"/>
      <c r="L72" s="793" t="n"/>
      <c r="M72" s="793" t="n"/>
      <c r="N72" s="793" t="n"/>
    </row>
    <row r="73">
      <c r="A73" s="806" t="n"/>
      <c r="B73" s="786" t="inlineStr">
        <is>
          <t>BM Formula &amp; Result</t>
        </is>
      </c>
      <c r="C73" s="787" t="n"/>
      <c r="D73" s="800" t="inlineStr">
        <is>
          <t>ACQU_SUBSIDS_SECS_INVEST</t>
        </is>
      </c>
      <c r="E73" s="710">
        <f>_xll.BLUEMATRIX2("/servlet/excelData",E72,$E$4,$D73&amp;":"&amp;E$14&amp;E$15&amp;":AN:NULL:FISCAL")</f>
        <v/>
      </c>
      <c r="F73" s="710">
        <f>_xll.BLUEMATRIX2("/servlet/excelData",F72,$E$4,$D73&amp;":"&amp;F$14&amp;F$15&amp;":AN:NULL:FISCAL")</f>
        <v/>
      </c>
      <c r="G73" s="710">
        <f>_xll.BLUEMATRIX2("/servlet/excelData",G72,$E$4,$D73&amp;":"&amp;G$14&amp;G$15&amp;":AN:NULL:FISCAL")</f>
        <v/>
      </c>
      <c r="H73" s="710">
        <f>_xll.BLUEMATRIX2("/servlet/excelData",H72,$E$4,$D73&amp;":"&amp;H$14&amp;H$15&amp;":AN:NULL:FISCAL")</f>
        <v/>
      </c>
      <c r="I73" s="710">
        <f>_xll.BLUEMATRIX2("/servlet/excelData",I72,$E$4,$D73&amp;":"&amp;I$14&amp;I$15&amp;":AN:NULL:FISCAL")</f>
        <v/>
      </c>
      <c r="J73" s="710">
        <f>_xll.BLUEMATRIX2("/servlet/excelData",J72,$E$4,$D73&amp;":"&amp;J$14&amp;J$15&amp;":AN:NULL:FISCAL")</f>
        <v/>
      </c>
      <c r="K73" s="710">
        <f>_xll.BLUEMATRIX2("/servlet/excelData",K72,$E$4,$D73&amp;":"&amp;K$14&amp;K$15&amp;":AN:NULL:FISCAL")</f>
        <v/>
      </c>
      <c r="L73" s="710">
        <f>_xll.BLUEMATRIX2("/servlet/excelData",L72,$E$4,$D73&amp;":"&amp;L$14&amp;L$15&amp;":AN:NULL:FISCAL")</f>
        <v/>
      </c>
      <c r="M73" s="710">
        <f>_xll.BLUEMATRIX2("/servlet/excelData",M72,$E$4,$D73&amp;":"&amp;M$14&amp;M$15&amp;":AN:NULL:FISCAL")</f>
        <v/>
      </c>
      <c r="N73" s="710">
        <f>_xll.BLUEMATRIX2("/servlet/excelData",N72,$E$4,$D73&amp;":"&amp;N$14&amp;N$15&amp;":AN:NULL:FISCAL")</f>
        <v/>
      </c>
    </row>
    <row r="74">
      <c r="A74" s="806" t="n"/>
      <c r="B74" s="782" t="inlineStr">
        <is>
          <t>Disposals</t>
        </is>
      </c>
      <c r="C74" s="782" t="inlineStr">
        <is>
          <t>Disposals of subsidiaries, securities &amp; other investments</t>
        </is>
      </c>
      <c r="D74" s="783" t="inlineStr">
        <is>
          <t>DISP_SUBSIDS_SECS_INVEST</t>
        </is>
      </c>
      <c r="E74" s="793" t="n"/>
      <c r="F74" s="793" t="n"/>
      <c r="G74" s="793" t="n"/>
      <c r="H74" s="793" t="n"/>
      <c r="I74" s="793" t="n"/>
      <c r="J74" s="793" t="n"/>
      <c r="K74" s="793" t="n"/>
      <c r="L74" s="793" t="n"/>
      <c r="M74" s="793" t="n"/>
      <c r="N74" s="793" t="n"/>
    </row>
    <row r="75">
      <c r="A75" s="806" t="n"/>
      <c r="B75" s="786" t="inlineStr">
        <is>
          <t>BM Formula &amp; Result</t>
        </is>
      </c>
      <c r="C75" s="787" t="n"/>
      <c r="D75" s="800" t="inlineStr">
        <is>
          <t>DISP_SUBSIDS_SECS_INVEST</t>
        </is>
      </c>
      <c r="E75" s="710">
        <f>_xll.BLUEMATRIX2("/servlet/excelData",E74,$E$4,$D75&amp;":"&amp;E$14&amp;E$15&amp;":AN:NULL:FISCAL")</f>
        <v/>
      </c>
      <c r="F75" s="710">
        <f>_xll.BLUEMATRIX2("/servlet/excelData",F74,$E$4,$D75&amp;":"&amp;F$14&amp;F$15&amp;":AN:NULL:FISCAL")</f>
        <v/>
      </c>
      <c r="G75" s="710">
        <f>_xll.BLUEMATRIX2("/servlet/excelData",G74,$E$4,$D75&amp;":"&amp;G$14&amp;G$15&amp;":AN:NULL:FISCAL")</f>
        <v/>
      </c>
      <c r="H75" s="710">
        <f>_xll.BLUEMATRIX2("/servlet/excelData",H74,$E$4,$D75&amp;":"&amp;H$14&amp;H$15&amp;":AN:NULL:FISCAL")</f>
        <v/>
      </c>
      <c r="I75" s="710">
        <f>_xll.BLUEMATRIX2("/servlet/excelData",I74,$E$4,$D75&amp;":"&amp;I$14&amp;I$15&amp;":AN:NULL:FISCAL")</f>
        <v/>
      </c>
      <c r="J75" s="710">
        <f>_xll.BLUEMATRIX2("/servlet/excelData",J74,$E$4,$D75&amp;":"&amp;J$14&amp;J$15&amp;":AN:NULL:FISCAL")</f>
        <v/>
      </c>
      <c r="K75" s="710">
        <f>_xll.BLUEMATRIX2("/servlet/excelData",K74,$E$4,$D75&amp;":"&amp;K$14&amp;K$15&amp;":AN:NULL:FISCAL")</f>
        <v/>
      </c>
      <c r="L75" s="710">
        <f>_xll.BLUEMATRIX2("/servlet/excelData",L74,$E$4,$D75&amp;":"&amp;L$14&amp;L$15&amp;":AN:NULL:FISCAL")</f>
        <v/>
      </c>
      <c r="M75" s="710">
        <f>_xll.BLUEMATRIX2("/servlet/excelData",M74,$E$4,$D75&amp;":"&amp;M$14&amp;M$15&amp;":AN:NULL:FISCAL")</f>
        <v/>
      </c>
      <c r="N75" s="710">
        <f>_xll.BLUEMATRIX2("/servlet/excelData",N74,$E$4,$D75&amp;":"&amp;N$14&amp;N$15&amp;":AN:NULL:FISCAL")</f>
        <v/>
      </c>
    </row>
    <row r="76">
      <c r="A76" s="806" t="n"/>
      <c r="B76" s="782" t="inlineStr">
        <is>
          <t xml:space="preserve">Cash flow from financing activities </t>
        </is>
      </c>
      <c r="C76" s="776" t="inlineStr">
        <is>
          <t>Debt movements + Share issue proceeds + Share buy-back + Dividends paid + Other movements in cash flow statement</t>
        </is>
      </c>
      <c r="D76" s="783" t="inlineStr">
        <is>
          <t>CF_FROM_FINANCING_ACTIVITIES</t>
        </is>
      </c>
      <c r="E76" s="837">
        <f>FS_Y!Q113/1000</f>
        <v/>
      </c>
      <c r="F76" s="837">
        <f>FS_Y!R113/1000</f>
        <v/>
      </c>
      <c r="G76" s="837">
        <f>FS_Y!S113/1000</f>
        <v/>
      </c>
      <c r="H76" s="837">
        <f>FS_Y!T113/1000</f>
        <v/>
      </c>
      <c r="I76" s="837">
        <f>FS_Y!U113/1000</f>
        <v/>
      </c>
      <c r="J76" s="837">
        <f>FS_Y!V113/1000</f>
        <v/>
      </c>
      <c r="K76" s="837">
        <f>FS_Y!W113/1000</f>
        <v/>
      </c>
      <c r="L76" s="793" t="n"/>
      <c r="M76" s="793" t="n"/>
      <c r="N76" s="793" t="n"/>
    </row>
    <row r="77">
      <c r="A77" s="806" t="n"/>
      <c r="B77" s="786" t="inlineStr">
        <is>
          <t>BM Formula &amp; Result</t>
        </is>
      </c>
      <c r="C77" s="787" t="n"/>
      <c r="D77" s="800" t="inlineStr">
        <is>
          <t>CF_FROM_FINANCING_ACTIVITIES</t>
        </is>
      </c>
      <c r="E77" s="710">
        <f>_xll.BLUEMATRIX2("/servlet/excelData",E76,$E$4,$D77&amp;":"&amp;E$14&amp;E$15&amp;":AN:NULL:FISCAL")</f>
        <v/>
      </c>
      <c r="F77" s="710">
        <f>_xll.BLUEMATRIX2("/servlet/excelData",F76,$E$4,$D77&amp;":"&amp;F$14&amp;F$15&amp;":AN:NULL:FISCAL")</f>
        <v/>
      </c>
      <c r="G77" s="710">
        <f>_xll.BLUEMATRIX2("/servlet/excelData",G76,$E$4,$D77&amp;":"&amp;G$14&amp;G$15&amp;":AN:NULL:FISCAL")</f>
        <v/>
      </c>
      <c r="H77" s="710">
        <f>_xll.BLUEMATRIX2("/servlet/excelData",H76,$E$4,$D77&amp;":"&amp;H$14&amp;H$15&amp;":AN:NULL:FISCAL")</f>
        <v/>
      </c>
      <c r="I77" s="710">
        <f>_xll.BLUEMATRIX2("/servlet/excelData",I76,$E$4,$D77&amp;":"&amp;I$14&amp;I$15&amp;":AN:NULL:FISCAL")</f>
        <v/>
      </c>
      <c r="J77" s="710">
        <f>_xll.BLUEMATRIX2("/servlet/excelData",J76,$E$4,$D77&amp;":"&amp;J$14&amp;J$15&amp;":AN:NULL:FISCAL")</f>
        <v/>
      </c>
      <c r="K77" s="710">
        <f>_xll.BLUEMATRIX2("/servlet/excelData",K76,$E$4,$D77&amp;":"&amp;K$14&amp;K$15&amp;":AN:NULL:FISCAL")</f>
        <v/>
      </c>
      <c r="L77" s="710">
        <f>_xll.BLUEMATRIX2("/servlet/excelData",L76,$E$4,$D77&amp;":"&amp;L$14&amp;L$15&amp;":AN:NULL:FISCAL")</f>
        <v/>
      </c>
      <c r="M77" s="710">
        <f>_xll.BLUEMATRIX2("/servlet/excelData",M76,$E$4,$D77&amp;":"&amp;M$14&amp;M$15&amp;":AN:NULL:FISCAL")</f>
        <v/>
      </c>
      <c r="N77" s="710">
        <f>_xll.BLUEMATRIX2("/servlet/excelData",N76,$E$4,$D77&amp;":"&amp;N$14&amp;N$15&amp;":AN:NULL:FISCAL")</f>
        <v/>
      </c>
    </row>
    <row r="78">
      <c r="A78" s="806" t="n"/>
      <c r="B78" s="782" t="inlineStr">
        <is>
          <t>Share repurchase (FXmn)</t>
        </is>
      </c>
      <c r="C78" s="782" t="inlineStr">
        <is>
          <t xml:space="preserve">Share buy-back </t>
        </is>
      </c>
      <c r="D78" s="783" t="inlineStr">
        <is>
          <t>ShareRepurch</t>
        </is>
      </c>
      <c r="E78" s="793" t="n"/>
      <c r="F78" s="793" t="n"/>
      <c r="G78" s="793" t="n"/>
      <c r="H78" s="793" t="n"/>
      <c r="I78" s="793" t="n"/>
      <c r="J78" s="793" t="n"/>
      <c r="K78" s="793" t="n"/>
      <c r="L78" s="793" t="n"/>
      <c r="M78" s="793" t="n"/>
      <c r="N78" s="793" t="n"/>
    </row>
    <row r="79">
      <c r="A79" s="806" t="n"/>
      <c r="B79" s="786" t="inlineStr">
        <is>
          <t>BM Formula &amp; Result</t>
        </is>
      </c>
      <c r="C79" s="787" t="n"/>
      <c r="D79" s="800" t="inlineStr">
        <is>
          <t>ShareRepurch</t>
        </is>
      </c>
      <c r="E79" s="710">
        <f>_xll.BLUEMATRIX2("/servlet/excelData",E78,$E$4,$D79&amp;":"&amp;E$14&amp;E$15&amp;":AN:NULL:FISCAL")</f>
        <v/>
      </c>
      <c r="F79" s="710">
        <f>_xll.BLUEMATRIX2("/servlet/excelData",F78,$E$4,$D79&amp;":"&amp;F$14&amp;F$15&amp;":AN:NULL:FISCAL")</f>
        <v/>
      </c>
      <c r="G79" s="710">
        <f>_xll.BLUEMATRIX2("/servlet/excelData",G78,$E$4,$D79&amp;":"&amp;G$14&amp;G$15&amp;":AN:NULL:FISCAL")</f>
        <v/>
      </c>
      <c r="H79" s="710">
        <f>_xll.BLUEMATRIX2("/servlet/excelData",H78,$E$4,$D79&amp;":"&amp;H$14&amp;H$15&amp;":AN:NULL:FISCAL")</f>
        <v/>
      </c>
      <c r="I79" s="710">
        <f>_xll.BLUEMATRIX2("/servlet/excelData",I78,$E$4,$D79&amp;":"&amp;I$14&amp;I$15&amp;":AN:NULL:FISCAL")</f>
        <v/>
      </c>
      <c r="J79" s="710">
        <f>_xll.BLUEMATRIX2("/servlet/excelData",J78,$E$4,$D79&amp;":"&amp;J$14&amp;J$15&amp;":AN:NULL:FISCAL")</f>
        <v/>
      </c>
      <c r="K79" s="710">
        <f>_xll.BLUEMATRIX2("/servlet/excelData",K78,$E$4,$D79&amp;":"&amp;K$14&amp;K$15&amp;":AN:NULL:FISCAL")</f>
        <v/>
      </c>
      <c r="L79" s="710">
        <f>_xll.BLUEMATRIX2("/servlet/excelData",L78,$E$4,$D79&amp;":"&amp;L$14&amp;L$15&amp;":AN:NULL:FISCAL")</f>
        <v/>
      </c>
      <c r="M79" s="710">
        <f>_xll.BLUEMATRIX2("/servlet/excelData",M78,$E$4,$D79&amp;":"&amp;M$14&amp;M$15&amp;":AN:NULL:FISCAL")</f>
        <v/>
      </c>
      <c r="N79" s="710">
        <f>_xll.BLUEMATRIX2("/servlet/excelData",N78,$E$4,$D79&amp;":"&amp;N$14&amp;N$15&amp;":AN:NULL:FISCAL")</f>
        <v/>
      </c>
    </row>
    <row r="80">
      <c r="A80" s="806" t="n"/>
      <c r="B80" s="782" t="inlineStr">
        <is>
          <t>Dividends paid</t>
        </is>
      </c>
      <c r="C80" s="782" t="inlineStr">
        <is>
          <t>Dividend voted during the previous fiscal year (payable in the current year)</t>
        </is>
      </c>
      <c r="D80" s="783" t="inlineStr">
        <is>
          <t>DIVIDENDS_PAID</t>
        </is>
      </c>
      <c r="E80" s="793" t="n"/>
      <c r="F80" s="793" t="n"/>
      <c r="G80" s="793" t="n"/>
      <c r="H80" s="793" t="n"/>
      <c r="I80" s="793" t="n"/>
      <c r="J80" s="793" t="n"/>
      <c r="K80" s="793" t="n"/>
      <c r="L80" s="793" t="n"/>
      <c r="M80" s="793" t="n"/>
      <c r="N80" s="793" t="n"/>
    </row>
    <row r="81">
      <c r="A81" s="806" t="n"/>
      <c r="B81" s="786" t="inlineStr">
        <is>
          <t>BM Formula &amp; Result</t>
        </is>
      </c>
      <c r="C81" s="787" t="n"/>
      <c r="D81" s="800" t="inlineStr">
        <is>
          <t>DIVIDENDS_PAID</t>
        </is>
      </c>
      <c r="E81" s="710">
        <f>_xll.BLUEMATRIX2("/servlet/excelData",E80,$E$4,$D81&amp;":"&amp;E$14&amp;E$15&amp;":AN:NULL:FISCAL")</f>
        <v/>
      </c>
      <c r="F81" s="710">
        <f>_xll.BLUEMATRIX2("/servlet/excelData",F80,$E$4,$D81&amp;":"&amp;F$14&amp;F$15&amp;":AN:NULL:FISCAL")</f>
        <v/>
      </c>
      <c r="G81" s="710">
        <f>_xll.BLUEMATRIX2("/servlet/excelData",G80,$E$4,$D81&amp;":"&amp;G$14&amp;G$15&amp;":AN:NULL:FISCAL")</f>
        <v/>
      </c>
      <c r="H81" s="710">
        <f>_xll.BLUEMATRIX2("/servlet/excelData",H80,$E$4,$D81&amp;":"&amp;H$14&amp;H$15&amp;":AN:NULL:FISCAL")</f>
        <v/>
      </c>
      <c r="I81" s="710">
        <f>_xll.BLUEMATRIX2("/servlet/excelData",I80,$E$4,$D81&amp;":"&amp;I$14&amp;I$15&amp;":AN:NULL:FISCAL")</f>
        <v/>
      </c>
      <c r="J81" s="710">
        <f>_xll.BLUEMATRIX2("/servlet/excelData",J80,$E$4,$D81&amp;":"&amp;J$14&amp;J$15&amp;":AN:NULL:FISCAL")</f>
        <v/>
      </c>
      <c r="K81" s="710">
        <f>_xll.BLUEMATRIX2("/servlet/excelData",K80,$E$4,$D81&amp;":"&amp;K$14&amp;K$15&amp;":AN:NULL:FISCAL")</f>
        <v/>
      </c>
      <c r="L81" s="710">
        <f>_xll.BLUEMATRIX2("/servlet/excelData",L80,$E$4,$D81&amp;":"&amp;L$14&amp;L$15&amp;":AN:NULL:FISCAL")</f>
        <v/>
      </c>
      <c r="M81" s="710">
        <f>_xll.BLUEMATRIX2("/servlet/excelData",M80,$E$4,$D81&amp;":"&amp;M$14&amp;M$15&amp;":AN:NULL:FISCAL")</f>
        <v/>
      </c>
      <c r="N81" s="710">
        <f>_xll.BLUEMATRIX2("/servlet/excelData",N80,$E$4,$D81&amp;":"&amp;N$14&amp;N$15&amp;":AN:NULL:FISCAL")</f>
        <v/>
      </c>
    </row>
    <row r="82">
      <c r="A82" s="806" t="n"/>
      <c r="B82" s="782" t="inlineStr">
        <is>
          <t xml:space="preserve">Cash flow from investing activities </t>
        </is>
      </c>
      <c r="C82" s="776" t="inlineStr">
        <is>
          <t>Acquisitions of subsidiaries, securities and other investments + Disposals of subsidiaries, securities and other investments</t>
        </is>
      </c>
      <c r="D82" s="783" t="inlineStr">
        <is>
          <t>CF_FROM_INVESTING_ACTIVITIES</t>
        </is>
      </c>
      <c r="E82" s="835">
        <f>(FS_Y!Q107)/1000</f>
        <v/>
      </c>
      <c r="F82" s="835">
        <f>(FS_Y!R107)/1000</f>
        <v/>
      </c>
      <c r="G82" s="835">
        <f>(FS_Y!S107)/1000</f>
        <v/>
      </c>
      <c r="H82" s="835">
        <f>(FS_Y!T107)/1000</f>
        <v/>
      </c>
      <c r="I82" s="835">
        <f>(FS_Y!U107)/1000</f>
        <v/>
      </c>
      <c r="J82" s="835">
        <f>(FS_Y!V107)/1000</f>
        <v/>
      </c>
      <c r="K82" s="835">
        <f>(FS_Y!W107)/1000</f>
        <v/>
      </c>
      <c r="L82" s="793" t="n"/>
      <c r="M82" s="793" t="n"/>
      <c r="N82" s="793" t="n"/>
    </row>
    <row r="83">
      <c r="A83" s="806" t="n"/>
      <c r="B83" s="786" t="inlineStr">
        <is>
          <t>BM Formula &amp; Result</t>
        </is>
      </c>
      <c r="C83" s="787" t="n"/>
      <c r="D83" s="800" t="inlineStr">
        <is>
          <t>CF_FROM_INVESTING_ACTIVITIES</t>
        </is>
      </c>
      <c r="E83" s="710">
        <f>_xll.BLUEMATRIX2("/servlet/excelData",E82,$E$4,$D83&amp;":"&amp;E$14&amp;E$15&amp;":AN:NULL:FISCAL")</f>
        <v/>
      </c>
      <c r="F83" s="710">
        <f>_xll.BLUEMATRIX2("/servlet/excelData",F82,$E$4,$D83&amp;":"&amp;F$14&amp;F$15&amp;":AN:NULL:FISCAL")</f>
        <v/>
      </c>
      <c r="G83" s="710">
        <f>_xll.BLUEMATRIX2("/servlet/excelData",G82,$E$4,$D83&amp;":"&amp;G$14&amp;G$15&amp;":AN:NULL:FISCAL")</f>
        <v/>
      </c>
      <c r="H83" s="710">
        <f>_xll.BLUEMATRIX2("/servlet/excelData",H82,$E$4,$D83&amp;":"&amp;H$14&amp;H$15&amp;":AN:NULL:FISCAL")</f>
        <v/>
      </c>
      <c r="I83" s="710">
        <f>_xll.BLUEMATRIX2("/servlet/excelData",I82,$E$4,$D83&amp;":"&amp;I$14&amp;I$15&amp;":AN:NULL:FISCAL")</f>
        <v/>
      </c>
      <c r="J83" s="710">
        <f>_xll.BLUEMATRIX2("/servlet/excelData",J82,$E$4,$D83&amp;":"&amp;J$14&amp;J$15&amp;":AN:NULL:FISCAL")</f>
        <v/>
      </c>
      <c r="K83" s="710">
        <f>_xll.BLUEMATRIX2("/servlet/excelData",K82,$E$4,$D83&amp;":"&amp;K$14&amp;K$15&amp;":AN:NULL:FISCAL")</f>
        <v/>
      </c>
      <c r="L83" s="710">
        <f>_xll.BLUEMATRIX2("/servlet/excelData",L82,$E$4,$D83&amp;":"&amp;L$14&amp;L$15&amp;":AN:NULL:FISCAL")</f>
        <v/>
      </c>
      <c r="M83" s="710">
        <f>_xll.BLUEMATRIX2("/servlet/excelData",M82,$E$4,$D83&amp;":"&amp;M$14&amp;M$15&amp;":AN:NULL:FISCAL")</f>
        <v/>
      </c>
      <c r="N83" s="710">
        <f>_xll.BLUEMATRIX2("/servlet/excelData",N82,$E$4,$D83&amp;":"&amp;N$14&amp;N$15&amp;":AN:NULL:FISCAL")</f>
        <v/>
      </c>
    </row>
    <row r="84">
      <c r="A84" s="806" t="n"/>
      <c r="B84" s="782" t="inlineStr">
        <is>
          <t>Other movements in cash flow statement</t>
        </is>
      </c>
      <c r="C84" s="776" t="inlineStr">
        <is>
          <t>Other movements in cash flow statement - this item helps reconcile the summary CF statement</t>
        </is>
      </c>
      <c r="D84" s="783" t="inlineStr">
        <is>
          <t>OTHER_MOVEMENTS_IN_CFS</t>
        </is>
      </c>
      <c r="E84" s="793" t="n"/>
      <c r="F84" s="793" t="n"/>
      <c r="G84" s="793" t="n"/>
      <c r="H84" s="793" t="n"/>
      <c r="I84" s="793" t="n"/>
      <c r="J84" s="793" t="n"/>
      <c r="K84" s="793" t="n"/>
      <c r="L84" s="793" t="n"/>
      <c r="M84" s="793" t="n"/>
      <c r="N84" s="793" t="n"/>
    </row>
    <row r="85">
      <c r="A85" s="806" t="n"/>
      <c r="B85" s="786" t="inlineStr">
        <is>
          <t>BM Formula &amp; Result</t>
        </is>
      </c>
      <c r="C85" s="787" t="n"/>
      <c r="D85" s="800" t="inlineStr">
        <is>
          <t>OTHER_MOVEMENTS_IN_CFS</t>
        </is>
      </c>
      <c r="E85" s="710">
        <f>_xll.BLUEMATRIX2("/servlet/excelData",E84,$E$4,$D85&amp;":"&amp;E$14&amp;E$15&amp;":AN:NULL:FISCAL")</f>
        <v/>
      </c>
      <c r="F85" s="710">
        <f>_xll.BLUEMATRIX2("/servlet/excelData",F84,$E$4,$D85&amp;":"&amp;F$14&amp;F$15&amp;":AN:NULL:FISCAL")</f>
        <v/>
      </c>
      <c r="G85" s="710">
        <f>_xll.BLUEMATRIX2("/servlet/excelData",G84,$E$4,$D85&amp;":"&amp;G$14&amp;G$15&amp;":AN:NULL:FISCAL")</f>
        <v/>
      </c>
      <c r="H85" s="710">
        <f>_xll.BLUEMATRIX2("/servlet/excelData",H84,$E$4,$D85&amp;":"&amp;H$14&amp;H$15&amp;":AN:NULL:FISCAL")</f>
        <v/>
      </c>
      <c r="I85" s="710">
        <f>_xll.BLUEMATRIX2("/servlet/excelData",I84,$E$4,$D85&amp;":"&amp;I$14&amp;I$15&amp;":AN:NULL:FISCAL")</f>
        <v/>
      </c>
      <c r="J85" s="710">
        <f>_xll.BLUEMATRIX2("/servlet/excelData",J84,$E$4,$D85&amp;":"&amp;J$14&amp;J$15&amp;":AN:NULL:FISCAL")</f>
        <v/>
      </c>
      <c r="K85" s="710">
        <f>_xll.BLUEMATRIX2("/servlet/excelData",K84,$E$4,$D85&amp;":"&amp;K$14&amp;K$15&amp;":AN:NULL:FISCAL")</f>
        <v/>
      </c>
      <c r="L85" s="710">
        <f>_xll.BLUEMATRIX2("/servlet/excelData",L84,$E$4,$D85&amp;":"&amp;L$14&amp;L$15&amp;":AN:NULL:FISCAL")</f>
        <v/>
      </c>
      <c r="M85" s="710">
        <f>_xll.BLUEMATRIX2("/servlet/excelData",M84,$E$4,$D85&amp;":"&amp;M$14&amp;M$15&amp;":AN:NULL:FISCAL")</f>
        <v/>
      </c>
      <c r="N85" s="710">
        <f>_xll.BLUEMATRIX2("/servlet/excelData",N84,$E$4,$D85&amp;":"&amp;N$14&amp;N$15&amp;":AN:NULL:FISCAL")</f>
        <v/>
      </c>
    </row>
    <row r="86">
      <c r="A86" s="806" t="n"/>
      <c r="B86" s="782" t="inlineStr">
        <is>
          <t>Other operating cash movements</t>
        </is>
      </c>
      <c r="C86" s="776" t="inlineStr">
        <is>
          <t>Other operating cash movements - to reconcile EBITDA, Change in WC, and CFO</t>
        </is>
      </c>
      <c r="D86" s="783" t="inlineStr">
        <is>
          <t>OTHER_OP_CASH_MOVEMENTS</t>
        </is>
      </c>
      <c r="E86" s="793" t="n"/>
      <c r="F86" s="793" t="n"/>
      <c r="G86" s="793" t="n"/>
      <c r="H86" s="793" t="n"/>
      <c r="I86" s="793" t="n"/>
      <c r="J86" s="793" t="n"/>
      <c r="K86" s="793" t="n"/>
      <c r="L86" s="793" t="n"/>
      <c r="M86" s="793" t="n"/>
      <c r="N86" s="793" t="n"/>
    </row>
    <row r="87">
      <c r="A87" s="806" t="n"/>
      <c r="B87" s="786" t="inlineStr">
        <is>
          <t>BM Formula &amp; Result</t>
        </is>
      </c>
      <c r="C87" s="787" t="n"/>
      <c r="D87" s="800" t="inlineStr">
        <is>
          <t>OTHER_OP_CASH_MOVEMENTS</t>
        </is>
      </c>
      <c r="E87" s="710">
        <f>_xll.BLUEMATRIX2("/servlet/excelData",E86,$E$4,$D87&amp;":"&amp;E$14&amp;E$15&amp;":AN:NULL:FISCAL")</f>
        <v/>
      </c>
      <c r="F87" s="710">
        <f>_xll.BLUEMATRIX2("/servlet/excelData",F86,$E$4,$D87&amp;":"&amp;F$14&amp;F$15&amp;":AN:NULL:FISCAL")</f>
        <v/>
      </c>
      <c r="G87" s="710">
        <f>_xll.BLUEMATRIX2("/servlet/excelData",G86,$E$4,$D87&amp;":"&amp;G$14&amp;G$15&amp;":AN:NULL:FISCAL")</f>
        <v/>
      </c>
      <c r="H87" s="710">
        <f>_xll.BLUEMATRIX2("/servlet/excelData",H86,$E$4,$D87&amp;":"&amp;H$14&amp;H$15&amp;":AN:NULL:FISCAL")</f>
        <v/>
      </c>
      <c r="I87" s="710">
        <f>_xll.BLUEMATRIX2("/servlet/excelData",I86,$E$4,$D87&amp;":"&amp;I$14&amp;I$15&amp;":AN:NULL:FISCAL")</f>
        <v/>
      </c>
      <c r="J87" s="710">
        <f>_xll.BLUEMATRIX2("/servlet/excelData",J86,$E$4,$D87&amp;":"&amp;J$14&amp;J$15&amp;":AN:NULL:FISCAL")</f>
        <v/>
      </c>
      <c r="K87" s="710">
        <f>_xll.BLUEMATRIX2("/servlet/excelData",K86,$E$4,$D87&amp;":"&amp;K$14&amp;K$15&amp;":AN:NULL:FISCAL")</f>
        <v/>
      </c>
      <c r="L87" s="710">
        <f>_xll.BLUEMATRIX2("/servlet/excelData",L86,$E$4,$D87&amp;":"&amp;L$14&amp;L$15&amp;":AN:NULL:FISCAL")</f>
        <v/>
      </c>
      <c r="M87" s="710">
        <f>_xll.BLUEMATRIX2("/servlet/excelData",M86,$E$4,$D87&amp;":"&amp;M$14&amp;M$15&amp;":AN:NULL:FISCAL")</f>
        <v/>
      </c>
      <c r="N87" s="710">
        <f>_xll.BLUEMATRIX2("/servlet/excelData",N86,$E$4,$D87&amp;":"&amp;N$14&amp;N$15&amp;":AN:NULL:FISCAL")</f>
        <v/>
      </c>
    </row>
    <row r="88">
      <c r="A88" s="807" t="inlineStr">
        <is>
          <t>ESG</t>
        </is>
      </c>
      <c r="B88" s="795" t="inlineStr">
        <is>
          <t>ESG Premium</t>
        </is>
      </c>
      <c r="C88" s="796" t="inlineStr">
        <is>
          <t>SG models only, initially</t>
        </is>
      </c>
      <c r="D88" s="797" t="inlineStr">
        <is>
          <t>ESG_OVERLAY</t>
        </is>
      </c>
      <c r="E88" s="805" t="n"/>
      <c r="F88" s="805" t="n"/>
      <c r="G88" s="805" t="n"/>
      <c r="H88" s="805" t="n"/>
      <c r="I88" s="805" t="n"/>
      <c r="J88" s="805" t="n"/>
      <c r="K88" s="805" t="n"/>
      <c r="L88" s="805" t="n"/>
      <c r="M88" s="805" t="n"/>
      <c r="N88" s="805" t="n"/>
    </row>
    <row r="89">
      <c r="A89" s="808" t="n"/>
      <c r="B89" s="786" t="inlineStr">
        <is>
          <t>BM Formula &amp; Result</t>
        </is>
      </c>
      <c r="C89" s="787" t="n"/>
      <c r="D89" s="800" t="inlineStr">
        <is>
          <t>ESG_OVERLAY</t>
        </is>
      </c>
      <c r="E89" s="818">
        <f>_xll.BLUEMATRIX2("/servlet/excelData",E88,$E$4,$D89&amp;":"&amp;E$14&amp;E$15&amp;":AN:NULL:FISCAL")</f>
        <v/>
      </c>
      <c r="F89" s="818">
        <f>_xll.BLUEMATRIX2("/servlet/excelData",F88,$E$4,$D89&amp;":"&amp;F$14&amp;F$15&amp;":AN:NULL:FISCAL")</f>
        <v/>
      </c>
      <c r="G89" s="818">
        <f>_xll.BLUEMATRIX2("/servlet/excelData",G88,$E$4,$D89&amp;":"&amp;G$14&amp;G$15&amp;":AN:NULL:FISCAL")</f>
        <v/>
      </c>
      <c r="H89" s="818">
        <f>_xll.BLUEMATRIX2("/servlet/excelData",H88,$E$4,$D89&amp;":"&amp;H$14&amp;H$15&amp;":AN:NULL:FISCAL")</f>
        <v/>
      </c>
      <c r="I89" s="818">
        <f>_xll.BLUEMATRIX2("/servlet/excelData",I88,$E$4,$D89&amp;":"&amp;I$14&amp;I$15&amp;":AN:NULL:FISCAL")</f>
        <v/>
      </c>
      <c r="J89" s="818">
        <f>_xll.BLUEMATRIX2("/servlet/excelData",J88,$E$4,$D89&amp;":"&amp;J$14&amp;J$15&amp;":AN:NULL:FISCAL")</f>
        <v/>
      </c>
      <c r="K89" s="818">
        <f>_xll.BLUEMATRIX2("/servlet/excelData",K88,$E$4,$D89&amp;":"&amp;K$14&amp;K$15&amp;":AN:NULL:FISCAL")</f>
        <v/>
      </c>
      <c r="L89" s="710">
        <f>_xll.BLUEMATRIX2("/servlet/excelData",L88,$E$4,$D89&amp;":"&amp;L$14&amp;L$15&amp;":AN:NULL:FISCAL")</f>
        <v/>
      </c>
      <c r="M89" s="710">
        <f>_xll.BLUEMATRIX2("/servlet/excelData",M88,$E$4,$D89&amp;":"&amp;M$14&amp;M$15&amp;":AN:NULL:FISCAL")</f>
        <v/>
      </c>
      <c r="N89" s="710">
        <f>_xll.BLUEMATRIX2("/servlet/excelData",N88,$E$4,$D89&amp;":"&amp;N$14&amp;N$15&amp;":AN:NULL:FISCAL")</f>
        <v/>
      </c>
    </row>
    <row r="90">
      <c r="A90" s="809" t="inlineStr">
        <is>
          <t>P&amp;L</t>
        </is>
      </c>
      <c r="B90" s="795" t="inlineStr">
        <is>
          <t>Revenues (M)</t>
        </is>
      </c>
      <c r="C90" s="795" t="inlineStr">
        <is>
          <t>Total revenues</t>
        </is>
      </c>
      <c r="D90" s="797" t="inlineStr">
        <is>
          <t>SALES</t>
        </is>
      </c>
      <c r="E90" s="835">
        <f>(FS_Y!Q11)/1000</f>
        <v/>
      </c>
      <c r="F90" s="835">
        <f>(FS_Y!R11)/1000</f>
        <v/>
      </c>
      <c r="G90" s="835">
        <f>(FS_Y!S11)/1000</f>
        <v/>
      </c>
      <c r="H90" s="835">
        <f>(FS_Y!T11)/1000</f>
        <v/>
      </c>
      <c r="I90" s="835">
        <f>(FS_Y!U11)/1000</f>
        <v/>
      </c>
      <c r="J90" s="835">
        <f>(FS_Y!V11)/1000</f>
        <v/>
      </c>
      <c r="K90" s="835">
        <f>(FS_Y!W11)/1000</f>
        <v/>
      </c>
      <c r="L90" s="805" t="n"/>
      <c r="M90" s="805" t="n"/>
      <c r="N90" s="805" t="n"/>
    </row>
    <row r="91">
      <c r="A91" s="810" t="n"/>
      <c r="B91" s="786" t="inlineStr">
        <is>
          <t>BM Formula &amp; Result</t>
        </is>
      </c>
      <c r="C91" s="787" t="n"/>
      <c r="D91" s="800" t="inlineStr">
        <is>
          <t>SALES</t>
        </is>
      </c>
      <c r="E91" s="710">
        <f>_xll.BLUEMATRIX2("/servlet/excelData",E90,$E$4,$D91&amp;":"&amp;E$14&amp;E$15&amp;":AN:NULL:FISCAL")</f>
        <v/>
      </c>
      <c r="F91" s="710">
        <f>_xll.BLUEMATRIX2("/servlet/excelData",F90,$E$4,$D91&amp;":"&amp;F$14&amp;F$15&amp;":AN:NULL:FISCAL")</f>
        <v/>
      </c>
      <c r="G91" s="710">
        <f>_xll.BLUEMATRIX2("/servlet/excelData",G90,$E$4,$D91&amp;":"&amp;G$14&amp;G$15&amp;":AN:NULL:FISCAL")</f>
        <v/>
      </c>
      <c r="H91" s="710">
        <f>_xll.BLUEMATRIX2("/servlet/excelData",H90,$E$4,$D91&amp;":"&amp;H$14&amp;H$15&amp;":AN:NULL:FISCAL")</f>
        <v/>
      </c>
      <c r="I91" s="710">
        <f>_xll.BLUEMATRIX2("/servlet/excelData",I90,$E$4,$D91&amp;":"&amp;I$14&amp;I$15&amp;":AN:NULL:FISCAL")</f>
        <v/>
      </c>
      <c r="J91" s="710">
        <f>_xll.BLUEMATRIX2("/servlet/excelData",J90,$E$4,$D91&amp;":"&amp;J$14&amp;J$15&amp;":AN:NULL:FISCAL")</f>
        <v/>
      </c>
      <c r="K91" s="710">
        <f>_xll.BLUEMATRIX2("/servlet/excelData",K90,$E$4,$D91&amp;":"&amp;K$14&amp;K$15&amp;":AN:NULL:FISCAL")</f>
        <v/>
      </c>
      <c r="L91" s="710">
        <f>_xll.BLUEMATRIX2("/servlet/excelData",L90,$E$4,$D91&amp;":"&amp;L$14&amp;L$15&amp;":AN:NULL:FISCAL")</f>
        <v/>
      </c>
      <c r="M91" s="710">
        <f>_xll.BLUEMATRIX2("/servlet/excelData",M90,$E$4,$D91&amp;":"&amp;M$14&amp;M$15&amp;":AN:NULL:FISCAL")</f>
        <v/>
      </c>
      <c r="N91" s="710">
        <f>_xll.BLUEMATRIX2("/servlet/excelData",N90,$E$4,$D91&amp;":"&amp;N$14&amp;N$15&amp;":AN:NULL:FISCAL")</f>
        <v/>
      </c>
    </row>
    <row r="92">
      <c r="A92" s="810" t="n"/>
      <c r="B92" s="782" t="inlineStr">
        <is>
          <t>Revenues growth (%)</t>
        </is>
      </c>
      <c r="C92" s="782" t="n"/>
      <c r="D92" s="783" t="inlineStr">
        <is>
          <t>RevenuesGrowth</t>
        </is>
      </c>
      <c r="E92" s="836">
        <f>FS_Y!Q11/FS_Y!P11-1</f>
        <v/>
      </c>
      <c r="F92" s="836">
        <f>FS_Y!R11/FS_Y!Q11-1</f>
        <v/>
      </c>
      <c r="G92" s="836">
        <f>FS_Y!S11/FS_Y!R11-1</f>
        <v/>
      </c>
      <c r="H92" s="836">
        <f>FS_Y!T11/FS_Y!S11-1</f>
        <v/>
      </c>
      <c r="I92" s="836">
        <f>FS_Y!U11/FS_Y!T11-1</f>
        <v/>
      </c>
      <c r="J92" s="836">
        <f>FS_Y!V11/FS_Y!U11-1</f>
        <v/>
      </c>
      <c r="K92" s="836">
        <f>FS_Y!W11/FS_Y!V11-1</f>
        <v/>
      </c>
      <c r="L92" s="793" t="n"/>
      <c r="M92" s="793" t="n"/>
      <c r="N92" s="793" t="n"/>
    </row>
    <row r="93">
      <c r="A93" s="810" t="n"/>
      <c r="B93" s="786" t="inlineStr">
        <is>
          <t>BM Formula &amp; Result</t>
        </is>
      </c>
      <c r="C93" s="787" t="n"/>
      <c r="D93" s="800" t="inlineStr">
        <is>
          <t>RevenuesGrowth</t>
        </is>
      </c>
      <c r="E93" s="710">
        <f>_xll.BLUEMATRIX2("/servlet/excelData",E92,$E$4,$D93&amp;":"&amp;E$14&amp;E$15&amp;":AN:NULL:FISCAL")</f>
        <v/>
      </c>
      <c r="F93" s="710">
        <f>_xll.BLUEMATRIX2("/servlet/excelData",F92,$E$4,$D93&amp;":"&amp;F$14&amp;F$15&amp;":AN:NULL:FISCAL")</f>
        <v/>
      </c>
      <c r="G93" s="710">
        <f>_xll.BLUEMATRIX2("/servlet/excelData",G92,$E$4,$D93&amp;":"&amp;G$14&amp;G$15&amp;":AN:NULL:FISCAL")</f>
        <v/>
      </c>
      <c r="H93" s="710">
        <f>_xll.BLUEMATRIX2("/servlet/excelData",H92,$E$4,$D93&amp;":"&amp;H$14&amp;H$15&amp;":AN:NULL:FISCAL")</f>
        <v/>
      </c>
      <c r="I93" s="710">
        <f>_xll.BLUEMATRIX2("/servlet/excelData",I92,$E$4,$D93&amp;":"&amp;I$14&amp;I$15&amp;":AN:NULL:FISCAL")</f>
        <v/>
      </c>
      <c r="J93" s="710">
        <f>_xll.BLUEMATRIX2("/servlet/excelData",J92,$E$4,$D93&amp;":"&amp;J$14&amp;J$15&amp;":AN:NULL:FISCAL")</f>
        <v/>
      </c>
      <c r="K93" s="710">
        <f>_xll.BLUEMATRIX2("/servlet/excelData",K92,$E$4,$D93&amp;":"&amp;K$14&amp;K$15&amp;":AN:NULL:FISCAL")</f>
        <v/>
      </c>
      <c r="L93" s="710">
        <f>_xll.BLUEMATRIX2("/servlet/excelData",L92,$E$4,$D93&amp;":"&amp;L$14&amp;L$15&amp;":AN:NULL:FISCAL")</f>
        <v/>
      </c>
      <c r="M93" s="710">
        <f>_xll.BLUEMATRIX2("/servlet/excelData",M92,$E$4,$D93&amp;":"&amp;M$14&amp;M$15&amp;":AN:NULL:FISCAL")</f>
        <v/>
      </c>
      <c r="N93" s="710">
        <f>_xll.BLUEMATRIX2("/servlet/excelData",N92,$E$4,$D93&amp;":"&amp;N$14&amp;N$15&amp;":AN:NULL:FISCAL")</f>
        <v/>
      </c>
    </row>
    <row r="94">
      <c r="A94" s="810" t="n"/>
      <c r="B94" s="782" t="inlineStr">
        <is>
          <t>Cost of Goods Sold (M)</t>
        </is>
      </c>
      <c r="C94" s="782" t="inlineStr">
        <is>
          <t>Includes R&amp;D cost linked to the manufacturing process</t>
        </is>
      </c>
      <c r="D94" s="783" t="inlineStr">
        <is>
          <t>COGS</t>
        </is>
      </c>
      <c r="E94" s="835">
        <f>(FS_Y!Q12)/1000</f>
        <v/>
      </c>
      <c r="F94" s="835">
        <f>(FS_Y!R12)/1000</f>
        <v/>
      </c>
      <c r="G94" s="835">
        <f>(FS_Y!S12)/1000</f>
        <v/>
      </c>
      <c r="H94" s="835">
        <f>(FS_Y!T12)/1000</f>
        <v/>
      </c>
      <c r="I94" s="835">
        <f>(FS_Y!U12)/1000</f>
        <v/>
      </c>
      <c r="J94" s="835">
        <f>(FS_Y!V12)/1000</f>
        <v/>
      </c>
      <c r="K94" s="835">
        <f>(FS_Y!W12)/1000</f>
        <v/>
      </c>
      <c r="L94" s="793" t="n"/>
      <c r="M94" s="793" t="n"/>
      <c r="N94" s="793" t="n"/>
    </row>
    <row r="95">
      <c r="A95" s="810" t="n"/>
      <c r="B95" s="786" t="inlineStr">
        <is>
          <t>BM Formula &amp; Result</t>
        </is>
      </c>
      <c r="C95" s="787" t="n"/>
      <c r="D95" s="800" t="inlineStr">
        <is>
          <t>COGS</t>
        </is>
      </c>
      <c r="E95" s="710">
        <f>_xll.BLUEMATRIX2("/servlet/excelData",E94,$E$4,$D95&amp;":"&amp;E$14&amp;E$15&amp;":AN:NULL:FISCAL")</f>
        <v/>
      </c>
      <c r="F95" s="710">
        <f>_xll.BLUEMATRIX2("/servlet/excelData",F94,$E$4,$D95&amp;":"&amp;F$14&amp;F$15&amp;":AN:NULL:FISCAL")</f>
        <v/>
      </c>
      <c r="G95" s="710">
        <f>_xll.BLUEMATRIX2("/servlet/excelData",G94,$E$4,$D95&amp;":"&amp;G$14&amp;G$15&amp;":AN:NULL:FISCAL")</f>
        <v/>
      </c>
      <c r="H95" s="710">
        <f>_xll.BLUEMATRIX2("/servlet/excelData",H94,$E$4,$D95&amp;":"&amp;H$14&amp;H$15&amp;":AN:NULL:FISCAL")</f>
        <v/>
      </c>
      <c r="I95" s="710">
        <f>_xll.BLUEMATRIX2("/servlet/excelData",I94,$E$4,$D95&amp;":"&amp;I$14&amp;I$15&amp;":AN:NULL:FISCAL")</f>
        <v/>
      </c>
      <c r="J95" s="710">
        <f>_xll.BLUEMATRIX2("/servlet/excelData",J94,$E$4,$D95&amp;":"&amp;J$14&amp;J$15&amp;":AN:NULL:FISCAL")</f>
        <v/>
      </c>
      <c r="K95" s="710">
        <f>_xll.BLUEMATRIX2("/servlet/excelData",K94,$E$4,$D95&amp;":"&amp;K$14&amp;K$15&amp;":AN:NULL:FISCAL")</f>
        <v/>
      </c>
      <c r="L95" s="710">
        <f>_xll.BLUEMATRIX2("/servlet/excelData",L94,$E$4,$D95&amp;":"&amp;L$14&amp;L$15&amp;":AN:NULL:FISCAL")</f>
        <v/>
      </c>
      <c r="M95" s="710">
        <f>_xll.BLUEMATRIX2("/servlet/excelData",M94,$E$4,$D95&amp;":"&amp;M$14&amp;M$15&amp;":AN:NULL:FISCAL")</f>
        <v/>
      </c>
      <c r="N95" s="710">
        <f>_xll.BLUEMATRIX2("/servlet/excelData",N94,$E$4,$D95&amp;":"&amp;N$14&amp;N$15&amp;":AN:NULL:FISCAL")</f>
        <v/>
      </c>
    </row>
    <row r="96">
      <c r="A96" s="810" t="n"/>
      <c r="B96" s="782" t="inlineStr">
        <is>
          <t>EBITDA (M)</t>
        </is>
      </c>
      <c r="C96" s="776" t="inlineStr">
        <is>
          <t>Gross operating income + Research &amp; development + Share based payment + Actuarial gain (or losses) &amp; service cost (retirement plans) + Other operating expenses (ex. depreciation and amortisation) + Other operating income / (expense) ;  excluding income from associates</t>
        </is>
      </c>
      <c r="D96" s="783" t="inlineStr">
        <is>
          <t>EBITDA</t>
        </is>
      </c>
      <c r="E96" s="835">
        <f>(FS_Y!Q137)/1000</f>
        <v/>
      </c>
      <c r="F96" s="835">
        <f>(FS_Y!R137)/1000</f>
        <v/>
      </c>
      <c r="G96" s="835">
        <f>(FS_Y!S137)/1000</f>
        <v/>
      </c>
      <c r="H96" s="835">
        <f>(FS_Y!T137)/1000</f>
        <v/>
      </c>
      <c r="I96" s="835">
        <f>(FS_Y!U137)/1000</f>
        <v/>
      </c>
      <c r="J96" s="835">
        <f>(FS_Y!V137)/1000</f>
        <v/>
      </c>
      <c r="K96" s="835">
        <f>(FS_Y!W137)/1000</f>
        <v/>
      </c>
      <c r="L96" s="793" t="n"/>
      <c r="M96" s="793" t="n"/>
      <c r="N96" s="793" t="n"/>
    </row>
    <row r="97">
      <c r="A97" s="810" t="n"/>
      <c r="B97" s="786" t="inlineStr">
        <is>
          <t>BM Formula &amp; Result</t>
        </is>
      </c>
      <c r="C97" s="787" t="n"/>
      <c r="D97" s="800" t="inlineStr">
        <is>
          <t>EBITDA</t>
        </is>
      </c>
      <c r="E97" s="710">
        <f>_xll.BLUEMATRIX2("/servlet/excelData",E96,$E$4,$D97&amp;":"&amp;E$14&amp;E$15&amp;":AN:NULL:FISCAL")</f>
        <v/>
      </c>
      <c r="F97" s="710">
        <f>_xll.BLUEMATRIX2("/servlet/excelData",F96,$E$4,$D97&amp;":"&amp;F$14&amp;F$15&amp;":AN:NULL:FISCAL")</f>
        <v/>
      </c>
      <c r="G97" s="710">
        <f>_xll.BLUEMATRIX2("/servlet/excelData",G96,$E$4,$D97&amp;":"&amp;G$14&amp;G$15&amp;":AN:NULL:FISCAL")</f>
        <v/>
      </c>
      <c r="H97" s="710">
        <f>_xll.BLUEMATRIX2("/servlet/excelData",H96,$E$4,$D97&amp;":"&amp;H$14&amp;H$15&amp;":AN:NULL:FISCAL")</f>
        <v/>
      </c>
      <c r="I97" s="710">
        <f>_xll.BLUEMATRIX2("/servlet/excelData",I96,$E$4,$D97&amp;":"&amp;I$14&amp;I$15&amp;":AN:NULL:FISCAL")</f>
        <v/>
      </c>
      <c r="J97" s="710">
        <f>_xll.BLUEMATRIX2("/servlet/excelData",J96,$E$4,$D97&amp;":"&amp;J$14&amp;J$15&amp;":AN:NULL:FISCAL")</f>
        <v/>
      </c>
      <c r="K97" s="710">
        <f>_xll.BLUEMATRIX2("/servlet/excelData",K96,$E$4,$D97&amp;":"&amp;K$14&amp;K$15&amp;":AN:NULL:FISCAL")</f>
        <v/>
      </c>
      <c r="L97" s="710">
        <f>_xll.BLUEMATRIX2("/servlet/excelData",L96,$E$4,$D97&amp;":"&amp;L$14&amp;L$15&amp;":AN:NULL:FISCAL")</f>
        <v/>
      </c>
      <c r="M97" s="710">
        <f>_xll.BLUEMATRIX2("/servlet/excelData",M96,$E$4,$D97&amp;":"&amp;M$14&amp;M$15&amp;":AN:NULL:FISCAL")</f>
        <v/>
      </c>
      <c r="N97" s="710">
        <f>_xll.BLUEMATRIX2("/servlet/excelData",N96,$E$4,$D97&amp;":"&amp;N$14&amp;N$15&amp;":AN:NULL:FISCAL")</f>
        <v/>
      </c>
    </row>
    <row r="98">
      <c r="A98" s="810" t="n"/>
      <c r="B98" s="782" t="inlineStr">
        <is>
          <t>EBITDA (exc. associates) yoy growth (%)</t>
        </is>
      </c>
      <c r="C98" s="782" t="n"/>
      <c r="D98" s="783" t="inlineStr">
        <is>
          <t>EBITDA_XA_GROWTH</t>
        </is>
      </c>
      <c r="E98" s="836">
        <f>FS_Y!Q137/FS_Y!P137-1</f>
        <v/>
      </c>
      <c r="F98" s="836">
        <f>FS_Y!R137/FS_Y!Q137-1</f>
        <v/>
      </c>
      <c r="G98" s="836">
        <f>FS_Y!S137/FS_Y!R137-1</f>
        <v/>
      </c>
      <c r="H98" s="836">
        <f>FS_Y!T137/FS_Y!S137-1</f>
        <v/>
      </c>
      <c r="I98" s="836">
        <f>FS_Y!U137/FS_Y!T137-1</f>
        <v/>
      </c>
      <c r="J98" s="836">
        <f>FS_Y!V137/FS_Y!U137-1</f>
        <v/>
      </c>
      <c r="K98" s="836">
        <f>FS_Y!W137/FS_Y!V137-1</f>
        <v/>
      </c>
      <c r="L98" s="793" t="n"/>
      <c r="M98" s="793" t="n"/>
      <c r="N98" s="793" t="n"/>
    </row>
    <row r="99">
      <c r="A99" s="810" t="n"/>
      <c r="B99" s="786" t="inlineStr">
        <is>
          <t>BM Formula &amp; Result</t>
        </is>
      </c>
      <c r="C99" s="787" t="n"/>
      <c r="D99" s="800" t="inlineStr">
        <is>
          <t>EBITDA_XA_GROWTH</t>
        </is>
      </c>
      <c r="E99" s="710">
        <f>_xll.BLUEMATRIX2("/servlet/excelData",E98,$E$4,$D99&amp;":"&amp;E$14&amp;E$15&amp;":AN:NULL:FISCAL")</f>
        <v/>
      </c>
      <c r="F99" s="710">
        <f>_xll.BLUEMATRIX2("/servlet/excelData",F98,$E$4,$D99&amp;":"&amp;F$14&amp;F$15&amp;":AN:NULL:FISCAL")</f>
        <v/>
      </c>
      <c r="G99" s="710">
        <f>_xll.BLUEMATRIX2("/servlet/excelData",G98,$E$4,$D99&amp;":"&amp;G$14&amp;G$15&amp;":AN:NULL:FISCAL")</f>
        <v/>
      </c>
      <c r="H99" s="710">
        <f>_xll.BLUEMATRIX2("/servlet/excelData",H98,$E$4,$D99&amp;":"&amp;H$14&amp;H$15&amp;":AN:NULL:FISCAL")</f>
        <v/>
      </c>
      <c r="I99" s="710">
        <f>_xll.BLUEMATRIX2("/servlet/excelData",I98,$E$4,$D99&amp;":"&amp;I$14&amp;I$15&amp;":AN:NULL:FISCAL")</f>
        <v/>
      </c>
      <c r="J99" s="710">
        <f>_xll.BLUEMATRIX2("/servlet/excelData",J98,$E$4,$D99&amp;":"&amp;J$14&amp;J$15&amp;":AN:NULL:FISCAL")</f>
        <v/>
      </c>
      <c r="K99" s="710">
        <f>_xll.BLUEMATRIX2("/servlet/excelData",K98,$E$4,$D99&amp;":"&amp;K$14&amp;K$15&amp;":AN:NULL:FISCAL")</f>
        <v/>
      </c>
      <c r="L99" s="710">
        <f>_xll.BLUEMATRIX2("/servlet/excelData",L98,$E$4,$D99&amp;":"&amp;L$14&amp;L$15&amp;":AN:NULL:FISCAL")</f>
        <v/>
      </c>
      <c r="M99" s="710">
        <f>_xll.BLUEMATRIX2("/servlet/excelData",M98,$E$4,$D99&amp;":"&amp;M$14&amp;M$15&amp;":AN:NULL:FISCAL")</f>
        <v/>
      </c>
      <c r="N99" s="710">
        <f>_xll.BLUEMATRIX2("/servlet/excelData",N98,$E$4,$D99&amp;":"&amp;N$14&amp;N$15&amp;":AN:NULL:FISCAL")</f>
        <v/>
      </c>
    </row>
    <row r="100">
      <c r="A100" s="810" t="n"/>
      <c r="B100" s="782" t="inlineStr">
        <is>
          <t>Income from associates / other income</t>
        </is>
      </c>
      <c r="C100" s="776" t="inlineStr">
        <is>
          <t>Income from associates and other non operational income / expenses</t>
        </is>
      </c>
      <c r="D100" s="783" t="inlineStr">
        <is>
          <t>IncomeAssociates</t>
        </is>
      </c>
      <c r="E100" s="793" t="n"/>
      <c r="F100" s="793" t="n"/>
      <c r="G100" s="793" t="n"/>
      <c r="H100" s="793" t="n"/>
      <c r="I100" s="793" t="n"/>
      <c r="J100" s="793" t="n"/>
      <c r="K100" s="793" t="n"/>
      <c r="L100" s="793" t="n"/>
      <c r="M100" s="793" t="n"/>
      <c r="N100" s="793" t="n"/>
    </row>
    <row r="101">
      <c r="A101" s="810" t="n"/>
      <c r="B101" s="786" t="inlineStr">
        <is>
          <t>BM Formula &amp; Result</t>
        </is>
      </c>
      <c r="C101" s="787" t="n"/>
      <c r="D101" s="800" t="inlineStr">
        <is>
          <t>IncomeAssociates</t>
        </is>
      </c>
      <c r="E101" s="710">
        <f>_xll.BLUEMATRIX2("/servlet/excelData",E100,$E$4,$D101&amp;":"&amp;E$14&amp;E$15&amp;":AN:NULL:FISCAL")</f>
        <v/>
      </c>
      <c r="F101" s="710">
        <f>_xll.BLUEMATRIX2("/servlet/excelData",F100,$E$4,$D101&amp;":"&amp;F$14&amp;F$15&amp;":AN:NULL:FISCAL")</f>
        <v/>
      </c>
      <c r="G101" s="710">
        <f>_xll.BLUEMATRIX2("/servlet/excelData",G100,$E$4,$D101&amp;":"&amp;G$14&amp;G$15&amp;":AN:NULL:FISCAL")</f>
        <v/>
      </c>
      <c r="H101" s="710">
        <f>_xll.BLUEMATRIX2("/servlet/excelData",H100,$E$4,$D101&amp;":"&amp;H$14&amp;H$15&amp;":AN:NULL:FISCAL")</f>
        <v/>
      </c>
      <c r="I101" s="710">
        <f>_xll.BLUEMATRIX2("/servlet/excelData",I100,$E$4,$D101&amp;":"&amp;I$14&amp;I$15&amp;":AN:NULL:FISCAL")</f>
        <v/>
      </c>
      <c r="J101" s="710">
        <f>_xll.BLUEMATRIX2("/servlet/excelData",J100,$E$4,$D101&amp;":"&amp;J$14&amp;J$15&amp;":AN:NULL:FISCAL")</f>
        <v/>
      </c>
      <c r="K101" s="710">
        <f>_xll.BLUEMATRIX2("/servlet/excelData",K100,$E$4,$D101&amp;":"&amp;K$14&amp;K$15&amp;":AN:NULL:FISCAL")</f>
        <v/>
      </c>
      <c r="L101" s="710">
        <f>_xll.BLUEMATRIX2("/servlet/excelData",L100,$E$4,$D101&amp;":"&amp;L$14&amp;L$15&amp;":AN:NULL:FISCAL")</f>
        <v/>
      </c>
      <c r="M101" s="710">
        <f>_xll.BLUEMATRIX2("/servlet/excelData",M100,$E$4,$D101&amp;":"&amp;M$14&amp;M$15&amp;":AN:NULL:FISCAL")</f>
        <v/>
      </c>
      <c r="N101" s="710">
        <f>_xll.BLUEMATRIX2("/servlet/excelData",N100,$E$4,$D101&amp;":"&amp;N$14&amp;N$15&amp;":AN:NULL:FISCAL")</f>
        <v/>
      </c>
    </row>
    <row r="102">
      <c r="A102" s="810" t="n"/>
      <c r="B102" s="782" t="inlineStr">
        <is>
          <t>EBITDA (incl income from associates)</t>
        </is>
      </c>
      <c r="C102" s="782" t="n"/>
      <c r="D102" s="783" t="inlineStr">
        <is>
          <t>EBITDA_ADJ</t>
        </is>
      </c>
      <c r="E102" s="835">
        <f>(FS_Y!Q137)/1000</f>
        <v/>
      </c>
      <c r="F102" s="835">
        <f>(FS_Y!R137)/1000</f>
        <v/>
      </c>
      <c r="G102" s="835">
        <f>(FS_Y!S137)/1000</f>
        <v/>
      </c>
      <c r="H102" s="835">
        <f>(FS_Y!T137)/1000</f>
        <v/>
      </c>
      <c r="I102" s="835">
        <f>(FS_Y!U137)/1000</f>
        <v/>
      </c>
      <c r="J102" s="835">
        <f>(FS_Y!V137)/1000</f>
        <v/>
      </c>
      <c r="K102" s="835">
        <f>(FS_Y!W137)/1000</f>
        <v/>
      </c>
      <c r="L102" s="793" t="n"/>
      <c r="M102" s="793" t="n"/>
      <c r="N102" s="793" t="n"/>
    </row>
    <row r="103">
      <c r="A103" s="810" t="n"/>
      <c r="B103" s="786" t="inlineStr">
        <is>
          <t>BM Formula &amp; Result</t>
        </is>
      </c>
      <c r="C103" s="787" t="n"/>
      <c r="D103" s="800" t="inlineStr">
        <is>
          <t>EBITDA_ADJ</t>
        </is>
      </c>
      <c r="E103" s="710">
        <f>_xll.BLUEMATRIX2("/servlet/excelData",E102,$E$4,$D103&amp;":"&amp;E$14&amp;E$15&amp;":AN:NULL:FISCAL")</f>
        <v/>
      </c>
      <c r="F103" s="710">
        <f>_xll.BLUEMATRIX2("/servlet/excelData",F102,$E$4,$D103&amp;":"&amp;F$14&amp;F$15&amp;":AN:NULL:FISCAL")</f>
        <v/>
      </c>
      <c r="G103" s="710">
        <f>_xll.BLUEMATRIX2("/servlet/excelData",G102,$E$4,$D103&amp;":"&amp;G$14&amp;G$15&amp;":AN:NULL:FISCAL")</f>
        <v/>
      </c>
      <c r="H103" s="710">
        <f>_xll.BLUEMATRIX2("/servlet/excelData",H102,$E$4,$D103&amp;":"&amp;H$14&amp;H$15&amp;":AN:NULL:FISCAL")</f>
        <v/>
      </c>
      <c r="I103" s="710">
        <f>_xll.BLUEMATRIX2("/servlet/excelData",I102,$E$4,$D103&amp;":"&amp;I$14&amp;I$15&amp;":AN:NULL:FISCAL")</f>
        <v/>
      </c>
      <c r="J103" s="710">
        <f>_xll.BLUEMATRIX2("/servlet/excelData",J102,$E$4,$D103&amp;":"&amp;J$14&amp;J$15&amp;":AN:NULL:FISCAL")</f>
        <v/>
      </c>
      <c r="K103" s="710">
        <f>_xll.BLUEMATRIX2("/servlet/excelData",K102,$E$4,$D103&amp;":"&amp;K$14&amp;K$15&amp;":AN:NULL:FISCAL")</f>
        <v/>
      </c>
      <c r="L103" s="710">
        <f>_xll.BLUEMATRIX2("/servlet/excelData",L102,$E$4,$D103&amp;":"&amp;L$14&amp;L$15&amp;":AN:NULL:FISCAL")</f>
        <v/>
      </c>
      <c r="M103" s="710">
        <f>_xll.BLUEMATRIX2("/servlet/excelData",M102,$E$4,$D103&amp;":"&amp;M$14&amp;M$15&amp;":AN:NULL:FISCAL")</f>
        <v/>
      </c>
      <c r="N103" s="710">
        <f>_xll.BLUEMATRIX2("/servlet/excelData",N102,$E$4,$D103&amp;":"&amp;N$14&amp;N$15&amp;":AN:NULL:FISCAL")</f>
        <v/>
      </c>
    </row>
    <row r="104">
      <c r="A104" s="810" t="n"/>
      <c r="B104" s="782" t="inlineStr">
        <is>
          <t>Depreciation and amortisation</t>
        </is>
      </c>
      <c r="C104" s="782" t="inlineStr">
        <is>
          <t>Includes tangible and operational intangible asset amortisation and depreciation (excludes impairement)</t>
        </is>
      </c>
      <c r="D104" s="783" t="inlineStr">
        <is>
          <t>OP_EXP_DEP_AM_EX_GW_AM</t>
        </is>
      </c>
      <c r="E104" s="835">
        <f>(FS_Y!Q93)/1000</f>
        <v/>
      </c>
      <c r="F104" s="835">
        <f>(FS_Y!R93)/1000</f>
        <v/>
      </c>
      <c r="G104" s="835">
        <f>(FS_Y!S93)/1000</f>
        <v/>
      </c>
      <c r="H104" s="835">
        <f>(FS_Y!T93)/1000</f>
        <v/>
      </c>
      <c r="I104" s="835">
        <f>(FS_Y!U93)/1000</f>
        <v/>
      </c>
      <c r="J104" s="835">
        <f>(FS_Y!V93)/1000</f>
        <v/>
      </c>
      <c r="K104" s="835">
        <f>(FS_Y!W93)/1000</f>
        <v/>
      </c>
      <c r="L104" s="793" t="n"/>
      <c r="M104" s="793" t="n"/>
      <c r="N104" s="793" t="n"/>
    </row>
    <row r="105">
      <c r="A105" s="810" t="n"/>
      <c r="B105" s="786" t="inlineStr">
        <is>
          <t>BM Formula &amp; Result</t>
        </is>
      </c>
      <c r="C105" s="787" t="n"/>
      <c r="D105" s="800" t="inlineStr">
        <is>
          <t>OP_EXP_DEP_AM_EX_GW_AM</t>
        </is>
      </c>
      <c r="E105" s="710">
        <f>_xll.BLUEMATRIX2("/servlet/excelData",E104,$E$4,$D105&amp;":"&amp;E$14&amp;E$15&amp;":AN:NULL:FISCAL")</f>
        <v/>
      </c>
      <c r="F105" s="710">
        <f>_xll.BLUEMATRIX2("/servlet/excelData",F104,$E$4,$D105&amp;":"&amp;F$14&amp;F$15&amp;":AN:NULL:FISCAL")</f>
        <v/>
      </c>
      <c r="G105" s="710">
        <f>_xll.BLUEMATRIX2("/servlet/excelData",G104,$E$4,$D105&amp;":"&amp;G$14&amp;G$15&amp;":AN:NULL:FISCAL")</f>
        <v/>
      </c>
      <c r="H105" s="710">
        <f>_xll.BLUEMATRIX2("/servlet/excelData",H104,$E$4,$D105&amp;":"&amp;H$14&amp;H$15&amp;":AN:NULL:FISCAL")</f>
        <v/>
      </c>
      <c r="I105" s="710">
        <f>_xll.BLUEMATRIX2("/servlet/excelData",I104,$E$4,$D105&amp;":"&amp;I$14&amp;I$15&amp;":AN:NULL:FISCAL")</f>
        <v/>
      </c>
      <c r="J105" s="710">
        <f>_xll.BLUEMATRIX2("/servlet/excelData",J104,$E$4,$D105&amp;":"&amp;J$14&amp;J$15&amp;":AN:NULL:FISCAL")</f>
        <v/>
      </c>
      <c r="K105" s="710">
        <f>_xll.BLUEMATRIX2("/servlet/excelData",K104,$E$4,$D105&amp;":"&amp;K$14&amp;K$15&amp;":AN:NULL:FISCAL")</f>
        <v/>
      </c>
      <c r="L105" s="710">
        <f>_xll.BLUEMATRIX2("/servlet/excelData",L104,$E$4,$D105&amp;":"&amp;L$14&amp;L$15&amp;":AN:NULL:FISCAL")</f>
        <v/>
      </c>
      <c r="M105" s="710">
        <f>_xll.BLUEMATRIX2("/servlet/excelData",M104,$E$4,$D105&amp;":"&amp;M$14&amp;M$15&amp;":AN:NULL:FISCAL")</f>
        <v/>
      </c>
      <c r="N105" s="710">
        <f>_xll.BLUEMATRIX2("/servlet/excelData",N104,$E$4,$D105&amp;":"&amp;N$14&amp;N$15&amp;":AN:NULL:FISCAL")</f>
        <v/>
      </c>
    </row>
    <row r="106">
      <c r="A106" s="810" t="n"/>
      <c r="B106" s="782" t="inlineStr">
        <is>
          <t>EBIT (M)</t>
        </is>
      </c>
      <c r="C106" s="782" t="inlineStr">
        <is>
          <t>Operating income post goodwill amortisation and associate income</t>
        </is>
      </c>
      <c r="D106" s="783" t="inlineStr">
        <is>
          <t>EBIT</t>
        </is>
      </c>
      <c r="E106" s="835">
        <f>(FS_Y!Q19)/1000</f>
        <v/>
      </c>
      <c r="F106" s="835">
        <f>(FS_Y!R19)/1000</f>
        <v/>
      </c>
      <c r="G106" s="835">
        <f>(FS_Y!S19)/1000</f>
        <v/>
      </c>
      <c r="H106" s="835">
        <f>(FS_Y!T19)/1000</f>
        <v/>
      </c>
      <c r="I106" s="835">
        <f>(FS_Y!U19)/1000</f>
        <v/>
      </c>
      <c r="J106" s="835">
        <f>(FS_Y!V19)/1000</f>
        <v/>
      </c>
      <c r="K106" s="835">
        <f>(FS_Y!W19)/1000</f>
        <v/>
      </c>
      <c r="L106" s="793" t="n"/>
      <c r="M106" s="793" t="n"/>
      <c r="N106" s="793" t="n"/>
    </row>
    <row r="107">
      <c r="A107" s="810" t="n"/>
      <c r="B107" s="786" t="inlineStr">
        <is>
          <t>BM Formula &amp; Result</t>
        </is>
      </c>
      <c r="C107" s="787" t="n"/>
      <c r="D107" s="800" t="inlineStr">
        <is>
          <t>EBIT</t>
        </is>
      </c>
      <c r="E107" s="710">
        <f>_xll.BLUEMATRIX2("/servlet/excelData",E106,$E$4,$D107&amp;":"&amp;E$14&amp;E$15&amp;":AN:NULL:FISCAL")</f>
        <v/>
      </c>
      <c r="F107" s="710">
        <f>_xll.BLUEMATRIX2("/servlet/excelData",F106,$E$4,$D107&amp;":"&amp;F$14&amp;F$15&amp;":AN:NULL:FISCAL")</f>
        <v/>
      </c>
      <c r="G107" s="710">
        <f>_xll.BLUEMATRIX2("/servlet/excelData",G106,$E$4,$D107&amp;":"&amp;G$14&amp;G$15&amp;":AN:NULL:FISCAL")</f>
        <v/>
      </c>
      <c r="H107" s="710">
        <f>_xll.BLUEMATRIX2("/servlet/excelData",H106,$E$4,$D107&amp;":"&amp;H$14&amp;H$15&amp;":AN:NULL:FISCAL")</f>
        <v/>
      </c>
      <c r="I107" s="710">
        <f>_xll.BLUEMATRIX2("/servlet/excelData",I106,$E$4,$D107&amp;":"&amp;I$14&amp;I$15&amp;":AN:NULL:FISCAL")</f>
        <v/>
      </c>
      <c r="J107" s="710">
        <f>_xll.BLUEMATRIX2("/servlet/excelData",J106,$E$4,$D107&amp;":"&amp;J$14&amp;J$15&amp;":AN:NULL:FISCAL")</f>
        <v/>
      </c>
      <c r="K107" s="710">
        <f>_xll.BLUEMATRIX2("/servlet/excelData",K106,$E$4,$D107&amp;":"&amp;K$14&amp;K$15&amp;":AN:NULL:FISCAL")</f>
        <v/>
      </c>
      <c r="L107" s="710">
        <f>_xll.BLUEMATRIX2("/servlet/excelData",L106,$E$4,$D107&amp;":"&amp;L$14&amp;L$15&amp;":AN:NULL:FISCAL")</f>
        <v/>
      </c>
      <c r="M107" s="710">
        <f>_xll.BLUEMATRIX2("/servlet/excelData",M106,$E$4,$D107&amp;":"&amp;M$14&amp;M$15&amp;":AN:NULL:FISCAL")</f>
        <v/>
      </c>
      <c r="N107" s="710">
        <f>_xll.BLUEMATRIX2("/servlet/excelData",N106,$E$4,$D107&amp;":"&amp;N$14&amp;N$15&amp;":AN:NULL:FISCAL")</f>
        <v/>
      </c>
    </row>
    <row r="108">
      <c r="A108" s="810" t="n"/>
      <c r="B108" s="782" t="inlineStr">
        <is>
          <t>EBIT yoy growth (%)</t>
        </is>
      </c>
      <c r="C108" s="782" t="n"/>
      <c r="D108" s="783" t="inlineStr">
        <is>
          <t>OP_INC_GROWTH</t>
        </is>
      </c>
      <c r="E108" s="836">
        <f>FS_Y!Q19/FS_Y!P19-1</f>
        <v/>
      </c>
      <c r="F108" s="836">
        <f>FS_Y!R19/FS_Y!Q19-1</f>
        <v/>
      </c>
      <c r="G108" s="836">
        <f>FS_Y!S19/FS_Y!R19-1</f>
        <v/>
      </c>
      <c r="H108" s="836">
        <f>FS_Y!T19/FS_Y!S19-1</f>
        <v/>
      </c>
      <c r="I108" s="836">
        <f>FS_Y!U19/FS_Y!T19-1</f>
        <v/>
      </c>
      <c r="J108" s="836">
        <f>FS_Y!V19/FS_Y!U19-1</f>
        <v/>
      </c>
      <c r="K108" s="836">
        <f>FS_Y!W19/FS_Y!V19-1</f>
        <v/>
      </c>
      <c r="L108" s="793" t="n"/>
      <c r="M108" s="793" t="n"/>
      <c r="N108" s="793" t="n"/>
    </row>
    <row r="109">
      <c r="A109" s="810" t="n"/>
      <c r="B109" s="786" t="inlineStr">
        <is>
          <t>BM Formula &amp; Result</t>
        </is>
      </c>
      <c r="C109" s="787" t="n"/>
      <c r="D109" s="800" t="inlineStr">
        <is>
          <t>OP_INC_GROWTH</t>
        </is>
      </c>
      <c r="E109" s="710">
        <f>_xll.BLUEMATRIX2("/servlet/excelData",E108,$E$4,$D109&amp;":"&amp;E$14&amp;E$15&amp;":AN:NULL:FISCAL")</f>
        <v/>
      </c>
      <c r="F109" s="710">
        <f>_xll.BLUEMATRIX2("/servlet/excelData",F108,$E$4,$D109&amp;":"&amp;F$14&amp;F$15&amp;":AN:NULL:FISCAL")</f>
        <v/>
      </c>
      <c r="G109" s="710">
        <f>_xll.BLUEMATRIX2("/servlet/excelData",G108,$E$4,$D109&amp;":"&amp;G$14&amp;G$15&amp;":AN:NULL:FISCAL")</f>
        <v/>
      </c>
      <c r="H109" s="710">
        <f>_xll.BLUEMATRIX2("/servlet/excelData",H108,$E$4,$D109&amp;":"&amp;H$14&amp;H$15&amp;":AN:NULL:FISCAL")</f>
        <v/>
      </c>
      <c r="I109" s="710">
        <f>_xll.BLUEMATRIX2("/servlet/excelData",I108,$E$4,$D109&amp;":"&amp;I$14&amp;I$15&amp;":AN:NULL:FISCAL")</f>
        <v/>
      </c>
      <c r="J109" s="710">
        <f>_xll.BLUEMATRIX2("/servlet/excelData",J108,$E$4,$D109&amp;":"&amp;J$14&amp;J$15&amp;":AN:NULL:FISCAL")</f>
        <v/>
      </c>
      <c r="K109" s="710">
        <f>_xll.BLUEMATRIX2("/servlet/excelData",K108,$E$4,$D109&amp;":"&amp;K$14&amp;K$15&amp;":AN:NULL:FISCAL")</f>
        <v/>
      </c>
      <c r="L109" s="710">
        <f>_xll.BLUEMATRIX2("/servlet/excelData",L108,$E$4,$D109&amp;":"&amp;L$14&amp;L$15&amp;":AN:NULL:FISCAL")</f>
        <v/>
      </c>
      <c r="M109" s="710">
        <f>_xll.BLUEMATRIX2("/servlet/excelData",M108,$E$4,$D109&amp;":"&amp;M$14&amp;M$15&amp;":AN:NULL:FISCAL")</f>
        <v/>
      </c>
      <c r="N109" s="710">
        <f>_xll.BLUEMATRIX2("/servlet/excelData",N108,$E$4,$D109&amp;":"&amp;N$14&amp;N$15&amp;":AN:NULL:FISCAL")</f>
        <v/>
      </c>
    </row>
    <row r="110">
      <c r="A110" s="810" t="n"/>
      <c r="B110" s="782" t="inlineStr">
        <is>
          <t>EBIT Margin (%)</t>
        </is>
      </c>
      <c r="C110" s="776" t="inlineStr">
        <is>
          <t>EBIT / Revenues</t>
        </is>
      </c>
      <c r="D110" s="783" t="inlineStr">
        <is>
          <t>OP_INC_MARGIN</t>
        </is>
      </c>
      <c r="E110" s="836">
        <f>FS_Y!Q19/FS_Y!Q11</f>
        <v/>
      </c>
      <c r="F110" s="836">
        <f>FS_Y!R19/FS_Y!R11</f>
        <v/>
      </c>
      <c r="G110" s="836">
        <f>FS_Y!S19/FS_Y!S11</f>
        <v/>
      </c>
      <c r="H110" s="836">
        <f>FS_Y!T19/FS_Y!T11</f>
        <v/>
      </c>
      <c r="I110" s="836">
        <f>FS_Y!U19/FS_Y!U11</f>
        <v/>
      </c>
      <c r="J110" s="836">
        <f>FS_Y!V19/FS_Y!V11</f>
        <v/>
      </c>
      <c r="K110" s="836">
        <f>FS_Y!W19/FS_Y!W11</f>
        <v/>
      </c>
      <c r="L110" s="793" t="n"/>
      <c r="M110" s="793" t="n"/>
      <c r="N110" s="793" t="n"/>
    </row>
    <row r="111">
      <c r="A111" s="810" t="n"/>
      <c r="B111" s="786" t="inlineStr">
        <is>
          <t>BM Formula &amp; Result</t>
        </is>
      </c>
      <c r="C111" s="787" t="n"/>
      <c r="D111" s="800" t="inlineStr">
        <is>
          <t>OP_INC_MARGIN</t>
        </is>
      </c>
      <c r="E111" s="710">
        <f>_xll.BLUEMATRIX2("/servlet/excelData",E110,$E$4,$D111&amp;":"&amp;E$14&amp;E$15&amp;":AN:NULL:FISCAL")</f>
        <v/>
      </c>
      <c r="F111" s="710">
        <f>_xll.BLUEMATRIX2("/servlet/excelData",F110,$E$4,$D111&amp;":"&amp;F$14&amp;F$15&amp;":AN:NULL:FISCAL")</f>
        <v/>
      </c>
      <c r="G111" s="710">
        <f>_xll.BLUEMATRIX2("/servlet/excelData",G110,$E$4,$D111&amp;":"&amp;G$14&amp;G$15&amp;":AN:NULL:FISCAL")</f>
        <v/>
      </c>
      <c r="H111" s="710">
        <f>_xll.BLUEMATRIX2("/servlet/excelData",H110,$E$4,$D111&amp;":"&amp;H$14&amp;H$15&amp;":AN:NULL:FISCAL")</f>
        <v/>
      </c>
      <c r="I111" s="710">
        <f>_xll.BLUEMATRIX2("/servlet/excelData",I110,$E$4,$D111&amp;":"&amp;I$14&amp;I$15&amp;":AN:NULL:FISCAL")</f>
        <v/>
      </c>
      <c r="J111" s="710">
        <f>_xll.BLUEMATRIX2("/servlet/excelData",J110,$E$4,$D111&amp;":"&amp;J$14&amp;J$15&amp;":AN:NULL:FISCAL")</f>
        <v/>
      </c>
      <c r="K111" s="710">
        <f>_xll.BLUEMATRIX2("/servlet/excelData",K110,$E$4,$D111&amp;":"&amp;K$14&amp;K$15&amp;":AN:NULL:FISCAL")</f>
        <v/>
      </c>
      <c r="L111" s="710">
        <f>_xll.BLUEMATRIX2("/servlet/excelData",L110,$E$4,$D111&amp;":"&amp;L$14&amp;L$15&amp;":AN:NULL:FISCAL")</f>
        <v/>
      </c>
      <c r="M111" s="710">
        <f>_xll.BLUEMATRIX2("/servlet/excelData",M110,$E$4,$D111&amp;":"&amp;M$14&amp;M$15&amp;":AN:NULL:FISCAL")</f>
        <v/>
      </c>
      <c r="N111" s="710">
        <f>_xll.BLUEMATRIX2("/servlet/excelData",N110,$E$4,$D111&amp;":"&amp;N$14&amp;N$15&amp;":AN:NULL:FISCAL")</f>
        <v/>
      </c>
    </row>
    <row r="112">
      <c r="A112" s="810" t="n"/>
      <c r="B112" s="782" t="inlineStr">
        <is>
          <t>Net interest income</t>
        </is>
      </c>
      <c r="C112" s="776" t="inlineStr">
        <is>
          <t>Interest expenses on financial debt + Interest income on cash, cash equivalent and short term investments + Other interest income/ (expense)</t>
        </is>
      </c>
      <c r="D112" s="783" t="inlineStr">
        <is>
          <t>NII</t>
        </is>
      </c>
      <c r="E112" s="835">
        <f>(FS_Y!Q20)/1000</f>
        <v/>
      </c>
      <c r="F112" s="835">
        <f>(FS_Y!R20)/1000</f>
        <v/>
      </c>
      <c r="G112" s="835">
        <f>(FS_Y!S20)/1000</f>
        <v/>
      </c>
      <c r="H112" s="835">
        <f>(FS_Y!T20)/1000</f>
        <v/>
      </c>
      <c r="I112" s="835">
        <f>(FS_Y!U20)/1000</f>
        <v/>
      </c>
      <c r="J112" s="835">
        <f>(FS_Y!V20)/1000</f>
        <v/>
      </c>
      <c r="K112" s="835">
        <f>(FS_Y!W20)/1000</f>
        <v/>
      </c>
      <c r="L112" s="793" t="n"/>
      <c r="M112" s="793" t="n"/>
      <c r="N112" s="793" t="n"/>
    </row>
    <row r="113">
      <c r="A113" s="810" t="n"/>
      <c r="B113" s="786" t="inlineStr">
        <is>
          <t>BM Formula &amp; Result</t>
        </is>
      </c>
      <c r="C113" s="787" t="n"/>
      <c r="D113" s="800" t="inlineStr">
        <is>
          <t>NII</t>
        </is>
      </c>
      <c r="E113" s="710">
        <f>_xll.BLUEMATRIX2("/servlet/excelData",E112,$E$4,$D113&amp;":"&amp;E$14&amp;E$15&amp;":AN:NULL:FISCAL")</f>
        <v/>
      </c>
      <c r="F113" s="710">
        <f>_xll.BLUEMATRIX2("/servlet/excelData",F112,$E$4,$D113&amp;":"&amp;F$14&amp;F$15&amp;":AN:NULL:FISCAL")</f>
        <v/>
      </c>
      <c r="G113" s="710">
        <f>_xll.BLUEMATRIX2("/servlet/excelData",G112,$E$4,$D113&amp;":"&amp;G$14&amp;G$15&amp;":AN:NULL:FISCAL")</f>
        <v/>
      </c>
      <c r="H113" s="710">
        <f>_xll.BLUEMATRIX2("/servlet/excelData",H112,$E$4,$D113&amp;":"&amp;H$14&amp;H$15&amp;":AN:NULL:FISCAL")</f>
        <v/>
      </c>
      <c r="I113" s="710">
        <f>_xll.BLUEMATRIX2("/servlet/excelData",I112,$E$4,$D113&amp;":"&amp;I$14&amp;I$15&amp;":AN:NULL:FISCAL")</f>
        <v/>
      </c>
      <c r="J113" s="710">
        <f>_xll.BLUEMATRIX2("/servlet/excelData",J112,$E$4,$D113&amp;":"&amp;J$14&amp;J$15&amp;":AN:NULL:FISCAL")</f>
        <v/>
      </c>
      <c r="K113" s="710">
        <f>_xll.BLUEMATRIX2("/servlet/excelData",K112,$E$4,$D113&amp;":"&amp;K$14&amp;K$15&amp;":AN:NULL:FISCAL")</f>
        <v/>
      </c>
      <c r="L113" s="710">
        <f>_xll.BLUEMATRIX2("/servlet/excelData",L112,$E$4,$D113&amp;":"&amp;L$14&amp;L$15&amp;":AN:NULL:FISCAL")</f>
        <v/>
      </c>
      <c r="M113" s="710">
        <f>_xll.BLUEMATRIX2("/servlet/excelData",M112,$E$4,$D113&amp;":"&amp;M$14&amp;M$15&amp;":AN:NULL:FISCAL")</f>
        <v/>
      </c>
      <c r="N113" s="710">
        <f>_xll.BLUEMATRIX2("/servlet/excelData",N112,$E$4,$D113&amp;":"&amp;N$14&amp;N$15&amp;":AN:NULL:FISCAL")</f>
        <v/>
      </c>
    </row>
    <row r="114">
      <c r="A114" s="810" t="n"/>
      <c r="B114" s="782" t="inlineStr">
        <is>
          <t>Tax Charge (M)</t>
        </is>
      </c>
      <c r="C114" s="782" t="inlineStr">
        <is>
          <t>=-(Pre-tax income * Tax rate)</t>
        </is>
      </c>
      <c r="D114" s="783" t="inlineStr">
        <is>
          <t>TaxCharge</t>
        </is>
      </c>
      <c r="E114" s="835">
        <f>(FS_Y!Q24)/1000</f>
        <v/>
      </c>
      <c r="F114" s="835">
        <f>(FS_Y!R24)/1000</f>
        <v/>
      </c>
      <c r="G114" s="835">
        <f>(FS_Y!S24)/1000</f>
        <v/>
      </c>
      <c r="H114" s="835">
        <f>(FS_Y!T24)/1000</f>
        <v/>
      </c>
      <c r="I114" s="835">
        <f>(FS_Y!U24)/1000</f>
        <v/>
      </c>
      <c r="J114" s="835">
        <f>(FS_Y!V24)/1000</f>
        <v/>
      </c>
      <c r="K114" s="835">
        <f>(FS_Y!W24)/1000</f>
        <v/>
      </c>
      <c r="L114" s="793" t="n"/>
      <c r="M114" s="793" t="n"/>
      <c r="N114" s="793" t="n"/>
    </row>
    <row r="115">
      <c r="A115" s="810" t="n"/>
      <c r="B115" s="786" t="inlineStr">
        <is>
          <t>BM Formula &amp; Result</t>
        </is>
      </c>
      <c r="C115" s="787" t="n"/>
      <c r="D115" s="800" t="inlineStr">
        <is>
          <t>TaxCharge</t>
        </is>
      </c>
      <c r="E115" s="710">
        <f>_xll.BLUEMATRIX2("/servlet/excelData",E114,$E$4,$D115&amp;":"&amp;E$14&amp;E$15&amp;":AN:NULL:FISCAL")</f>
        <v/>
      </c>
      <c r="F115" s="710">
        <f>_xll.BLUEMATRIX2("/servlet/excelData",F114,$E$4,$D115&amp;":"&amp;F$14&amp;F$15&amp;":AN:NULL:FISCAL")</f>
        <v/>
      </c>
      <c r="G115" s="710">
        <f>_xll.BLUEMATRIX2("/servlet/excelData",G114,$E$4,$D115&amp;":"&amp;G$14&amp;G$15&amp;":AN:NULL:FISCAL")</f>
        <v/>
      </c>
      <c r="H115" s="710">
        <f>_xll.BLUEMATRIX2("/servlet/excelData",H114,$E$4,$D115&amp;":"&amp;H$14&amp;H$15&amp;":AN:NULL:FISCAL")</f>
        <v/>
      </c>
      <c r="I115" s="710">
        <f>_xll.BLUEMATRIX2("/servlet/excelData",I114,$E$4,$D115&amp;":"&amp;I$14&amp;I$15&amp;":AN:NULL:FISCAL")</f>
        <v/>
      </c>
      <c r="J115" s="710">
        <f>_xll.BLUEMATRIX2("/servlet/excelData",J114,$E$4,$D115&amp;":"&amp;J$14&amp;J$15&amp;":AN:NULL:FISCAL")</f>
        <v/>
      </c>
      <c r="K115" s="710">
        <f>_xll.BLUEMATRIX2("/servlet/excelData",K114,$E$4,$D115&amp;":"&amp;K$14&amp;K$15&amp;":AN:NULL:FISCAL")</f>
        <v/>
      </c>
      <c r="L115" s="710">
        <f>_xll.BLUEMATRIX2("/servlet/excelData",L114,$E$4,$D115&amp;":"&amp;L$14&amp;L$15&amp;":AN:NULL:FISCAL")</f>
        <v/>
      </c>
      <c r="M115" s="710">
        <f>_xll.BLUEMATRIX2("/servlet/excelData",M114,$E$4,$D115&amp;":"&amp;M$14&amp;M$15&amp;":AN:NULL:FISCAL")</f>
        <v/>
      </c>
      <c r="N115" s="710">
        <f>_xll.BLUEMATRIX2("/servlet/excelData",N114,$E$4,$D115&amp;":"&amp;N$14&amp;N$15&amp;":AN:NULL:FISCAL")</f>
        <v/>
      </c>
    </row>
    <row r="116">
      <c r="A116" s="810" t="n"/>
      <c r="B116" s="782" t="inlineStr">
        <is>
          <t>Net income before minorities</t>
        </is>
      </c>
      <c r="C116" s="776" t="inlineStr">
        <is>
          <t>Pre-tax income + Taxation + Associate income/ (loss) after taxation</t>
        </is>
      </c>
      <c r="D116" s="783" t="inlineStr">
        <is>
          <t>NET_INC_BEFORE_MINORITIES</t>
        </is>
      </c>
      <c r="E116" s="835">
        <f>(FS_Y!Q25)/1000</f>
        <v/>
      </c>
      <c r="F116" s="835">
        <f>(FS_Y!R25)/1000</f>
        <v/>
      </c>
      <c r="G116" s="835">
        <f>(FS_Y!S25)/1000</f>
        <v/>
      </c>
      <c r="H116" s="835">
        <f>(FS_Y!T25)/1000</f>
        <v/>
      </c>
      <c r="I116" s="835">
        <f>(FS_Y!U25)/1000</f>
        <v/>
      </c>
      <c r="J116" s="835">
        <f>(FS_Y!V25)/1000</f>
        <v/>
      </c>
      <c r="K116" s="835">
        <f>(FS_Y!W25)/1000</f>
        <v/>
      </c>
      <c r="L116" s="793" t="n"/>
      <c r="M116" s="793" t="n"/>
      <c r="N116" s="793" t="n"/>
    </row>
    <row r="117">
      <c r="A117" s="810" t="n"/>
      <c r="B117" s="786" t="inlineStr">
        <is>
          <t>BM Formula &amp; Result</t>
        </is>
      </c>
      <c r="C117" s="787" t="n"/>
      <c r="D117" s="800" t="inlineStr">
        <is>
          <t>NET_INC_BEFORE_MINORITIES</t>
        </is>
      </c>
      <c r="E117" s="710">
        <f>_xll.BLUEMATRIX2("/servlet/excelData",E116,$E$4,$D117&amp;":"&amp;E$14&amp;E$15&amp;":AN:NULL:FISCAL")</f>
        <v/>
      </c>
      <c r="F117" s="710">
        <f>_xll.BLUEMATRIX2("/servlet/excelData",F116,$E$4,$D117&amp;":"&amp;F$14&amp;F$15&amp;":AN:NULL:FISCAL")</f>
        <v/>
      </c>
      <c r="G117" s="710">
        <f>_xll.BLUEMATRIX2("/servlet/excelData",G116,$E$4,$D117&amp;":"&amp;G$14&amp;G$15&amp;":AN:NULL:FISCAL")</f>
        <v/>
      </c>
      <c r="H117" s="710">
        <f>_xll.BLUEMATRIX2("/servlet/excelData",H116,$E$4,$D117&amp;":"&amp;H$14&amp;H$15&amp;":AN:NULL:FISCAL")</f>
        <v/>
      </c>
      <c r="I117" s="710">
        <f>_xll.BLUEMATRIX2("/servlet/excelData",I116,$E$4,$D117&amp;":"&amp;I$14&amp;I$15&amp;":AN:NULL:FISCAL")</f>
        <v/>
      </c>
      <c r="J117" s="710">
        <f>_xll.BLUEMATRIX2("/servlet/excelData",J116,$E$4,$D117&amp;":"&amp;J$14&amp;J$15&amp;":AN:NULL:FISCAL")</f>
        <v/>
      </c>
      <c r="K117" s="710">
        <f>_xll.BLUEMATRIX2("/servlet/excelData",K116,$E$4,$D117&amp;":"&amp;K$14&amp;K$15&amp;":AN:NULL:FISCAL")</f>
        <v/>
      </c>
      <c r="L117" s="710">
        <f>_xll.BLUEMATRIX2("/servlet/excelData",L116,$E$4,$D117&amp;":"&amp;L$14&amp;L$15&amp;":AN:NULL:FISCAL")</f>
        <v/>
      </c>
      <c r="M117" s="710">
        <f>_xll.BLUEMATRIX2("/servlet/excelData",M116,$E$4,$D117&amp;":"&amp;M$14&amp;M$15&amp;":AN:NULL:FISCAL")</f>
        <v/>
      </c>
      <c r="N117" s="710">
        <f>_xll.BLUEMATRIX2("/servlet/excelData",N116,$E$4,$D117&amp;":"&amp;N$14&amp;N$15&amp;":AN:NULL:FISCAL")</f>
        <v/>
      </c>
    </row>
    <row r="118">
      <c r="A118" s="810" t="n"/>
      <c r="B118" s="782" t="inlineStr">
        <is>
          <t>Pre-Tax Net Income Growth (%)</t>
        </is>
      </c>
      <c r="C118" s="782" t="n"/>
      <c r="D118" s="783" t="inlineStr">
        <is>
          <t>Pre-TaxNetIncomeGrowth</t>
        </is>
      </c>
      <c r="E118" s="836">
        <f>FS_Y!Q25/FS_Y!P25-1</f>
        <v/>
      </c>
      <c r="F118" s="836">
        <f>FS_Y!R25/FS_Y!Q25-1</f>
        <v/>
      </c>
      <c r="G118" s="836">
        <f>FS_Y!S25/FS_Y!R25-1</f>
        <v/>
      </c>
      <c r="H118" s="836">
        <f>FS_Y!T25/FS_Y!S25-1</f>
        <v/>
      </c>
      <c r="I118" s="836">
        <f>FS_Y!U25/FS_Y!T25-1</f>
        <v/>
      </c>
      <c r="J118" s="836">
        <f>FS_Y!V25/FS_Y!U25-1</f>
        <v/>
      </c>
      <c r="K118" s="836">
        <f>FS_Y!W25/FS_Y!V25-1</f>
        <v/>
      </c>
      <c r="L118" s="793" t="n"/>
      <c r="M118" s="793" t="n"/>
      <c r="N118" s="793" t="n"/>
    </row>
    <row r="119">
      <c r="A119" s="810" t="n"/>
      <c r="B119" s="786" t="inlineStr">
        <is>
          <t>BM Formula &amp; Result</t>
        </is>
      </c>
      <c r="C119" s="787" t="n"/>
      <c r="D119" s="800" t="inlineStr">
        <is>
          <t>Pre-TaxNetIncomeGrowth</t>
        </is>
      </c>
      <c r="E119" s="710">
        <f>_xll.BLUEMATRIX2("/servlet/excelData",E118,$E$4,$D119&amp;":"&amp;E$14&amp;E$15&amp;":AN:NULL:FISCAL")</f>
        <v/>
      </c>
      <c r="F119" s="710">
        <f>_xll.BLUEMATRIX2("/servlet/excelData",F118,$E$4,$D119&amp;":"&amp;F$14&amp;F$15&amp;":AN:NULL:FISCAL")</f>
        <v/>
      </c>
      <c r="G119" s="710">
        <f>_xll.BLUEMATRIX2("/servlet/excelData",G118,$E$4,$D119&amp;":"&amp;G$14&amp;G$15&amp;":AN:NULL:FISCAL")</f>
        <v/>
      </c>
      <c r="H119" s="710">
        <f>_xll.BLUEMATRIX2("/servlet/excelData",H118,$E$4,$D119&amp;":"&amp;H$14&amp;H$15&amp;":AN:NULL:FISCAL")</f>
        <v/>
      </c>
      <c r="I119" s="710">
        <f>_xll.BLUEMATRIX2("/servlet/excelData",I118,$E$4,$D119&amp;":"&amp;I$14&amp;I$15&amp;":AN:NULL:FISCAL")</f>
        <v/>
      </c>
      <c r="J119" s="710">
        <f>_xll.BLUEMATRIX2("/servlet/excelData",J118,$E$4,$D119&amp;":"&amp;J$14&amp;J$15&amp;":AN:NULL:FISCAL")</f>
        <v/>
      </c>
      <c r="K119" s="710">
        <f>_xll.BLUEMATRIX2("/servlet/excelData",K118,$E$4,$D119&amp;":"&amp;K$14&amp;K$15&amp;":AN:NULL:FISCAL")</f>
        <v/>
      </c>
      <c r="L119" s="710">
        <f>_xll.BLUEMATRIX2("/servlet/excelData",L118,$E$4,$D119&amp;":"&amp;L$14&amp;L$15&amp;":AN:NULL:FISCAL")</f>
        <v/>
      </c>
      <c r="M119" s="710">
        <f>_xll.BLUEMATRIX2("/servlet/excelData",M118,$E$4,$D119&amp;":"&amp;M$14&amp;M$15&amp;":AN:NULL:FISCAL")</f>
        <v/>
      </c>
      <c r="N119" s="710">
        <f>_xll.BLUEMATRIX2("/servlet/excelData",N118,$E$4,$D119&amp;":"&amp;N$14&amp;N$15&amp;":AN:NULL:FISCAL")</f>
        <v/>
      </c>
    </row>
    <row r="120">
      <c r="A120" s="810" t="n"/>
      <c r="B120" s="782" t="inlineStr">
        <is>
          <t>Minority interests</t>
        </is>
      </c>
      <c r="C120" s="776" t="inlineStr">
        <is>
          <t>P&amp;L item</t>
        </is>
      </c>
      <c r="D120" s="783" t="inlineStr">
        <is>
          <t>MinorityInterest</t>
        </is>
      </c>
      <c r="E120" s="835">
        <f>(FS_Y!Q26)/1000</f>
        <v/>
      </c>
      <c r="F120" s="835">
        <f>(FS_Y!R26)/1000</f>
        <v/>
      </c>
      <c r="G120" s="835">
        <f>(FS_Y!S26)/1000</f>
        <v/>
      </c>
      <c r="H120" s="835">
        <f>(FS_Y!T26)/1000</f>
        <v/>
      </c>
      <c r="I120" s="835">
        <f>(FS_Y!U26)/1000</f>
        <v/>
      </c>
      <c r="J120" s="835">
        <f>(FS_Y!V26)/1000</f>
        <v/>
      </c>
      <c r="K120" s="835">
        <f>(FS_Y!W26)/1000</f>
        <v/>
      </c>
      <c r="L120" s="793" t="n"/>
      <c r="M120" s="793" t="n"/>
      <c r="N120" s="793" t="n"/>
    </row>
    <row r="121">
      <c r="A121" s="810" t="n"/>
      <c r="B121" s="786" t="inlineStr">
        <is>
          <t>BM Formula &amp; Result</t>
        </is>
      </c>
      <c r="C121" s="787" t="n"/>
      <c r="D121" s="800" t="inlineStr">
        <is>
          <t>MinorityInterest</t>
        </is>
      </c>
      <c r="E121" s="710">
        <f>_xll.BLUEMATRIX2("/servlet/excelData",E120,$E$4,$D121&amp;":"&amp;E$14&amp;E$15&amp;":AN:NULL:FISCAL")</f>
        <v/>
      </c>
      <c r="F121" s="710">
        <f>_xll.BLUEMATRIX2("/servlet/excelData",F120,$E$4,$D121&amp;":"&amp;F$14&amp;F$15&amp;":AN:NULL:FISCAL")</f>
        <v/>
      </c>
      <c r="G121" s="710">
        <f>_xll.BLUEMATRIX2("/servlet/excelData",G120,$E$4,$D121&amp;":"&amp;G$14&amp;G$15&amp;":AN:NULL:FISCAL")</f>
        <v/>
      </c>
      <c r="H121" s="710">
        <f>_xll.BLUEMATRIX2("/servlet/excelData",H120,$E$4,$D121&amp;":"&amp;H$14&amp;H$15&amp;":AN:NULL:FISCAL")</f>
        <v/>
      </c>
      <c r="I121" s="710">
        <f>_xll.BLUEMATRIX2("/servlet/excelData",I120,$E$4,$D121&amp;":"&amp;I$14&amp;I$15&amp;":AN:NULL:FISCAL")</f>
        <v/>
      </c>
      <c r="J121" s="710">
        <f>_xll.BLUEMATRIX2("/servlet/excelData",J120,$E$4,$D121&amp;":"&amp;J$14&amp;J$15&amp;":AN:NULL:FISCAL")</f>
        <v/>
      </c>
      <c r="K121" s="710">
        <f>_xll.BLUEMATRIX2("/servlet/excelData",K120,$E$4,$D121&amp;":"&amp;K$14&amp;K$15&amp;":AN:NULL:FISCAL")</f>
        <v/>
      </c>
      <c r="L121" s="710">
        <f>_xll.BLUEMATRIX2("/servlet/excelData",L120,$E$4,$D121&amp;":"&amp;L$14&amp;L$15&amp;":AN:NULL:FISCAL")</f>
        <v/>
      </c>
      <c r="M121" s="710">
        <f>_xll.BLUEMATRIX2("/servlet/excelData",M120,$E$4,$D121&amp;":"&amp;M$14&amp;M$15&amp;":AN:NULL:FISCAL")</f>
        <v/>
      </c>
      <c r="N121" s="710">
        <f>_xll.BLUEMATRIX2("/servlet/excelData",N120,$E$4,$D121&amp;":"&amp;N$14&amp;N$15&amp;":AN:NULL:FISCAL")</f>
        <v/>
      </c>
    </row>
    <row r="122">
      <c r="A122" s="810" t="n"/>
      <c r="B122" s="782" t="inlineStr">
        <is>
          <t>Reported net income</t>
        </is>
      </c>
      <c r="C122" s="776" t="inlineStr">
        <is>
          <t>Reported net income after minority interests</t>
        </is>
      </c>
      <c r="D122" s="783" t="inlineStr">
        <is>
          <t>RepNetIncome</t>
        </is>
      </c>
      <c r="E122" s="835">
        <f>(FS_Y!Q27)/1000</f>
        <v/>
      </c>
      <c r="F122" s="835">
        <f>(FS_Y!R27)/1000</f>
        <v/>
      </c>
      <c r="G122" s="835">
        <f>(FS_Y!S27)/1000</f>
        <v/>
      </c>
      <c r="H122" s="835">
        <f>(FS_Y!T27)/1000</f>
        <v/>
      </c>
      <c r="I122" s="835">
        <f>(FS_Y!U27)/1000</f>
        <v/>
      </c>
      <c r="J122" s="835">
        <f>(FS_Y!V27)/1000</f>
        <v/>
      </c>
      <c r="K122" s="835">
        <f>(FS_Y!W27)/1000</f>
        <v/>
      </c>
      <c r="L122" s="793" t="n"/>
      <c r="M122" s="793" t="n"/>
      <c r="N122" s="793" t="n"/>
    </row>
    <row r="123">
      <c r="A123" s="810" t="n"/>
      <c r="B123" s="786" t="inlineStr">
        <is>
          <t>BM Formula &amp; Result</t>
        </is>
      </c>
      <c r="C123" s="787" t="n"/>
      <c r="D123" s="800" t="inlineStr">
        <is>
          <t>RepNetIncome</t>
        </is>
      </c>
      <c r="E123" s="710">
        <f>_xll.BLUEMATRIX2("/servlet/excelData",E122,$E$4,$D123&amp;":"&amp;E$14&amp;E$15&amp;":AN:NULL:FISCAL")</f>
        <v/>
      </c>
      <c r="F123" s="710">
        <f>_xll.BLUEMATRIX2("/servlet/excelData",F122,$E$4,$D123&amp;":"&amp;F$14&amp;F$15&amp;":AN:NULL:FISCAL")</f>
        <v/>
      </c>
      <c r="G123" s="710">
        <f>_xll.BLUEMATRIX2("/servlet/excelData",G122,$E$4,$D123&amp;":"&amp;G$14&amp;G$15&amp;":AN:NULL:FISCAL")</f>
        <v/>
      </c>
      <c r="H123" s="710">
        <f>_xll.BLUEMATRIX2("/servlet/excelData",H122,$E$4,$D123&amp;":"&amp;H$14&amp;H$15&amp;":AN:NULL:FISCAL")</f>
        <v/>
      </c>
      <c r="I123" s="710">
        <f>_xll.BLUEMATRIX2("/servlet/excelData",I122,$E$4,$D123&amp;":"&amp;I$14&amp;I$15&amp;":AN:NULL:FISCAL")</f>
        <v/>
      </c>
      <c r="J123" s="710">
        <f>_xll.BLUEMATRIX2("/servlet/excelData",J122,$E$4,$D123&amp;":"&amp;J$14&amp;J$15&amp;":AN:NULL:FISCAL")</f>
        <v/>
      </c>
      <c r="K123" s="710">
        <f>_xll.BLUEMATRIX2("/servlet/excelData",K122,$E$4,$D123&amp;":"&amp;K$14&amp;K$15&amp;":AN:NULL:FISCAL")</f>
        <v/>
      </c>
      <c r="L123" s="710">
        <f>_xll.BLUEMATRIX2("/servlet/excelData",L122,$E$4,$D123&amp;":"&amp;L$14&amp;L$15&amp;":AN:NULL:FISCAL")</f>
        <v/>
      </c>
      <c r="M123" s="710">
        <f>_xll.BLUEMATRIX2("/servlet/excelData",M122,$E$4,$D123&amp;":"&amp;M$14&amp;M$15&amp;":AN:NULL:FISCAL")</f>
        <v/>
      </c>
      <c r="N123" s="710">
        <f>_xll.BLUEMATRIX2("/servlet/excelData",N122,$E$4,$D123&amp;":"&amp;N$14&amp;N$15&amp;":AN:NULL:FISCAL")</f>
        <v/>
      </c>
    </row>
    <row r="124">
      <c r="A124" s="810" t="n"/>
      <c r="B124" s="782" t="inlineStr">
        <is>
          <t>Net income margin (%)</t>
        </is>
      </c>
      <c r="C124" s="782" t="n"/>
      <c r="D124" s="783" t="inlineStr">
        <is>
          <t>NETMARGIN</t>
        </is>
      </c>
      <c r="E124" s="949">
        <f>FS_Y!Q27/FS_Y!Q11</f>
        <v/>
      </c>
      <c r="F124" s="949">
        <f>FS_Y!R27/FS_Y!R11</f>
        <v/>
      </c>
      <c r="G124" s="949">
        <f>FS_Y!S27/FS_Y!S11</f>
        <v/>
      </c>
      <c r="H124" s="949">
        <f>FS_Y!T27/FS_Y!T11</f>
        <v/>
      </c>
      <c r="I124" s="949">
        <f>FS_Y!U27/FS_Y!U11</f>
        <v/>
      </c>
      <c r="J124" s="949">
        <f>FS_Y!V27/FS_Y!V11</f>
        <v/>
      </c>
      <c r="K124" s="949">
        <f>FS_Y!W27/FS_Y!W11</f>
        <v/>
      </c>
      <c r="L124" s="793" t="n"/>
      <c r="M124" s="793" t="n"/>
      <c r="N124" s="793" t="n"/>
    </row>
    <row r="125">
      <c r="A125" s="810" t="n"/>
      <c r="B125" s="786" t="inlineStr">
        <is>
          <t>BM Formula &amp; Result</t>
        </is>
      </c>
      <c r="C125" s="787" t="n"/>
      <c r="D125" s="800" t="inlineStr">
        <is>
          <t>NETMARGIN</t>
        </is>
      </c>
      <c r="E125" s="710">
        <f>_xll.BLUEMATRIX2("/servlet/excelData",E124,$E$4,$D125&amp;":"&amp;E$14&amp;E$15&amp;":AN:NULL:FISCAL")</f>
        <v/>
      </c>
      <c r="F125" s="710">
        <f>_xll.BLUEMATRIX2("/servlet/excelData",F124,$E$4,$D125&amp;":"&amp;F$14&amp;F$15&amp;":AN:NULL:FISCAL")</f>
        <v/>
      </c>
      <c r="G125" s="710">
        <f>_xll.BLUEMATRIX2("/servlet/excelData",G124,$E$4,$D125&amp;":"&amp;G$14&amp;G$15&amp;":AN:NULL:FISCAL")</f>
        <v/>
      </c>
      <c r="H125" s="710">
        <f>_xll.BLUEMATRIX2("/servlet/excelData",H124,$E$4,$D125&amp;":"&amp;H$14&amp;H$15&amp;":AN:NULL:FISCAL")</f>
        <v/>
      </c>
      <c r="I125" s="710">
        <f>_xll.BLUEMATRIX2("/servlet/excelData",I124,$E$4,$D125&amp;":"&amp;I$14&amp;I$15&amp;":AN:NULL:FISCAL")</f>
        <v/>
      </c>
      <c r="J125" s="710">
        <f>_xll.BLUEMATRIX2("/servlet/excelData",J124,$E$4,$D125&amp;":"&amp;J$14&amp;J$15&amp;":AN:NULL:FISCAL")</f>
        <v/>
      </c>
      <c r="K125" s="710">
        <f>_xll.BLUEMATRIX2("/servlet/excelData",K124,$E$4,$D125&amp;":"&amp;K$14&amp;K$15&amp;":AN:NULL:FISCAL")</f>
        <v/>
      </c>
      <c r="L125" s="710">
        <f>_xll.BLUEMATRIX2("/servlet/excelData",L124,$E$4,$D125&amp;":"&amp;L$14&amp;L$15&amp;":AN:NULL:FISCAL")</f>
        <v/>
      </c>
      <c r="M125" s="710">
        <f>_xll.BLUEMATRIX2("/servlet/excelData",M124,$E$4,$D125&amp;":"&amp;M$14&amp;M$15&amp;":AN:NULL:FISCAL")</f>
        <v/>
      </c>
      <c r="N125" s="710">
        <f>_xll.BLUEMATRIX2("/servlet/excelData",N124,$E$4,$D125&amp;":"&amp;N$14&amp;N$15&amp;":AN:NULL:FISCAL")</f>
        <v/>
      </c>
    </row>
    <row r="126">
      <c r="A126" s="810" t="n"/>
      <c r="B126" s="782" t="inlineStr">
        <is>
          <t>Adjustments to assoc / other</t>
        </is>
      </c>
      <c r="C126" s="776" t="inlineStr">
        <is>
          <t>Needed for EV/EBITDA calc</t>
        </is>
      </c>
      <c r="D126" s="783" t="inlineStr">
        <is>
          <t>AdjustmentOther</t>
        </is>
      </c>
      <c r="E126" s="793" t="n"/>
      <c r="F126" s="793" t="n"/>
      <c r="G126" s="793" t="n"/>
      <c r="H126" s="793" t="n"/>
      <c r="I126" s="793" t="n"/>
      <c r="J126" s="793" t="n"/>
      <c r="K126" s="793" t="n"/>
      <c r="L126" s="793" t="n"/>
      <c r="M126" s="793" t="n"/>
      <c r="N126" s="793" t="n"/>
    </row>
    <row r="127">
      <c r="A127" s="810" t="n"/>
      <c r="B127" s="786" t="inlineStr">
        <is>
          <t>BM Formula &amp; Result</t>
        </is>
      </c>
      <c r="C127" s="787" t="n"/>
      <c r="D127" s="800" t="inlineStr">
        <is>
          <t>AdjustmentOther</t>
        </is>
      </c>
      <c r="E127" s="710">
        <f>_xll.BLUEMATRIX2("/servlet/excelData",E126,$E$4,$D127&amp;":"&amp;E$14&amp;E$15&amp;":AN:NULL:FISCAL")</f>
        <v/>
      </c>
      <c r="F127" s="710">
        <f>_xll.BLUEMATRIX2("/servlet/excelData",F126,$E$4,$D127&amp;":"&amp;F$14&amp;F$15&amp;":AN:NULL:FISCAL")</f>
        <v/>
      </c>
      <c r="G127" s="710">
        <f>_xll.BLUEMATRIX2("/servlet/excelData",G126,$E$4,$D127&amp;":"&amp;G$14&amp;G$15&amp;":AN:NULL:FISCAL")</f>
        <v/>
      </c>
      <c r="H127" s="710">
        <f>_xll.BLUEMATRIX2("/servlet/excelData",H126,$E$4,$D127&amp;":"&amp;H$14&amp;H$15&amp;":AN:NULL:FISCAL")</f>
        <v/>
      </c>
      <c r="I127" s="710">
        <f>_xll.BLUEMATRIX2("/servlet/excelData",I126,$E$4,$D127&amp;":"&amp;I$14&amp;I$15&amp;":AN:NULL:FISCAL")</f>
        <v/>
      </c>
      <c r="J127" s="710">
        <f>_xll.BLUEMATRIX2("/servlet/excelData",J126,$E$4,$D127&amp;":"&amp;J$14&amp;J$15&amp;":AN:NULL:FISCAL")</f>
        <v/>
      </c>
      <c r="K127" s="710">
        <f>_xll.BLUEMATRIX2("/servlet/excelData",K126,$E$4,$D127&amp;":"&amp;K$14&amp;K$15&amp;":AN:NULL:FISCAL")</f>
        <v/>
      </c>
      <c r="L127" s="710">
        <f>_xll.BLUEMATRIX2("/servlet/excelData",L126,$E$4,$D127&amp;":"&amp;L$14&amp;L$15&amp;":AN:NULL:FISCAL")</f>
        <v/>
      </c>
      <c r="M127" s="710">
        <f>_xll.BLUEMATRIX2("/servlet/excelData",M126,$E$4,$D127&amp;":"&amp;M$14&amp;M$15&amp;":AN:NULL:FISCAL")</f>
        <v/>
      </c>
      <c r="N127" s="710">
        <f>_xll.BLUEMATRIX2("/servlet/excelData",N126,$E$4,$D127&amp;":"&amp;N$14&amp;N$15&amp;":AN:NULL:FISCAL")</f>
        <v/>
      </c>
    </row>
    <row r="128">
      <c r="A128" s="810" t="n"/>
      <c r="B128" s="782" t="inlineStr">
        <is>
          <t>Exceptional items</t>
        </is>
      </c>
      <c r="C128" s="776" t="inlineStr">
        <is>
          <t>Exceptional items: write-offs, income/ (loss) on fixed assets &amp; business disposals, restructuring costs</t>
        </is>
      </c>
      <c r="D128" s="783" t="inlineStr">
        <is>
          <t>ExceptionalItems</t>
        </is>
      </c>
      <c r="E128" s="793" t="n"/>
      <c r="F128" s="793" t="n"/>
      <c r="G128" s="793" t="n"/>
      <c r="H128" s="793" t="n"/>
      <c r="I128" s="793" t="n"/>
      <c r="J128" s="793" t="n"/>
      <c r="K128" s="793" t="n"/>
      <c r="L128" s="793" t="n"/>
      <c r="M128" s="793" t="n"/>
      <c r="N128" s="793" t="n"/>
    </row>
    <row r="129">
      <c r="A129" s="810" t="n"/>
      <c r="B129" s="786" t="inlineStr">
        <is>
          <t>BM Formula &amp; Result</t>
        </is>
      </c>
      <c r="C129" s="787" t="n"/>
      <c r="D129" s="800" t="inlineStr">
        <is>
          <t>ExceptionalItems</t>
        </is>
      </c>
      <c r="E129" s="710">
        <f>_xll.BLUEMATRIX2("/servlet/excelData",E128,$E$4,$D129&amp;":"&amp;E$14&amp;E$15&amp;":AN:NULL:FISCAL")</f>
        <v/>
      </c>
      <c r="F129" s="710">
        <f>_xll.BLUEMATRIX2("/servlet/excelData",F128,$E$4,$D129&amp;":"&amp;F$14&amp;F$15&amp;":AN:NULL:FISCAL")</f>
        <v/>
      </c>
      <c r="G129" s="710">
        <f>_xll.BLUEMATRIX2("/servlet/excelData",G128,$E$4,$D129&amp;":"&amp;G$14&amp;G$15&amp;":AN:NULL:FISCAL")</f>
        <v/>
      </c>
      <c r="H129" s="710">
        <f>_xll.BLUEMATRIX2("/servlet/excelData",H128,$E$4,$D129&amp;":"&amp;H$14&amp;H$15&amp;":AN:NULL:FISCAL")</f>
        <v/>
      </c>
      <c r="I129" s="710">
        <f>_xll.BLUEMATRIX2("/servlet/excelData",I128,$E$4,$D129&amp;":"&amp;I$14&amp;I$15&amp;":AN:NULL:FISCAL")</f>
        <v/>
      </c>
      <c r="J129" s="710">
        <f>_xll.BLUEMATRIX2("/servlet/excelData",J128,$E$4,$D129&amp;":"&amp;J$14&amp;J$15&amp;":AN:NULL:FISCAL")</f>
        <v/>
      </c>
      <c r="K129" s="710">
        <f>_xll.BLUEMATRIX2("/servlet/excelData",K128,$E$4,$D129&amp;":"&amp;K$14&amp;K$15&amp;":AN:NULL:FISCAL")</f>
        <v/>
      </c>
      <c r="L129" s="710">
        <f>_xll.BLUEMATRIX2("/servlet/excelData",L128,$E$4,$D129&amp;":"&amp;L$14&amp;L$15&amp;":AN:NULL:FISCAL")</f>
        <v/>
      </c>
      <c r="M129" s="710">
        <f>_xll.BLUEMATRIX2("/servlet/excelData",M128,$E$4,$D129&amp;":"&amp;M$14&amp;M$15&amp;":AN:NULL:FISCAL")</f>
        <v/>
      </c>
      <c r="N129" s="710">
        <f>_xll.BLUEMATRIX2("/servlet/excelData",N128,$E$4,$D129&amp;":"&amp;N$14&amp;N$15&amp;":AN:NULL:FISCAL")</f>
        <v/>
      </c>
    </row>
    <row r="130">
      <c r="A130" s="810" t="n"/>
      <c r="B130" s="782" t="inlineStr">
        <is>
          <t>Net Profit Before Non-Recurring Items</t>
        </is>
      </c>
      <c r="C130" s="776" t="inlineStr">
        <is>
          <t xml:space="preserve">Ordinary net earnings:  reported net income adjusted for non recurring items, net of tax and minority interests </t>
        </is>
      </c>
      <c r="D130" s="783" t="inlineStr">
        <is>
          <t>NET_INC_EX_EXCEPT_GW</t>
        </is>
      </c>
      <c r="E130" s="828" t="n"/>
      <c r="F130" s="793" t="n"/>
      <c r="G130" s="793" t="n"/>
      <c r="H130" s="793" t="n"/>
      <c r="I130" s="793" t="n"/>
      <c r="J130" s="793" t="n"/>
      <c r="K130" s="793" t="n"/>
      <c r="L130" s="793" t="n"/>
      <c r="M130" s="793" t="n"/>
      <c r="N130" s="793" t="n"/>
    </row>
    <row r="131">
      <c r="A131" s="810" t="n"/>
      <c r="B131" s="786" t="inlineStr">
        <is>
          <t>BM Formula &amp; Result</t>
        </is>
      </c>
      <c r="C131" s="787" t="n"/>
      <c r="D131" s="800" t="inlineStr">
        <is>
          <t>NET_INC_EX_EXCEPT_GW</t>
        </is>
      </c>
      <c r="E131" s="710">
        <f>_xll.BLUEMATRIX2("/servlet/excelData",E130,$E$4,$D131&amp;":"&amp;E$14&amp;E$15&amp;":AN:NULL:FISCAL")</f>
        <v/>
      </c>
      <c r="F131" s="710">
        <f>_xll.BLUEMATRIX2("/servlet/excelData",F130,$E$4,$D131&amp;":"&amp;F$14&amp;F$15&amp;":AN:NULL:FISCAL")</f>
        <v/>
      </c>
      <c r="G131" s="710">
        <f>_xll.BLUEMATRIX2("/servlet/excelData",G130,$E$4,$D131&amp;":"&amp;G$14&amp;G$15&amp;":AN:NULL:FISCAL")</f>
        <v/>
      </c>
      <c r="H131" s="710">
        <f>_xll.BLUEMATRIX2("/servlet/excelData",H130,$E$4,$D131&amp;":"&amp;H$14&amp;H$15&amp;":AN:NULL:FISCAL")</f>
        <v/>
      </c>
      <c r="I131" s="710">
        <f>_xll.BLUEMATRIX2("/servlet/excelData",I130,$E$4,$D131&amp;":"&amp;I$14&amp;I$15&amp;":AN:NULL:FISCAL")</f>
        <v/>
      </c>
      <c r="J131" s="710">
        <f>_xll.BLUEMATRIX2("/servlet/excelData",J130,$E$4,$D131&amp;":"&amp;J$14&amp;J$15&amp;":AN:NULL:FISCAL")</f>
        <v/>
      </c>
      <c r="K131" s="710">
        <f>_xll.BLUEMATRIX2("/servlet/excelData",K130,$E$4,$D131&amp;":"&amp;K$14&amp;K$15&amp;":AN:NULL:FISCAL")</f>
        <v/>
      </c>
      <c r="L131" s="710">
        <f>_xll.BLUEMATRIX2("/servlet/excelData",L130,$E$4,$D131&amp;":"&amp;L$14&amp;L$15&amp;":AN:NULL:FISCAL")</f>
        <v/>
      </c>
      <c r="M131" s="710">
        <f>_xll.BLUEMATRIX2("/servlet/excelData",M130,$E$4,$D131&amp;":"&amp;M$14&amp;M$15&amp;":AN:NULL:FISCAL")</f>
        <v/>
      </c>
      <c r="N131" s="710">
        <f>_xll.BLUEMATRIX2("/servlet/excelData",N130,$E$4,$D131&amp;":"&amp;N$14&amp;N$15&amp;":AN:NULL:FISCAL")</f>
        <v/>
      </c>
    </row>
    <row r="132">
      <c r="A132" s="810" t="n"/>
      <c r="B132" s="782" t="inlineStr">
        <is>
          <t>Analysts Adjusted Net Income Growth (%)</t>
        </is>
      </c>
      <c r="C132" s="782" t="n"/>
      <c r="D132" s="783" t="inlineStr">
        <is>
          <t>AnalystsAdjNetIncomeGrowth</t>
        </is>
      </c>
      <c r="E132" s="793" t="n"/>
      <c r="F132" s="793" t="n"/>
      <c r="G132" s="793" t="n"/>
      <c r="H132" s="793" t="n"/>
      <c r="I132" s="793" t="n"/>
      <c r="J132" s="793" t="n"/>
      <c r="K132" s="793" t="n"/>
      <c r="L132" s="793" t="n"/>
      <c r="M132" s="793" t="n"/>
      <c r="N132" s="793" t="n"/>
    </row>
    <row r="133">
      <c r="A133" s="810" t="n"/>
      <c r="B133" s="786" t="inlineStr">
        <is>
          <t>BM Formula &amp; Result</t>
        </is>
      </c>
      <c r="C133" s="787" t="n"/>
      <c r="D133" s="800" t="inlineStr">
        <is>
          <t>AnalystsAdjNetIncomeGrowth</t>
        </is>
      </c>
      <c r="E133" s="710">
        <f>_xll.BLUEMATRIX2("/servlet/excelData",E132,$E$4,$D133&amp;":"&amp;E$14&amp;E$15&amp;":AN:NULL:FISCAL")</f>
        <v/>
      </c>
      <c r="F133" s="710">
        <f>_xll.BLUEMATRIX2("/servlet/excelData",F132,$E$4,$D133&amp;":"&amp;F$14&amp;F$15&amp;":AN:NULL:FISCAL")</f>
        <v/>
      </c>
      <c r="G133" s="710">
        <f>_xll.BLUEMATRIX2("/servlet/excelData",G132,$E$4,$D133&amp;":"&amp;G$14&amp;G$15&amp;":AN:NULL:FISCAL")</f>
        <v/>
      </c>
      <c r="H133" s="710">
        <f>_xll.BLUEMATRIX2("/servlet/excelData",H132,$E$4,$D133&amp;":"&amp;H$14&amp;H$15&amp;":AN:NULL:FISCAL")</f>
        <v/>
      </c>
      <c r="I133" s="710">
        <f>_xll.BLUEMATRIX2("/servlet/excelData",I132,$E$4,$D133&amp;":"&amp;I$14&amp;I$15&amp;":AN:NULL:FISCAL")</f>
        <v/>
      </c>
      <c r="J133" s="710">
        <f>_xll.BLUEMATRIX2("/servlet/excelData",J132,$E$4,$D133&amp;":"&amp;J$14&amp;J$15&amp;":AN:NULL:FISCAL")</f>
        <v/>
      </c>
      <c r="K133" s="710">
        <f>_xll.BLUEMATRIX2("/servlet/excelData",K132,$E$4,$D133&amp;":"&amp;K$14&amp;K$15&amp;":AN:NULL:FISCAL")</f>
        <v/>
      </c>
      <c r="L133" s="710">
        <f>_xll.BLUEMATRIX2("/servlet/excelData",L132,$E$4,$D133&amp;":"&amp;L$14&amp;L$15&amp;":AN:NULL:FISCAL")</f>
        <v/>
      </c>
      <c r="M133" s="710">
        <f>_xll.BLUEMATRIX2("/servlet/excelData",M132,$E$4,$D133&amp;":"&amp;M$14&amp;M$15&amp;":AN:NULL:FISCAL")</f>
        <v/>
      </c>
      <c r="N133" s="710">
        <f>_xll.BLUEMATRIX2("/servlet/excelData",N132,$E$4,$D133&amp;":"&amp;N$14&amp;N$15&amp;":AN:NULL:FISCAL")</f>
        <v/>
      </c>
    </row>
    <row r="134">
      <c r="A134" s="810" t="n"/>
      <c r="B134" s="782" t="inlineStr">
        <is>
          <t>12Month Forecast Dividend</t>
        </is>
      </c>
      <c r="C134" s="782" t="inlineStr">
        <is>
          <t xml:space="preserve">12 month Dividend </t>
        </is>
      </c>
      <c r="D134" s="783" t="inlineStr">
        <is>
          <t>12M_FORECAST_DIV</t>
        </is>
      </c>
      <c r="E134" s="793" t="n"/>
      <c r="F134" s="793" t="n"/>
      <c r="G134" s="793" t="n"/>
      <c r="H134" s="793" t="n"/>
      <c r="I134" s="793" t="n"/>
      <c r="J134" s="793" t="n"/>
      <c r="K134" s="793" t="n"/>
      <c r="L134" s="793" t="n"/>
      <c r="M134" s="793" t="n"/>
      <c r="N134" s="793" t="n"/>
    </row>
    <row r="135">
      <c r="A135" s="810" t="n"/>
      <c r="B135" s="786" t="inlineStr">
        <is>
          <t>BM Formula &amp; Result</t>
        </is>
      </c>
      <c r="C135" s="787" t="n"/>
      <c r="D135" s="800" t="inlineStr">
        <is>
          <t>12M_FORECAST_DIV</t>
        </is>
      </c>
      <c r="E135" s="710">
        <f>_xll.BLUEMATRIX2("/servlet/excelData",E134,$E$4,$D135&amp;":"&amp;E$14&amp;E$15&amp;":AN:NULL:FISCAL")</f>
        <v/>
      </c>
      <c r="F135" s="710">
        <f>_xll.BLUEMATRIX2("/servlet/excelData",F134,$E$4,$D135&amp;":"&amp;F$14&amp;F$15&amp;":AN:NULL:FISCAL")</f>
        <v/>
      </c>
      <c r="G135" s="710">
        <f>_xll.BLUEMATRIX2("/servlet/excelData",G134,$E$4,$D135&amp;":"&amp;G$14&amp;G$15&amp;":AN:NULL:FISCAL")</f>
        <v/>
      </c>
      <c r="H135" s="710">
        <f>_xll.BLUEMATRIX2("/servlet/excelData",H134,$E$4,$D135&amp;":"&amp;H$14&amp;H$15&amp;":AN:NULL:FISCAL")</f>
        <v/>
      </c>
      <c r="I135" s="710">
        <f>_xll.BLUEMATRIX2("/servlet/excelData",I134,$E$4,$D135&amp;":"&amp;I$14&amp;I$15&amp;":AN:NULL:FISCAL")</f>
        <v/>
      </c>
      <c r="J135" s="710">
        <f>_xll.BLUEMATRIX2("/servlet/excelData",J134,$E$4,$D135&amp;":"&amp;J$14&amp;J$15&amp;":AN:NULL:FISCAL")</f>
        <v/>
      </c>
      <c r="K135" s="710">
        <f>_xll.BLUEMATRIX2("/servlet/excelData",K134,$E$4,$D135&amp;":"&amp;K$14&amp;K$15&amp;":AN:NULL:FISCAL")</f>
        <v/>
      </c>
      <c r="L135" s="710">
        <f>_xll.BLUEMATRIX2("/servlet/excelData",L134,$E$4,$D135&amp;":"&amp;L$14&amp;L$15&amp;":AN:NULL:FISCAL")</f>
        <v/>
      </c>
      <c r="M135" s="710">
        <f>_xll.BLUEMATRIX2("/servlet/excelData",M134,$E$4,$D135&amp;":"&amp;M$14&amp;M$15&amp;":AN:NULL:FISCAL")</f>
        <v/>
      </c>
      <c r="N135" s="710">
        <f>_xll.BLUEMATRIX2("/servlet/excelData",N134,$E$4,$D135&amp;":"&amp;N$14&amp;N$15&amp;":AN:NULL:FISCAL")</f>
        <v/>
      </c>
    </row>
    <row r="136">
      <c r="A136" s="810" t="n"/>
      <c r="B136" s="782" t="inlineStr">
        <is>
          <t>Normalised Tax Rate (%)</t>
        </is>
      </c>
      <c r="C136" s="776" t="inlineStr">
        <is>
          <t>Normative tax rate % ie long term tax rate, excluding short term positive effects.</t>
        </is>
      </c>
      <c r="D136" s="783" t="inlineStr">
        <is>
          <t>NormalisedTaxRate</t>
        </is>
      </c>
      <c r="E136" s="836">
        <f>FS_Y!Q166</f>
        <v/>
      </c>
      <c r="F136" s="836">
        <f>FS_Y!R166</f>
        <v/>
      </c>
      <c r="G136" s="836">
        <f>FS_Y!S166</f>
        <v/>
      </c>
      <c r="H136" s="836">
        <f>FS_Y!T166</f>
        <v/>
      </c>
      <c r="I136" s="836">
        <f>FS_Y!U166</f>
        <v/>
      </c>
      <c r="J136" s="836">
        <f>FS_Y!V166</f>
        <v/>
      </c>
      <c r="K136" s="836">
        <f>FS_Y!W166</f>
        <v/>
      </c>
      <c r="L136" s="793" t="n"/>
      <c r="M136" s="793" t="n"/>
      <c r="N136" s="793" t="n"/>
    </row>
    <row r="137">
      <c r="A137" s="810" t="n"/>
      <c r="B137" s="786" t="inlineStr">
        <is>
          <t>BM Formula &amp; Result</t>
        </is>
      </c>
      <c r="C137" s="787" t="n"/>
      <c r="D137" s="800" t="inlineStr">
        <is>
          <t>NormalisedTaxRate</t>
        </is>
      </c>
      <c r="E137" s="710">
        <f>_xll.BLUEMATRIX2("/servlet/excelData",E136,$E$4,$D137&amp;":"&amp;E$14&amp;E$15&amp;":AN:NULL:FISCAL")</f>
        <v/>
      </c>
      <c r="F137" s="710">
        <f>_xll.BLUEMATRIX2("/servlet/excelData",F136,$E$4,$D137&amp;":"&amp;F$14&amp;F$15&amp;":AN:NULL:FISCAL")</f>
        <v/>
      </c>
      <c r="G137" s="710">
        <f>_xll.BLUEMATRIX2("/servlet/excelData",G136,$E$4,$D137&amp;":"&amp;G$14&amp;G$15&amp;":AN:NULL:FISCAL")</f>
        <v/>
      </c>
      <c r="H137" s="710">
        <f>_xll.BLUEMATRIX2("/servlet/excelData",H136,$E$4,$D137&amp;":"&amp;H$14&amp;H$15&amp;":AN:NULL:FISCAL")</f>
        <v/>
      </c>
      <c r="I137" s="710">
        <f>_xll.BLUEMATRIX2("/servlet/excelData",I136,$E$4,$D137&amp;":"&amp;I$14&amp;I$15&amp;":AN:NULL:FISCAL")</f>
        <v/>
      </c>
      <c r="J137" s="710">
        <f>_xll.BLUEMATRIX2("/servlet/excelData",J136,$E$4,$D137&amp;":"&amp;J$14&amp;J$15&amp;":AN:NULL:FISCAL")</f>
        <v/>
      </c>
      <c r="K137" s="710">
        <f>_xll.BLUEMATRIX2("/servlet/excelData",K136,$E$4,$D137&amp;":"&amp;K$14&amp;K$15&amp;":AN:NULL:FISCAL")</f>
        <v/>
      </c>
      <c r="L137" s="710">
        <f>_xll.BLUEMATRIX2("/servlet/excelData",L136,$E$4,$D137&amp;":"&amp;L$14&amp;L$15&amp;":AN:NULL:FISCAL")</f>
        <v/>
      </c>
      <c r="M137" s="710">
        <f>_xll.BLUEMATRIX2("/servlet/excelData",M136,$E$4,$D137&amp;":"&amp;M$14&amp;M$15&amp;":AN:NULL:FISCAL")</f>
        <v/>
      </c>
      <c r="N137" s="710">
        <f>_xll.BLUEMATRIX2("/servlet/excelData",N136,$E$4,$D137&amp;":"&amp;N$14&amp;N$15&amp;":AN:NULL:FISCAL")</f>
        <v/>
      </c>
    </row>
    <row r="138">
      <c r="A138" s="810" t="n"/>
      <c r="B138" s="782" t="inlineStr">
        <is>
          <t>Net Income Growth (%)</t>
        </is>
      </c>
      <c r="C138" s="782" t="inlineStr">
        <is>
          <t>Net income excl. except. &amp; impairment yoy growth</t>
        </is>
      </c>
      <c r="D138" s="783" t="inlineStr">
        <is>
          <t>NetIncomeGrowth</t>
        </is>
      </c>
      <c r="E138" s="836">
        <f>FS_Y!Q27/FS_Y!P27-1</f>
        <v/>
      </c>
      <c r="F138" s="836">
        <f>FS_Y!R27/FS_Y!Q27-1</f>
        <v/>
      </c>
      <c r="G138" s="836">
        <f>FS_Y!S27/FS_Y!R27-1</f>
        <v/>
      </c>
      <c r="H138" s="836">
        <f>FS_Y!T27/FS_Y!S27-1</f>
        <v/>
      </c>
      <c r="I138" s="836">
        <f>FS_Y!U27/FS_Y!T27-1</f>
        <v/>
      </c>
      <c r="J138" s="836">
        <f>FS_Y!V27/FS_Y!U27-1</f>
        <v/>
      </c>
      <c r="K138" s="836">
        <f>FS_Y!W27/FS_Y!V27-1</f>
        <v/>
      </c>
      <c r="L138" s="793" t="n"/>
      <c r="M138" s="793" t="n"/>
      <c r="N138" s="793" t="n"/>
    </row>
    <row r="139">
      <c r="A139" s="810" t="n"/>
      <c r="B139" s="786" t="inlineStr">
        <is>
          <t>BM Formula &amp; Result</t>
        </is>
      </c>
      <c r="C139" s="787" t="n"/>
      <c r="D139" s="800" t="inlineStr">
        <is>
          <t>NetIncomeGrowth</t>
        </is>
      </c>
      <c r="E139" s="710">
        <f>_xll.BLUEMATRIX2("/servlet/excelData",E138,$E$4,$D139&amp;":"&amp;E$14&amp;E$15&amp;":AN:NULL:FISCAL")</f>
        <v/>
      </c>
      <c r="F139" s="710">
        <f>_xll.BLUEMATRIX2("/servlet/excelData",F138,$E$4,$D139&amp;":"&amp;F$14&amp;F$15&amp;":AN:NULL:FISCAL")</f>
        <v/>
      </c>
      <c r="G139" s="710">
        <f>_xll.BLUEMATRIX2("/servlet/excelData",G138,$E$4,$D139&amp;":"&amp;G$14&amp;G$15&amp;":AN:NULL:FISCAL")</f>
        <v/>
      </c>
      <c r="H139" s="710">
        <f>_xll.BLUEMATRIX2("/servlet/excelData",H138,$E$4,$D139&amp;":"&amp;H$14&amp;H$15&amp;":AN:NULL:FISCAL")</f>
        <v/>
      </c>
      <c r="I139" s="710">
        <f>_xll.BLUEMATRIX2("/servlet/excelData",I138,$E$4,$D139&amp;":"&amp;I$14&amp;I$15&amp;":AN:NULL:FISCAL")</f>
        <v/>
      </c>
      <c r="J139" s="710">
        <f>_xll.BLUEMATRIX2("/servlet/excelData",J138,$E$4,$D139&amp;":"&amp;J$14&amp;J$15&amp;":AN:NULL:FISCAL")</f>
        <v/>
      </c>
      <c r="K139" s="710">
        <f>_xll.BLUEMATRIX2("/servlet/excelData",K138,$E$4,$D139&amp;":"&amp;K$14&amp;K$15&amp;":AN:NULL:FISCAL")</f>
        <v/>
      </c>
      <c r="L139" s="710">
        <f>_xll.BLUEMATRIX2("/servlet/excelData",L138,$E$4,$D139&amp;":"&amp;L$14&amp;L$15&amp;":AN:NULL:FISCAL")</f>
        <v/>
      </c>
      <c r="M139" s="710">
        <f>_xll.BLUEMATRIX2("/servlet/excelData",M138,$E$4,$D139&amp;":"&amp;M$14&amp;M$15&amp;":AN:NULL:FISCAL")</f>
        <v/>
      </c>
      <c r="N139" s="710">
        <f>_xll.BLUEMATRIX2("/servlet/excelData",N138,$E$4,$D139&amp;":"&amp;N$14&amp;N$15&amp;":AN:NULL:FISCAL")</f>
        <v/>
      </c>
    </row>
    <row r="140">
      <c r="A140" s="810" t="n"/>
      <c r="B140" s="782" t="inlineStr">
        <is>
          <t>Adjusted Net Income (M)</t>
        </is>
      </c>
      <c r="C140" s="776" t="inlineStr">
        <is>
          <t xml:space="preserve">Ordinary net income:  reported net income adjusted for non recurring items, net of tax and minority interests </t>
        </is>
      </c>
      <c r="D140" s="783" t="inlineStr">
        <is>
          <t>AdjNetIncome</t>
        </is>
      </c>
      <c r="E140" s="793" t="n"/>
      <c r="F140" s="793" t="n"/>
      <c r="G140" s="793" t="n"/>
      <c r="H140" s="793" t="n"/>
      <c r="I140" s="793" t="n"/>
      <c r="J140" s="793" t="n"/>
      <c r="K140" s="793" t="n"/>
      <c r="L140" s="793" t="n"/>
      <c r="M140" s="793" t="n"/>
      <c r="N140" s="793" t="n"/>
    </row>
    <row r="141">
      <c r="A141" s="810" t="n"/>
      <c r="B141" s="786" t="inlineStr">
        <is>
          <t>BM Formula &amp; Result</t>
        </is>
      </c>
      <c r="C141" s="787" t="n"/>
      <c r="D141" s="800" t="inlineStr">
        <is>
          <t>AdjNetIncome</t>
        </is>
      </c>
      <c r="E141" s="818">
        <f>_xll.BLUEMATRIX2("/servlet/excelData",E140,$E$4,$D141&amp;":"&amp;E$14&amp;E$15&amp;":AN:NULL:FISCAL")</f>
        <v/>
      </c>
      <c r="F141" s="818">
        <f>_xll.BLUEMATRIX2("/servlet/excelData",F140,$E$4,$D141&amp;":"&amp;F$14&amp;F$15&amp;":AN:NULL:FISCAL")</f>
        <v/>
      </c>
      <c r="G141" s="818">
        <f>_xll.BLUEMATRIX2("/servlet/excelData",G140,$E$4,$D141&amp;":"&amp;G$14&amp;G$15&amp;":AN:NULL:FISCAL")</f>
        <v/>
      </c>
      <c r="H141" s="818">
        <f>_xll.BLUEMATRIX2("/servlet/excelData",H140,$E$4,$D141&amp;":"&amp;H$14&amp;H$15&amp;":AN:NULL:FISCAL")</f>
        <v/>
      </c>
      <c r="I141" s="818">
        <f>_xll.BLUEMATRIX2("/servlet/excelData",I140,$E$4,$D141&amp;":"&amp;I$14&amp;I$15&amp;":AN:NULL:FISCAL")</f>
        <v/>
      </c>
      <c r="J141" s="818">
        <f>_xll.BLUEMATRIX2("/servlet/excelData",J140,$E$4,$D141&amp;":"&amp;J$14&amp;J$15&amp;":AN:NULL:FISCAL")</f>
        <v/>
      </c>
      <c r="K141" s="818">
        <f>_xll.BLUEMATRIX2("/servlet/excelData",K140,$E$4,$D141&amp;":"&amp;K$14&amp;K$15&amp;":AN:NULL:FISCAL")</f>
        <v/>
      </c>
      <c r="L141" s="710">
        <f>_xll.BLUEMATRIX2("/servlet/excelData",L140,$E$4,$D141&amp;":"&amp;L$14&amp;L$15&amp;":AN:NULL:FISCAL")</f>
        <v/>
      </c>
      <c r="M141" s="710">
        <f>_xll.BLUEMATRIX2("/servlet/excelData",M140,$E$4,$D141&amp;":"&amp;M$14&amp;M$15&amp;":AN:NULL:FISCAL")</f>
        <v/>
      </c>
      <c r="N141" s="710">
        <f>_xll.BLUEMATRIX2("/servlet/excelData",N140,$E$4,$D141&amp;":"&amp;N$14&amp;N$15&amp;":AN:NULL:FISCAL")</f>
        <v/>
      </c>
    </row>
    <row r="142">
      <c r="A142" s="811" t="inlineStr">
        <is>
          <t>RATIOS</t>
        </is>
      </c>
      <c r="B142" s="795" t="inlineStr">
        <is>
          <t>EBIT After Normative Tax Rate (M)</t>
        </is>
      </c>
      <c r="C142" s="795" t="n"/>
      <c r="D142" s="797" t="inlineStr">
        <is>
          <t>EBITA_AFTER_NORMATIVE_TAX</t>
        </is>
      </c>
      <c r="E142" s="835">
        <f>(FS_Y!Q167)/1000</f>
        <v/>
      </c>
      <c r="F142" s="835">
        <f>(FS_Y!R167)/1000</f>
        <v/>
      </c>
      <c r="G142" s="835">
        <f>(FS_Y!S167)/1000</f>
        <v/>
      </c>
      <c r="H142" s="835">
        <f>(FS_Y!T167)/1000</f>
        <v/>
      </c>
      <c r="I142" s="835">
        <f>(FS_Y!U167)/1000</f>
        <v/>
      </c>
      <c r="J142" s="835">
        <f>(FS_Y!V167)/1000</f>
        <v/>
      </c>
      <c r="K142" s="835">
        <f>(FS_Y!W167)/1000</f>
        <v/>
      </c>
      <c r="L142" s="805" t="n"/>
      <c r="M142" s="805" t="n"/>
      <c r="N142" s="805" t="n"/>
    </row>
    <row r="143">
      <c r="A143" s="812" t="n"/>
      <c r="B143" s="786" t="inlineStr">
        <is>
          <t>BM Formula &amp; Result</t>
        </is>
      </c>
      <c r="C143" s="787" t="n"/>
      <c r="D143" s="800" t="inlineStr">
        <is>
          <t>EBITA_AFTER_NORMATIVE_TAX</t>
        </is>
      </c>
      <c r="E143" s="710">
        <f>_xll.BLUEMATRIX2("/servlet/excelData",E142,$E$4,$D143&amp;":"&amp;E$14&amp;E$15&amp;":AN:NULL:FISCAL")</f>
        <v/>
      </c>
      <c r="F143" s="710">
        <f>_xll.BLUEMATRIX2("/servlet/excelData",F142,$E$4,$D143&amp;":"&amp;F$14&amp;F$15&amp;":AN:NULL:FISCAL")</f>
        <v/>
      </c>
      <c r="G143" s="710">
        <f>_xll.BLUEMATRIX2("/servlet/excelData",G142,$E$4,$D143&amp;":"&amp;G$14&amp;G$15&amp;":AN:NULL:FISCAL")</f>
        <v/>
      </c>
      <c r="H143" s="710">
        <f>_xll.BLUEMATRIX2("/servlet/excelData",H142,$E$4,$D143&amp;":"&amp;H$14&amp;H$15&amp;":AN:NULL:FISCAL")</f>
        <v/>
      </c>
      <c r="I143" s="710">
        <f>_xll.BLUEMATRIX2("/servlet/excelData",I142,$E$4,$D143&amp;":"&amp;I$14&amp;I$15&amp;":AN:NULL:FISCAL")</f>
        <v/>
      </c>
      <c r="J143" s="710">
        <f>_xll.BLUEMATRIX2("/servlet/excelData",J142,$E$4,$D143&amp;":"&amp;J$14&amp;J$15&amp;":AN:NULL:FISCAL")</f>
        <v/>
      </c>
      <c r="K143" s="710">
        <f>_xll.BLUEMATRIX2("/servlet/excelData",K142,$E$4,$D143&amp;":"&amp;K$14&amp;K$15&amp;":AN:NULL:FISCAL")</f>
        <v/>
      </c>
      <c r="L143" s="710">
        <f>_xll.BLUEMATRIX2("/servlet/excelData",L142,$E$4,$D143&amp;":"&amp;L$14&amp;L$15&amp;":AN:NULL:FISCAL")</f>
        <v/>
      </c>
      <c r="M143" s="710">
        <f>_xll.BLUEMATRIX2("/servlet/excelData",M142,$E$4,$D143&amp;":"&amp;M$14&amp;M$15&amp;":AN:NULL:FISCAL")</f>
        <v/>
      </c>
      <c r="N143" s="710">
        <f>_xll.BLUEMATRIX2("/servlet/excelData",N142,$E$4,$D143&amp;":"&amp;N$14&amp;N$15&amp;":AN:NULL:FISCAL")</f>
        <v/>
      </c>
    </row>
    <row r="144">
      <c r="A144" s="812" t="n"/>
      <c r="B144" s="782" t="inlineStr">
        <is>
          <t>ROCE (%)</t>
        </is>
      </c>
      <c r="C144" s="782" t="n"/>
      <c r="D144" s="783" t="inlineStr">
        <is>
          <t>ROCE</t>
        </is>
      </c>
      <c r="E144" s="836">
        <f>E106/E54</f>
        <v/>
      </c>
      <c r="F144" s="836">
        <f>F106/F54</f>
        <v/>
      </c>
      <c r="G144" s="836">
        <f>G106/G54</f>
        <v/>
      </c>
      <c r="H144" s="836">
        <f>H106/H54</f>
        <v/>
      </c>
      <c r="I144" s="836">
        <f>I106/I54</f>
        <v/>
      </c>
      <c r="J144" s="836">
        <f>J106/J54</f>
        <v/>
      </c>
      <c r="K144" s="836">
        <f>K106/K54</f>
        <v/>
      </c>
      <c r="L144" s="793" t="n"/>
      <c r="M144" s="793" t="n"/>
      <c r="N144" s="793" t="n"/>
    </row>
    <row r="145">
      <c r="A145" s="812" t="n"/>
      <c r="B145" s="786" t="inlineStr">
        <is>
          <t>BM Formula &amp; Result</t>
        </is>
      </c>
      <c r="C145" s="787" t="n"/>
      <c r="D145" s="800" t="inlineStr">
        <is>
          <t>ROCE</t>
        </is>
      </c>
      <c r="E145" s="710">
        <f>_xll.BLUEMATRIX2("/servlet/excelData",E144,$E$4,$D145&amp;":"&amp;E$14&amp;E$15&amp;":AN:NULL:FISCAL")</f>
        <v/>
      </c>
      <c r="F145" s="710">
        <f>_xll.BLUEMATRIX2("/servlet/excelData",F144,$E$4,$D145&amp;":"&amp;F$14&amp;F$15&amp;":AN:NULL:FISCAL")</f>
        <v/>
      </c>
      <c r="G145" s="710">
        <f>_xll.BLUEMATRIX2("/servlet/excelData",G144,$E$4,$D145&amp;":"&amp;G$14&amp;G$15&amp;":AN:NULL:FISCAL")</f>
        <v/>
      </c>
      <c r="H145" s="710">
        <f>_xll.BLUEMATRIX2("/servlet/excelData",H144,$E$4,$D145&amp;":"&amp;H$14&amp;H$15&amp;":AN:NULL:FISCAL")</f>
        <v/>
      </c>
      <c r="I145" s="710">
        <f>_xll.BLUEMATRIX2("/servlet/excelData",I144,$E$4,$D145&amp;":"&amp;I$14&amp;I$15&amp;":AN:NULL:FISCAL")</f>
        <v/>
      </c>
      <c r="J145" s="710">
        <f>_xll.BLUEMATRIX2("/servlet/excelData",J144,$E$4,$D145&amp;":"&amp;J$14&amp;J$15&amp;":AN:NULL:FISCAL")</f>
        <v/>
      </c>
      <c r="K145" s="710">
        <f>_xll.BLUEMATRIX2("/servlet/excelData",K144,$E$4,$D145&amp;":"&amp;K$14&amp;K$15&amp;":AN:NULL:FISCAL")</f>
        <v/>
      </c>
      <c r="L145" s="710">
        <f>_xll.BLUEMATRIX2("/servlet/excelData",L144,$E$4,$D145&amp;":"&amp;L$14&amp;L$15&amp;":AN:NULL:FISCAL")</f>
        <v/>
      </c>
      <c r="M145" s="710">
        <f>_xll.BLUEMATRIX2("/servlet/excelData",M144,$E$4,$D145&amp;":"&amp;M$14&amp;M$15&amp;":AN:NULL:FISCAL")</f>
        <v/>
      </c>
      <c r="N145" s="710">
        <f>_xll.BLUEMATRIX2("/servlet/excelData",N144,$E$4,$D145&amp;":"&amp;N$14&amp;N$15&amp;":AN:NULL:FISCAL")</f>
        <v/>
      </c>
    </row>
    <row r="146">
      <c r="A146" s="812" t="n"/>
      <c r="B146" s="782" t="inlineStr">
        <is>
          <t>ROE (%)</t>
        </is>
      </c>
      <c r="C146" s="782" t="n"/>
      <c r="D146" s="783" t="inlineStr">
        <is>
          <t>ROE</t>
        </is>
      </c>
      <c r="E146" s="949">
        <f>FS_Y!Q178</f>
        <v/>
      </c>
      <c r="F146" s="949">
        <f>FS_Y!R178</f>
        <v/>
      </c>
      <c r="G146" s="949">
        <f>FS_Y!S178</f>
        <v/>
      </c>
      <c r="H146" s="949">
        <f>FS_Y!T178</f>
        <v/>
      </c>
      <c r="I146" s="949">
        <f>FS_Y!U178</f>
        <v/>
      </c>
      <c r="J146" s="949">
        <f>FS_Y!V178</f>
        <v/>
      </c>
      <c r="K146" s="949">
        <f>FS_Y!W178</f>
        <v/>
      </c>
      <c r="L146" s="793" t="n"/>
      <c r="M146" s="793" t="n"/>
      <c r="N146" s="793" t="n"/>
    </row>
    <row r="147">
      <c r="A147" s="812" t="n"/>
      <c r="B147" s="786" t="inlineStr">
        <is>
          <t>BM Formula &amp; Result</t>
        </is>
      </c>
      <c r="C147" s="787" t="n"/>
      <c r="D147" s="800" t="inlineStr">
        <is>
          <t>ROE</t>
        </is>
      </c>
      <c r="E147" s="710">
        <f>_xll.BLUEMATRIX2("/servlet/excelData",E146,$E$4,$D147&amp;":"&amp;E$14&amp;E$15&amp;":AN:NULL:FISCAL")</f>
        <v/>
      </c>
      <c r="F147" s="710">
        <f>_xll.BLUEMATRIX2("/servlet/excelData",F146,$E$4,$D147&amp;":"&amp;F$14&amp;F$15&amp;":AN:NULL:FISCAL")</f>
        <v/>
      </c>
      <c r="G147" s="710">
        <f>_xll.BLUEMATRIX2("/servlet/excelData",G146,$E$4,$D147&amp;":"&amp;G$14&amp;G$15&amp;":AN:NULL:FISCAL")</f>
        <v/>
      </c>
      <c r="H147" s="710">
        <f>_xll.BLUEMATRIX2("/servlet/excelData",H146,$E$4,$D147&amp;":"&amp;H$14&amp;H$15&amp;":AN:NULL:FISCAL")</f>
        <v/>
      </c>
      <c r="I147" s="710">
        <f>_xll.BLUEMATRIX2("/servlet/excelData",I146,$E$4,$D147&amp;":"&amp;I$14&amp;I$15&amp;":AN:NULL:FISCAL")</f>
        <v/>
      </c>
      <c r="J147" s="710">
        <f>_xll.BLUEMATRIX2("/servlet/excelData",J146,$E$4,$D147&amp;":"&amp;J$14&amp;J$15&amp;":AN:NULL:FISCAL")</f>
        <v/>
      </c>
      <c r="K147" s="710">
        <f>_xll.BLUEMATRIX2("/servlet/excelData",K146,$E$4,$D147&amp;":"&amp;K$14&amp;K$15&amp;":AN:NULL:FISCAL")</f>
        <v/>
      </c>
      <c r="L147" s="710">
        <f>_xll.BLUEMATRIX2("/servlet/excelData",L146,$E$4,$D147&amp;":"&amp;L$14&amp;L$15&amp;":AN:NULL:FISCAL")</f>
        <v/>
      </c>
      <c r="M147" s="710">
        <f>_xll.BLUEMATRIX2("/servlet/excelData",M146,$E$4,$D147&amp;":"&amp;M$14&amp;M$15&amp;":AN:NULL:FISCAL")</f>
        <v/>
      </c>
      <c r="N147" s="710">
        <f>_xll.BLUEMATRIX2("/servlet/excelData",N146,$E$4,$D147&amp;":"&amp;N$14&amp;N$15&amp;":AN:NULL:FISCAL")</f>
        <v/>
      </c>
    </row>
    <row r="148">
      <c r="A148" s="812" t="n"/>
      <c r="B148" s="782" t="inlineStr">
        <is>
          <t>ROIC (%)</t>
        </is>
      </c>
      <c r="C148" s="782" t="n"/>
      <c r="D148" s="783" t="inlineStr">
        <is>
          <t>ROIC</t>
        </is>
      </c>
      <c r="E148" s="949">
        <f>FS_Y!Q177</f>
        <v/>
      </c>
      <c r="F148" s="949">
        <f>FS_Y!R177</f>
        <v/>
      </c>
      <c r="G148" s="949">
        <f>FS_Y!S177</f>
        <v/>
      </c>
      <c r="H148" s="949">
        <f>FS_Y!T177</f>
        <v/>
      </c>
      <c r="I148" s="949">
        <f>FS_Y!U177</f>
        <v/>
      </c>
      <c r="J148" s="949">
        <f>FS_Y!V177</f>
        <v/>
      </c>
      <c r="K148" s="949">
        <f>FS_Y!W177</f>
        <v/>
      </c>
      <c r="L148" s="793" t="n"/>
      <c r="M148" s="793" t="n"/>
      <c r="N148" s="793" t="n"/>
    </row>
    <row r="149">
      <c r="A149" s="812" t="n"/>
      <c r="B149" s="786" t="inlineStr">
        <is>
          <t>BM Formula &amp; Result</t>
        </is>
      </c>
      <c r="C149" s="787" t="n"/>
      <c r="D149" s="800" t="inlineStr">
        <is>
          <t>ROIC</t>
        </is>
      </c>
      <c r="E149" s="710">
        <f>_xll.BLUEMATRIX2("/servlet/excelData",E148,$E$4,$D149&amp;":"&amp;E$14&amp;E$15&amp;":AN:NULL:FISCAL")</f>
        <v/>
      </c>
      <c r="F149" s="710">
        <f>_xll.BLUEMATRIX2("/servlet/excelData",F148,$E$4,$D149&amp;":"&amp;F$14&amp;F$15&amp;":AN:NULL:FISCAL")</f>
        <v/>
      </c>
      <c r="G149" s="710">
        <f>_xll.BLUEMATRIX2("/servlet/excelData",G148,$E$4,$D149&amp;":"&amp;G$14&amp;G$15&amp;":AN:NULL:FISCAL")</f>
        <v/>
      </c>
      <c r="H149" s="710">
        <f>_xll.BLUEMATRIX2("/servlet/excelData",H148,$E$4,$D149&amp;":"&amp;H$14&amp;H$15&amp;":AN:NULL:FISCAL")</f>
        <v/>
      </c>
      <c r="I149" s="710">
        <f>_xll.BLUEMATRIX2("/servlet/excelData",I148,$E$4,$D149&amp;":"&amp;I$14&amp;I$15&amp;":AN:NULL:FISCAL")</f>
        <v/>
      </c>
      <c r="J149" s="710">
        <f>_xll.BLUEMATRIX2("/servlet/excelData",J148,$E$4,$D149&amp;":"&amp;J$14&amp;J$15&amp;":AN:NULL:FISCAL")</f>
        <v/>
      </c>
      <c r="K149" s="710">
        <f>_xll.BLUEMATRIX2("/servlet/excelData",K148,$E$4,$D149&amp;":"&amp;K$14&amp;K$15&amp;":AN:NULL:FISCAL")</f>
        <v/>
      </c>
      <c r="L149" s="710">
        <f>_xll.BLUEMATRIX2("/servlet/excelData",L148,$E$4,$D149&amp;":"&amp;L$14&amp;L$15&amp;":AN:NULL:FISCAL")</f>
        <v/>
      </c>
      <c r="M149" s="710">
        <f>_xll.BLUEMATRIX2("/servlet/excelData",M148,$E$4,$D149&amp;":"&amp;M$14&amp;M$15&amp;":AN:NULL:FISCAL")</f>
        <v/>
      </c>
      <c r="N149" s="710">
        <f>_xll.BLUEMATRIX2("/servlet/excelData",N148,$E$4,$D149&amp;":"&amp;N$14&amp;N$15&amp;":AN:NULL:FISCAL")</f>
        <v/>
      </c>
    </row>
    <row r="150">
      <c r="A150" s="813" t="inlineStr">
        <is>
          <t>STOCK</t>
        </is>
      </c>
      <c r="B150" s="795" t="inlineStr">
        <is>
          <t>Dividend/Share</t>
        </is>
      </c>
      <c r="C150" s="796" t="inlineStr">
        <is>
          <t>Dividend paid to shareholders voted during the fiscal year (payable in the following year)</t>
        </is>
      </c>
      <c r="D150" s="797" t="inlineStr">
        <is>
          <t>DIVPS</t>
        </is>
      </c>
      <c r="E150" s="805" t="n"/>
      <c r="F150" s="805" t="n"/>
      <c r="G150" s="805" t="n"/>
      <c r="H150" s="805" t="n"/>
      <c r="I150" s="805" t="n"/>
      <c r="J150" s="805" t="n"/>
      <c r="K150" s="805" t="n"/>
      <c r="L150" s="805" t="n"/>
      <c r="M150" s="805" t="n"/>
      <c r="N150" s="805" t="n"/>
    </row>
    <row r="151">
      <c r="A151" s="814" t="n"/>
      <c r="B151" s="786" t="inlineStr">
        <is>
          <t>BM Formula &amp; Result</t>
        </is>
      </c>
      <c r="C151" s="787" t="n"/>
      <c r="D151" s="800" t="inlineStr">
        <is>
          <t>DIVPS</t>
        </is>
      </c>
      <c r="E151" s="710">
        <f>_xll.BLUEMATRIX2("/servlet/excelData",E150,$E$4,$D151&amp;":"&amp;E$14&amp;E$15&amp;":AN:NULL:FISCAL")</f>
        <v/>
      </c>
      <c r="F151" s="710">
        <f>_xll.BLUEMATRIX2("/servlet/excelData",F150,$E$4,$D151&amp;":"&amp;F$14&amp;F$15&amp;":AN:NULL:FISCAL")</f>
        <v/>
      </c>
      <c r="G151" s="710">
        <f>_xll.BLUEMATRIX2("/servlet/excelData",G150,$E$4,$D151&amp;":"&amp;G$14&amp;G$15&amp;":AN:NULL:FISCAL")</f>
        <v/>
      </c>
      <c r="H151" s="710">
        <f>_xll.BLUEMATRIX2("/servlet/excelData",H150,$E$4,$D151&amp;":"&amp;H$14&amp;H$15&amp;":AN:NULL:FISCAL")</f>
        <v/>
      </c>
      <c r="I151" s="710">
        <f>_xll.BLUEMATRIX2("/servlet/excelData",I150,$E$4,$D151&amp;":"&amp;I$14&amp;I$15&amp;":AN:NULL:FISCAL")</f>
        <v/>
      </c>
      <c r="J151" s="710">
        <f>_xll.BLUEMATRIX2("/servlet/excelData",J150,$E$4,$D151&amp;":"&amp;J$14&amp;J$15&amp;":AN:NULL:FISCAL")</f>
        <v/>
      </c>
      <c r="K151" s="710">
        <f>_xll.BLUEMATRIX2("/servlet/excelData",K150,$E$4,$D151&amp;":"&amp;K$14&amp;K$15&amp;":AN:NULL:FISCAL")</f>
        <v/>
      </c>
      <c r="L151" s="710">
        <f>_xll.BLUEMATRIX2("/servlet/excelData",L150,$E$4,$D151&amp;":"&amp;L$14&amp;L$15&amp;":AN:NULL:FISCAL")</f>
        <v/>
      </c>
      <c r="M151" s="710">
        <f>_xll.BLUEMATRIX2("/servlet/excelData",M150,$E$4,$D151&amp;":"&amp;M$14&amp;M$15&amp;":AN:NULL:FISCAL")</f>
        <v/>
      </c>
      <c r="N151" s="710">
        <f>_xll.BLUEMATRIX2("/servlet/excelData",N150,$E$4,$D151&amp;":"&amp;N$14&amp;N$15&amp;":AN:NULL:FISCAL")</f>
        <v/>
      </c>
    </row>
    <row r="152">
      <c r="A152" s="814" t="n"/>
      <c r="B152" s="782" t="inlineStr">
        <is>
          <t>Dividend per Share Growth (%)</t>
        </is>
      </c>
      <c r="C152" s="782" t="n"/>
      <c r="D152" s="783" t="inlineStr">
        <is>
          <t>DPS_GROWTH</t>
        </is>
      </c>
      <c r="E152" s="793" t="n"/>
      <c r="F152" s="793" t="n"/>
      <c r="G152" s="793" t="n"/>
      <c r="H152" s="793" t="n"/>
      <c r="I152" s="793" t="n"/>
      <c r="J152" s="793" t="n"/>
      <c r="K152" s="793" t="n"/>
      <c r="L152" s="793" t="n"/>
      <c r="M152" s="793" t="n"/>
      <c r="N152" s="793" t="n"/>
    </row>
    <row r="153">
      <c r="A153" s="814" t="n"/>
      <c r="B153" s="786" t="inlineStr">
        <is>
          <t>BM Formula &amp; Result</t>
        </is>
      </c>
      <c r="C153" s="787" t="n"/>
      <c r="D153" s="800" t="inlineStr">
        <is>
          <t>DPS_GROWTH</t>
        </is>
      </c>
      <c r="E153" s="710">
        <f>_xll.BLUEMATRIX2("/servlet/excelData",E152,$E$4,$D153&amp;":"&amp;E$14&amp;E$15&amp;":AN:NULL:FISCAL")</f>
        <v/>
      </c>
      <c r="F153" s="710">
        <f>_xll.BLUEMATRIX2("/servlet/excelData",F152,$E$4,$D153&amp;":"&amp;F$14&amp;F$15&amp;":AN:NULL:FISCAL")</f>
        <v/>
      </c>
      <c r="G153" s="710">
        <f>_xll.BLUEMATRIX2("/servlet/excelData",G152,$E$4,$D153&amp;":"&amp;G$14&amp;G$15&amp;":AN:NULL:FISCAL")</f>
        <v/>
      </c>
      <c r="H153" s="710">
        <f>_xll.BLUEMATRIX2("/servlet/excelData",H152,$E$4,$D153&amp;":"&amp;H$14&amp;H$15&amp;":AN:NULL:FISCAL")</f>
        <v/>
      </c>
      <c r="I153" s="710">
        <f>_xll.BLUEMATRIX2("/servlet/excelData",I152,$E$4,$D153&amp;":"&amp;I$14&amp;I$15&amp;":AN:NULL:FISCAL")</f>
        <v/>
      </c>
      <c r="J153" s="710">
        <f>_xll.BLUEMATRIX2("/servlet/excelData",J152,$E$4,$D153&amp;":"&amp;J$14&amp;J$15&amp;":AN:NULL:FISCAL")</f>
        <v/>
      </c>
      <c r="K153" s="710">
        <f>_xll.BLUEMATRIX2("/servlet/excelData",K152,$E$4,$D153&amp;":"&amp;K$14&amp;K$15&amp;":AN:NULL:FISCAL")</f>
        <v/>
      </c>
      <c r="L153" s="710">
        <f>_xll.BLUEMATRIX2("/servlet/excelData",L152,$E$4,$D153&amp;":"&amp;L$14&amp;L$15&amp;":AN:NULL:FISCAL")</f>
        <v/>
      </c>
      <c r="M153" s="710">
        <f>_xll.BLUEMATRIX2("/servlet/excelData",M152,$E$4,$D153&amp;":"&amp;M$14&amp;M$15&amp;":AN:NULL:FISCAL")</f>
        <v/>
      </c>
      <c r="N153" s="710">
        <f>_xll.BLUEMATRIX2("/servlet/excelData",N152,$E$4,$D153&amp;":"&amp;N$14&amp;N$15&amp;":AN:NULL:FISCAL")</f>
        <v/>
      </c>
    </row>
    <row r="154">
      <c r="A154" s="814" t="n"/>
      <c r="B154" s="782" t="inlineStr">
        <is>
          <t>EPS Growth (%)</t>
        </is>
      </c>
      <c r="C154" s="782" t="inlineStr">
        <is>
          <t>Net income excluding exceptionals, impairment &amp;  amortisation (used for calculation of EPS adjusted) / (Average fully diluted shares outstanding)</t>
        </is>
      </c>
      <c r="D154" s="783" t="inlineStr">
        <is>
          <t>EPSGROWTH</t>
        </is>
      </c>
      <c r="E154" s="836">
        <f>FS_Y!Q30/FS_Y!P30-1</f>
        <v/>
      </c>
      <c r="F154" s="836">
        <f>FS_Y!R30/FS_Y!Q30-1</f>
        <v/>
      </c>
      <c r="G154" s="836">
        <f>FS_Y!S30/FS_Y!R30-1</f>
        <v/>
      </c>
      <c r="H154" s="836">
        <f>FS_Y!T30/FS_Y!S30-1</f>
        <v/>
      </c>
      <c r="I154" s="836">
        <f>FS_Y!U30/FS_Y!T30-1</f>
        <v/>
      </c>
      <c r="J154" s="836">
        <f>FS_Y!V30/FS_Y!U30-1</f>
        <v/>
      </c>
      <c r="K154" s="836">
        <f>FS_Y!W30/FS_Y!V30-1</f>
        <v/>
      </c>
      <c r="L154" s="793" t="n"/>
      <c r="M154" s="793" t="n"/>
      <c r="N154" s="793" t="n"/>
    </row>
    <row r="155">
      <c r="A155" s="814" t="n"/>
      <c r="B155" s="786" t="inlineStr">
        <is>
          <t>BM Formula &amp; Result</t>
        </is>
      </c>
      <c r="C155" s="787" t="n"/>
      <c r="D155" s="800" t="inlineStr">
        <is>
          <t>EPSGROWTH</t>
        </is>
      </c>
      <c r="E155" s="710">
        <f>_xll.BLUEMATRIX2("/servlet/excelData",E154,$E$4,$D155&amp;":"&amp;E$14&amp;E$15&amp;":AN:NULL:FISCAL")</f>
        <v/>
      </c>
      <c r="F155" s="710">
        <f>_xll.BLUEMATRIX2("/servlet/excelData",F154,$E$4,$D155&amp;":"&amp;F$14&amp;F$15&amp;":AN:NULL:FISCAL")</f>
        <v/>
      </c>
      <c r="G155" s="710">
        <f>_xll.BLUEMATRIX2("/servlet/excelData",G154,$E$4,$D155&amp;":"&amp;G$14&amp;G$15&amp;":AN:NULL:FISCAL")</f>
        <v/>
      </c>
      <c r="H155" s="710">
        <f>_xll.BLUEMATRIX2("/servlet/excelData",H154,$E$4,$D155&amp;":"&amp;H$14&amp;H$15&amp;":AN:NULL:FISCAL")</f>
        <v/>
      </c>
      <c r="I155" s="710">
        <f>_xll.BLUEMATRIX2("/servlet/excelData",I154,$E$4,$D155&amp;":"&amp;I$14&amp;I$15&amp;":AN:NULL:FISCAL")</f>
        <v/>
      </c>
      <c r="J155" s="710">
        <f>_xll.BLUEMATRIX2("/servlet/excelData",J154,$E$4,$D155&amp;":"&amp;J$14&amp;J$15&amp;":AN:NULL:FISCAL")</f>
        <v/>
      </c>
      <c r="K155" s="710">
        <f>_xll.BLUEMATRIX2("/servlet/excelData",K154,$E$4,$D155&amp;":"&amp;K$14&amp;K$15&amp;":AN:NULL:FISCAL")</f>
        <v/>
      </c>
      <c r="L155" s="710">
        <f>_xll.BLUEMATRIX2("/servlet/excelData",L154,$E$4,$D155&amp;":"&amp;L$14&amp;L$15&amp;":AN:NULL:FISCAL")</f>
        <v/>
      </c>
      <c r="M155" s="710">
        <f>_xll.BLUEMATRIX2("/servlet/excelData",M154,$E$4,$D155&amp;":"&amp;M$14&amp;M$15&amp;":AN:NULL:FISCAL")</f>
        <v/>
      </c>
      <c r="N155" s="710">
        <f>_xll.BLUEMATRIX2("/servlet/excelData",N154,$E$4,$D155&amp;":"&amp;N$14&amp;N$15&amp;":AN:NULL:FISCAL")</f>
        <v/>
      </c>
    </row>
    <row r="156">
      <c r="A156" s="814" t="n"/>
      <c r="B156" s="782" t="inlineStr">
        <is>
          <t>Weighted Average Diluted Shares Out.</t>
        </is>
      </c>
      <c r="C156" s="776" t="inlineStr">
        <is>
          <t>Company Average fully diluted shares outstanding (used for calculation of EPS (adjusted &amp; diluted))</t>
        </is>
      </c>
      <c r="D156" s="783" t="inlineStr">
        <is>
          <t>WADilutedSharesOutstanding</t>
        </is>
      </c>
      <c r="E156" s="835">
        <f>(FS_Y!Q33)/1000</f>
        <v/>
      </c>
      <c r="F156" s="835">
        <f>(FS_Y!R33)/1000</f>
        <v/>
      </c>
      <c r="G156" s="835">
        <f>(FS_Y!S33)/1000</f>
        <v/>
      </c>
      <c r="H156" s="835">
        <f>(FS_Y!T33)/1000</f>
        <v/>
      </c>
      <c r="I156" s="835">
        <f>(FS_Y!U33)/1000</f>
        <v/>
      </c>
      <c r="J156" s="835">
        <f>(FS_Y!V33)/1000</f>
        <v/>
      </c>
      <c r="K156" s="835">
        <f>(FS_Y!W33)/1000</f>
        <v/>
      </c>
      <c r="L156" s="793" t="n"/>
      <c r="M156" s="793" t="n"/>
      <c r="N156" s="793" t="n"/>
    </row>
    <row r="157">
      <c r="A157" s="814" t="n"/>
      <c r="B157" s="815" t="inlineStr">
        <is>
          <t>BM Formula &amp; Result</t>
        </is>
      </c>
      <c r="C157" s="816" t="n"/>
      <c r="D157" s="817" t="inlineStr">
        <is>
          <t>WADilutedSharesOutstanding</t>
        </is>
      </c>
      <c r="E157" s="818">
        <f>_xll.BLUEMATRIX2("/servlet/excelData",E156,$E$4,$D157&amp;":"&amp;E$14&amp;E$15&amp;":AN:NULL:FISCAL")</f>
        <v/>
      </c>
      <c r="F157" s="818">
        <f>_xll.BLUEMATRIX2("/servlet/excelData",F156,$E$4,$D157&amp;":"&amp;F$14&amp;F$15&amp;":AN:NULL:FISCAL")</f>
        <v/>
      </c>
      <c r="G157" s="818">
        <f>_xll.BLUEMATRIX2("/servlet/excelData",G156,$E$4,$D157&amp;":"&amp;G$14&amp;G$15&amp;":AN:NULL:FISCAL")</f>
        <v/>
      </c>
      <c r="H157" s="818">
        <f>_xll.BLUEMATRIX2("/servlet/excelData",H156,$E$4,$D157&amp;":"&amp;H$14&amp;H$15&amp;":AN:NULL:FISCAL")</f>
        <v/>
      </c>
      <c r="I157" s="818">
        <f>_xll.BLUEMATRIX2("/servlet/excelData",I156,$E$4,$D157&amp;":"&amp;I$14&amp;I$15&amp;":AN:NULL:FISCAL")</f>
        <v/>
      </c>
      <c r="J157" s="818">
        <f>_xll.BLUEMATRIX2("/servlet/excelData",J156,$E$4,$D157&amp;":"&amp;J$14&amp;J$15&amp;":AN:NULL:FISCAL")</f>
        <v/>
      </c>
      <c r="K157" s="818">
        <f>_xll.BLUEMATRIX2("/servlet/excelData",K156,$E$4,$D157&amp;":"&amp;K$14&amp;K$15&amp;":AN:NULL:FISCAL")</f>
        <v/>
      </c>
      <c r="L157" s="818">
        <f>_xll.BLUEMATRIX2("/servlet/excelData",L156,$E$4,$D157&amp;":"&amp;L$14&amp;L$15&amp;":AN:NULL:FISCAL")</f>
        <v/>
      </c>
      <c r="M157" s="818">
        <f>_xll.BLUEMATRIX2("/servlet/excelData",M156,$E$4,$D157&amp;":"&amp;M$14&amp;M$15&amp;":AN:NULL:FISCAL")</f>
        <v/>
      </c>
      <c r="N157" s="818">
        <f>_xll.BLUEMATRIX2("/servlet/excelData",N156,$E$4,$D157&amp;":"&amp;N$14&amp;N$15&amp;":AN:NULL:FISCAL")</f>
        <v/>
      </c>
    </row>
    <row r="158">
      <c r="A158" s="819" t="inlineStr">
        <is>
          <t>VALUATION</t>
        </is>
      </c>
      <c r="B158" s="782" t="inlineStr">
        <is>
          <t>BV/Share (M)</t>
        </is>
      </c>
      <c r="C158" s="782" t="n"/>
      <c r="D158" s="783" t="inlineStr">
        <is>
          <t>BVPS</t>
        </is>
      </c>
      <c r="E158" s="829">
        <f>FS_Y!Q182</f>
        <v/>
      </c>
      <c r="F158" s="829">
        <f>FS_Y!R182</f>
        <v/>
      </c>
      <c r="G158" s="829">
        <f>FS_Y!S182</f>
        <v/>
      </c>
      <c r="H158" s="829">
        <f>FS_Y!T182</f>
        <v/>
      </c>
      <c r="I158" s="829">
        <f>FS_Y!U182</f>
        <v/>
      </c>
      <c r="J158" s="829">
        <f>FS_Y!V182</f>
        <v/>
      </c>
      <c r="K158" s="829">
        <f>FS_Y!W182</f>
        <v/>
      </c>
      <c r="L158" s="793" t="n"/>
      <c r="M158" s="793" t="n"/>
      <c r="N158" s="793" t="n"/>
    </row>
    <row r="159">
      <c r="A159" s="820" t="n"/>
      <c r="B159" s="815" t="inlineStr">
        <is>
          <t>BM Formula &amp; Result</t>
        </is>
      </c>
      <c r="C159" s="816" t="n"/>
      <c r="D159" s="817" t="inlineStr">
        <is>
          <t>BVPS</t>
        </is>
      </c>
      <c r="E159" s="818">
        <f>_xll.BLUEMATRIX2("/servlet/excelData",E158,$E$4,$D159&amp;":"&amp;E$14&amp;E$15&amp;":AN:NULL:FISCAL")</f>
        <v/>
      </c>
      <c r="F159" s="818">
        <f>_xll.BLUEMATRIX2("/servlet/excelData",F158,$E$4,$D159&amp;":"&amp;F$14&amp;F$15&amp;":AN:NULL:FISCAL")</f>
        <v/>
      </c>
      <c r="G159" s="818">
        <f>_xll.BLUEMATRIX2("/servlet/excelData",G158,$E$4,$D159&amp;":"&amp;G$14&amp;G$15&amp;":AN:NULL:FISCAL")</f>
        <v/>
      </c>
      <c r="H159" s="818">
        <f>_xll.BLUEMATRIX2("/servlet/excelData",H158,$E$4,$D159&amp;":"&amp;H$14&amp;H$15&amp;":AN:NULL:FISCAL")</f>
        <v/>
      </c>
      <c r="I159" s="818">
        <f>_xll.BLUEMATRIX2("/servlet/excelData",I158,$E$4,$D159&amp;":"&amp;I$14&amp;I$15&amp;":AN:NULL:FISCAL")</f>
        <v/>
      </c>
      <c r="J159" s="818">
        <f>_xll.BLUEMATRIX2("/servlet/excelData",J158,$E$4,$D159&amp;":"&amp;J$14&amp;J$15&amp;":AN:NULL:FISCAL")</f>
        <v/>
      </c>
      <c r="K159" s="818">
        <f>_xll.BLUEMATRIX2("/servlet/excelData",K158,$E$4,$D159&amp;":"&amp;K$14&amp;K$15&amp;":AN:NULL:FISCAL")</f>
        <v/>
      </c>
      <c r="L159" s="818">
        <f>_xll.BLUEMATRIX2("/servlet/excelData",L158,$E$4,$D159&amp;":"&amp;L$14&amp;L$15&amp;":AN:NULL:FISCAL")</f>
        <v/>
      </c>
      <c r="M159" s="818">
        <f>_xll.BLUEMATRIX2("/servlet/excelData",M158,$E$4,$D159&amp;":"&amp;M$14&amp;M$15&amp;":AN:NULL:FISCAL")</f>
        <v/>
      </c>
      <c r="N159" s="818">
        <f>_xll.BLUEMATRIX2("/servlet/excelData",N158,$E$4,$D159&amp;":"&amp;N$14&amp;N$15&amp;":AN:NULL:FISCAL")</f>
        <v/>
      </c>
    </row>
    <row r="160">
      <c r="A160" s="821" t="inlineStr">
        <is>
          <t>OTHER</t>
        </is>
      </c>
      <c r="B160" s="782" t="inlineStr">
        <is>
          <t>Gross Margin (%)</t>
        </is>
      </c>
      <c r="C160" s="782" t="n"/>
      <c r="D160" s="783" t="inlineStr">
        <is>
          <t>GM</t>
        </is>
      </c>
      <c r="E160" s="950">
        <f>FS_Y!Q13/FS_Y!Q11</f>
        <v/>
      </c>
      <c r="F160" s="950">
        <f>FS_Y!R13/FS_Y!R11</f>
        <v/>
      </c>
      <c r="G160" s="950">
        <f>FS_Y!S13/FS_Y!S11</f>
        <v/>
      </c>
      <c r="H160" s="950">
        <f>FS_Y!T13/FS_Y!T11</f>
        <v/>
      </c>
      <c r="I160" s="950">
        <f>FS_Y!U13/FS_Y!U11</f>
        <v/>
      </c>
      <c r="J160" s="950">
        <f>FS_Y!V13/FS_Y!V11</f>
        <v/>
      </c>
      <c r="K160" s="950">
        <f>FS_Y!W13/FS_Y!W11</f>
        <v/>
      </c>
      <c r="L160" s="822" t="n"/>
      <c r="M160" s="822" t="n"/>
      <c r="N160" s="822" t="n"/>
    </row>
    <row r="161">
      <c r="A161" s="821" t="n"/>
      <c r="B161" s="787" t="inlineStr">
        <is>
          <t>BM Formula &amp; Result</t>
        </is>
      </c>
      <c r="C161" s="787" t="n"/>
      <c r="D161" s="800" t="inlineStr">
        <is>
          <t>GM</t>
        </is>
      </c>
      <c r="E161" s="823">
        <f>_xll.BLUEMATRIX2("/servlet/excelData",E160,$E$4,$D161&amp;":"&amp;E$14 &amp;E$15&amp;":AN:NULL:FISCAL")</f>
        <v/>
      </c>
      <c r="F161" s="823">
        <f>_xll.BLUEMATRIX2("/servlet/excelData",F160,$E$4,$D161&amp;":"&amp;F$14 &amp;F$15&amp;":AN:NULL:FISCAL")</f>
        <v/>
      </c>
      <c r="G161" s="823">
        <f>_xll.BLUEMATRIX2("/servlet/excelData",G160,$E$4,$D161&amp;":"&amp;G$14 &amp;G$15&amp;":AN:NULL:FISCAL")</f>
        <v/>
      </c>
      <c r="H161" s="823">
        <f>_xll.BLUEMATRIX2("/servlet/excelData",H160,$E$4,$D161&amp;":"&amp;H$14 &amp;H$15&amp;":AN:NULL:FISCAL")</f>
        <v/>
      </c>
      <c r="I161" s="823">
        <f>_xll.BLUEMATRIX2("/servlet/excelData",I160,$E$4,$D161&amp;":"&amp;I$14 &amp;I$15&amp;":AN:NULL:FISCAL")</f>
        <v/>
      </c>
      <c r="J161" s="823">
        <f>_xll.BLUEMATRIX2("/servlet/excelData",J160,$E$4,$D161&amp;":"&amp;J$14 &amp;J$15&amp;":AN:NULL:FISCAL")</f>
        <v/>
      </c>
      <c r="K161" s="823">
        <f>_xll.BLUEMATRIX2("/servlet/excelData",K160,$E$4,$D161&amp;":"&amp;K$14 &amp;K$15&amp;":AN:NULL:FISCAL")</f>
        <v/>
      </c>
      <c r="L161" s="823">
        <f>_xll.BLUEMATRIX2("/servlet/excelData",L160,$E$4,$D161&amp;":"&amp;L$14 &amp;L$15&amp;":AN:NULL:FISCAL")</f>
        <v/>
      </c>
      <c r="M161" s="823">
        <f>_xll.BLUEMATRIX2("/servlet/excelData",M160,$E$4,$D161&amp;":"&amp;M$14 &amp;M$15&amp;":AN:NULL:FISCAL")</f>
        <v/>
      </c>
      <c r="N161" s="823">
        <f>_xll.BLUEMATRIX2("/servlet/excelData",N160,$E$4,$D161&amp;":"&amp;N$14 &amp;N$15&amp;":AN:NULL:FISCAL")</f>
        <v/>
      </c>
    </row>
    <row r="162">
      <c r="A162" s="821" t="n"/>
      <c r="B162" s="782" t="inlineStr">
        <is>
          <t>Operating Margin (%)</t>
        </is>
      </c>
      <c r="C162" s="782" t="n"/>
      <c r="D162" s="783" t="inlineStr">
        <is>
          <t>OM</t>
        </is>
      </c>
      <c r="E162" s="950">
        <f>FS_Y!Q19/FS_Y!Q11</f>
        <v/>
      </c>
      <c r="F162" s="950">
        <f>FS_Y!R19/FS_Y!R11</f>
        <v/>
      </c>
      <c r="G162" s="950">
        <f>FS_Y!S19/FS_Y!S11</f>
        <v/>
      </c>
      <c r="H162" s="950">
        <f>FS_Y!T19/FS_Y!T11</f>
        <v/>
      </c>
      <c r="I162" s="950">
        <f>FS_Y!U19/FS_Y!U11</f>
        <v/>
      </c>
      <c r="J162" s="950">
        <f>FS_Y!V19/FS_Y!V11</f>
        <v/>
      </c>
      <c r="K162" s="950">
        <f>FS_Y!W19/FS_Y!W11</f>
        <v/>
      </c>
      <c r="L162" s="822" t="n"/>
      <c r="M162" s="822" t="n"/>
      <c r="N162" s="822" t="n"/>
    </row>
    <row r="163">
      <c r="A163" s="821" t="n"/>
      <c r="B163" s="787" t="inlineStr">
        <is>
          <t>BM Formula &amp; Result</t>
        </is>
      </c>
      <c r="C163" s="787" t="n"/>
      <c r="D163" s="800" t="inlineStr">
        <is>
          <t>OM</t>
        </is>
      </c>
      <c r="E163" s="823">
        <f>_xll.BLUEMATRIX2("/servlet/excelData",E162,$E$4,$D163&amp;":"&amp;E$14 &amp;E$15&amp;":AN:NULL:FISCAL")</f>
        <v/>
      </c>
      <c r="F163" s="823">
        <f>_xll.BLUEMATRIX2("/servlet/excelData",F162,$E$4,$D163&amp;":"&amp;F$14 &amp;F$15&amp;":AN:NULL:FISCAL")</f>
        <v/>
      </c>
      <c r="G163" s="823">
        <f>_xll.BLUEMATRIX2("/servlet/excelData",G162,$E$4,$D163&amp;":"&amp;G$14 &amp;G$15&amp;":AN:NULL:FISCAL")</f>
        <v/>
      </c>
      <c r="H163" s="823">
        <f>_xll.BLUEMATRIX2("/servlet/excelData",H162,$E$4,$D163&amp;":"&amp;H$14 &amp;H$15&amp;":AN:NULL:FISCAL")</f>
        <v/>
      </c>
      <c r="I163" s="823">
        <f>_xll.BLUEMATRIX2("/servlet/excelData",I162,$E$4,$D163&amp;":"&amp;I$14 &amp;I$15&amp;":AN:NULL:FISCAL")</f>
        <v/>
      </c>
      <c r="J163" s="823">
        <f>_xll.BLUEMATRIX2("/servlet/excelData",J162,$E$4,$D163&amp;":"&amp;J$14 &amp;J$15&amp;":AN:NULL:FISCAL")</f>
        <v/>
      </c>
      <c r="K163" s="823">
        <f>_xll.BLUEMATRIX2("/servlet/excelData",K162,$E$4,$D163&amp;":"&amp;K$14 &amp;K$15&amp;":AN:NULL:FISCAL")</f>
        <v/>
      </c>
      <c r="L163" s="823">
        <f>_xll.BLUEMATRIX2("/servlet/excelData",L162,$E$4,$D163&amp;":"&amp;L$14 &amp;L$15&amp;":AN:NULL:FISCAL")</f>
        <v/>
      </c>
      <c r="M163" s="823">
        <f>_xll.BLUEMATRIX2("/servlet/excelData",M162,$E$4,$D163&amp;":"&amp;M$14 &amp;M$15&amp;":AN:NULL:FISCAL")</f>
        <v/>
      </c>
      <c r="N163" s="823">
        <f>_xll.BLUEMATRIX2("/servlet/excelData",N162,$E$4,$D163&amp;":"&amp;N$14 &amp;N$15&amp;":AN:NULL:FISCAL")</f>
        <v/>
      </c>
    </row>
  </sheetData>
  <dataValidations count="2">
    <dataValidation sqref="E15:N15" showDropDown="0" showInputMessage="1" showErrorMessage="1" allowBlank="1" type="list">
      <formula1>"A,E"</formula1>
    </dataValidation>
    <dataValidation sqref="F11" showDropDown="0" showInputMessage="1" showErrorMessage="1" allowBlank="1" type="list">
      <formula1>"Outperform, Market-Perform,Underperform, Not Rated, Coverage Suspended"</formula1>
    </dataValidation>
  </dataValidations>
  <pageMargins left="0.7" right="0.7" top="0.75" bottom="0.75" header="0.3" footer="0.3"/>
  <pageSetup orientation="portrait" paperSize="195"/>
</worksheet>
</file>

<file path=xl/worksheets/sheet12.xml><?xml version="1.0" encoding="utf-8"?>
<worksheet xmlns="http://schemas.openxmlformats.org/spreadsheetml/2006/main">
  <sheetPr codeName="Sheet11">
    <tabColor rgb="FF1E9BD7"/>
    <outlinePr summaryBelow="1" summaryRight="1"/>
    <pageSetUpPr/>
  </sheetPr>
  <dimension ref="B1:P115"/>
  <sheetViews>
    <sheetView zoomScale="119" workbookViewId="0">
      <selection activeCell="P100" sqref="P100"/>
    </sheetView>
  </sheetViews>
  <sheetFormatPr baseColWidth="10" defaultColWidth="9.33203125" defaultRowHeight="15"/>
  <cols>
    <col width="12.5" customWidth="1" style="682" min="1" max="1"/>
    <col width="26" customWidth="1" style="682" min="2" max="2"/>
    <col width="13.5" customWidth="1" style="682" min="3" max="3"/>
    <col width="11.33203125" customWidth="1" style="682" min="4" max="4"/>
    <col width="11.33203125" bestFit="1" customWidth="1" style="682" min="5" max="5"/>
    <col width="9.5" customWidth="1" style="682" min="6" max="6"/>
    <col width="14.5" customWidth="1" style="682" min="7" max="7"/>
    <col width="17.5" customWidth="1" style="682" min="8" max="8"/>
    <col width="9.33203125" customWidth="1" style="682" min="9" max="16384"/>
  </cols>
  <sheetData>
    <row r="1" ht="42.75" customHeight="1">
      <c r="B1" s="678">
        <f>_xll.BLUEMATRIX("/servlet/excelData",$D$4,"COMPANY_NAME")</f>
        <v/>
      </c>
      <c r="C1" s="679" t="n"/>
      <c r="D1" s="679" t="n"/>
      <c r="E1" s="679" t="n"/>
      <c r="F1" s="679" t="n"/>
      <c r="G1" s="680" t="n"/>
      <c r="H1" s="951" t="n"/>
      <c r="I1" s="679" t="n"/>
      <c r="J1" s="679" t="n"/>
    </row>
    <row r="2" ht="16.75" customHeight="1" thickBot="1">
      <c r="B2" s="683" t="n"/>
      <c r="C2" s="684" t="n"/>
      <c r="D2" s="679" t="n"/>
      <c r="E2" s="679" t="n"/>
      <c r="F2" s="679" t="n"/>
      <c r="G2" s="680" t="n"/>
      <c r="H2" s="685" t="n"/>
      <c r="I2" s="686" t="n"/>
      <c r="J2" s="679" t="n"/>
    </row>
    <row r="3" ht="17" customHeight="1" thickBot="1" thickTop="1">
      <c r="B3" s="687" t="inlineStr">
        <is>
          <t>TICKER DATA</t>
        </is>
      </c>
      <c r="C3" s="688" t="inlineStr">
        <is>
          <t>BM Client Code</t>
        </is>
      </c>
      <c r="D3" s="689" t="n"/>
      <c r="E3" s="690" t="n"/>
      <c r="I3" s="691" t="inlineStr">
        <is>
          <t>Bernstein BlueMatrix Data Upload Instructions</t>
        </is>
      </c>
      <c r="J3" s="692" t="n"/>
      <c r="K3" s="692" t="n"/>
      <c r="L3" s="692" t="n"/>
      <c r="M3" s="692" t="n"/>
      <c r="N3" s="692" t="n"/>
      <c r="O3" s="692" t="n"/>
      <c r="P3" s="692" t="n"/>
    </row>
    <row r="4" ht="16" customHeight="1" thickTop="1">
      <c r="B4" s="693" t="inlineStr">
        <is>
          <t>Ticker</t>
        </is>
      </c>
      <c r="C4" s="694" t="inlineStr">
        <is>
          <t>TICKER</t>
        </is>
      </c>
      <c r="D4" s="695">
        <f>IPGP!M4</f>
        <v/>
      </c>
      <c r="E4" s="696" t="n"/>
      <c r="I4" s="697" t="inlineStr">
        <is>
          <t>1. Enter Ticker in D4</t>
        </is>
      </c>
      <c r="J4" s="697" t="n"/>
      <c r="K4" s="698" t="n"/>
      <c r="L4" s="699" t="n"/>
      <c r="M4" s="700" t="n"/>
      <c r="N4" s="701" t="n"/>
      <c r="O4" s="701" t="n"/>
      <c r="P4" s="701" t="n"/>
    </row>
    <row r="5">
      <c r="B5" s="693" t="inlineStr">
        <is>
          <t>Analyst</t>
        </is>
      </c>
      <c r="C5" s="694" t="inlineStr">
        <is>
          <t>ANALYST</t>
        </is>
      </c>
      <c r="D5" s="952">
        <f>_xll.BLUEMATRIX("/servlet/excelData",$D$4,$C5)</f>
        <v/>
      </c>
      <c r="E5" s="696" t="n"/>
      <c r="I5" s="703" t="inlineStr">
        <is>
          <t>2. Pick preferred EPS type in B33.</t>
        </is>
      </c>
      <c r="J5" s="697" t="n"/>
      <c r="K5" s="697" t="n"/>
      <c r="L5" s="697" t="n"/>
      <c r="M5" s="704" t="n"/>
      <c r="N5" s="701" t="n"/>
      <c r="O5" s="701" t="n"/>
      <c r="P5" s="701" t="n"/>
    </row>
    <row r="6">
      <c r="B6" s="693" t="inlineStr">
        <is>
          <t>Exchange</t>
        </is>
      </c>
      <c r="C6" s="694" t="inlineStr">
        <is>
          <t>EXCHANGE</t>
        </is>
      </c>
      <c r="D6" s="952">
        <f>_xll.BLUEMATRIX("/servlet/excelData",$D$4,$C6)</f>
        <v/>
      </c>
      <c r="E6" s="696" t="n"/>
      <c r="I6" s="697" t="inlineStr">
        <is>
          <t>4. Enter/link values in Draft cells. Do not modify BM Formula cells.</t>
        </is>
      </c>
      <c r="J6" s="697" t="n"/>
      <c r="K6" s="697" t="n"/>
      <c r="L6" s="697" t="n"/>
      <c r="M6" s="704" t="n"/>
      <c r="N6" s="701" t="n"/>
      <c r="O6" s="701" t="n"/>
      <c r="P6" s="701" t="n"/>
    </row>
    <row r="7">
      <c r="B7" s="693" t="inlineStr">
        <is>
          <t>Exchange Currency</t>
        </is>
      </c>
      <c r="C7" s="694" t="inlineStr">
        <is>
          <t>CURRENCY2</t>
        </is>
      </c>
      <c r="D7" s="952">
        <f>_xll.BLUEMATRIX("/servlet/excelData",$D$4,$C7)</f>
        <v/>
      </c>
      <c r="E7" s="696" t="n"/>
      <c r="I7" s="697" t="inlineStr">
        <is>
          <t>5. Refresh: BlueMatrix-&gt;Download-&gt;Active Worksheet</t>
        </is>
      </c>
      <c r="J7" s="697" t="n"/>
      <c r="K7" s="697" t="n"/>
      <c r="L7" s="697" t="n"/>
      <c r="M7" s="704" t="n"/>
      <c r="N7" s="701" t="n"/>
      <c r="O7" s="701" t="n"/>
      <c r="P7" s="701" t="n"/>
    </row>
    <row r="8">
      <c r="B8" s="693" t="inlineStr">
        <is>
          <t>Estimate Currency</t>
        </is>
      </c>
      <c r="C8" s="694" t="inlineStr">
        <is>
          <t>CURRENCY1</t>
        </is>
      </c>
      <c r="D8" s="952">
        <f>_xll.BLUEMATRIX("/servlet/excelData",$D$4,$C8)</f>
        <v/>
      </c>
      <c r="E8" s="696" t="n"/>
      <c r="I8" s="697" t="inlineStr">
        <is>
          <t>6. Submit: BlueMatrix-&gt;Upload-&gt;Active Worksheet</t>
        </is>
      </c>
      <c r="J8" s="697" t="n"/>
      <c r="K8" s="697" t="n"/>
      <c r="L8" s="697" t="n"/>
      <c r="M8" s="704" t="n"/>
      <c r="N8" s="701" t="n"/>
      <c r="O8" s="701" t="n"/>
      <c r="P8" s="701" t="n"/>
    </row>
    <row r="9" ht="16" customHeight="1" thickBot="1">
      <c r="B9" s="693" t="inlineStr">
        <is>
          <t>Fiscal Year End</t>
        </is>
      </c>
      <c r="C9" s="694" t="inlineStr">
        <is>
          <t>FYEND</t>
        </is>
      </c>
      <c r="D9" s="952">
        <f>_xll.BLUEMATRIX("/servlet/excelData",$D$4,$C9)</f>
        <v/>
      </c>
      <c r="E9" s="696" t="n"/>
      <c r="I9" s="697" t="inlineStr">
        <is>
          <t>7. Column C contains currently mapped BM client codes</t>
        </is>
      </c>
      <c r="J9" s="697" t="n"/>
      <c r="K9" s="697" t="n"/>
      <c r="L9" s="697" t="n"/>
      <c r="M9" s="704" t="n"/>
      <c r="N9" s="701" t="n"/>
      <c r="O9" s="701" t="n"/>
      <c r="P9" s="701" t="n"/>
    </row>
    <row r="10" ht="17" customHeight="1" thickBot="1" thickTop="1">
      <c r="B10" s="687" t="inlineStr">
        <is>
          <t>MARKET DATA</t>
        </is>
      </c>
      <c r="C10" s="689" t="n"/>
      <c r="D10" s="689" t="inlineStr">
        <is>
          <t>Bloomberg</t>
        </is>
      </c>
      <c r="E10" s="705" t="inlineStr">
        <is>
          <t>Override</t>
        </is>
      </c>
      <c r="F10" s="706" t="inlineStr">
        <is>
          <t>BM Formula &amp; Result</t>
        </is>
      </c>
      <c r="G10" s="689" t="inlineStr">
        <is>
          <t>Effective</t>
        </is>
      </c>
      <c r="I10" s="697" t="inlineStr">
        <is>
          <t>8. BM Codes Table below contains more BM client codes</t>
        </is>
      </c>
      <c r="J10" s="697" t="n"/>
      <c r="K10" s="697" t="n"/>
      <c r="L10" s="697" t="n"/>
      <c r="M10" s="704" t="n"/>
      <c r="N10" s="701" t="n"/>
      <c r="O10" s="697" t="n"/>
      <c r="P10" s="697" t="n"/>
    </row>
    <row r="11" ht="16" customHeight="1" thickTop="1">
      <c r="B11" s="707" t="inlineStr">
        <is>
          <t>Close Date</t>
        </is>
      </c>
      <c r="C11" s="694" t="inlineStr">
        <is>
          <t>PRICING_DATE</t>
        </is>
      </c>
      <c r="D11" s="708">
        <f>_xll.BLUEMATRIX("/servlet/excelData",$D$4,$C11)</f>
        <v/>
      </c>
      <c r="E11" s="709" t="n"/>
      <c r="F11" s="710">
        <f>_xll.BLUEMATRIX2("/servlet/excelData",E11,$D$4,$C11)</f>
        <v/>
      </c>
      <c r="G11" s="953">
        <f>IF(ISBLANK(E11),D11,E11)</f>
        <v/>
      </c>
      <c r="I11" s="701" t="n"/>
      <c r="J11" s="701" t="n"/>
      <c r="K11" s="701" t="n"/>
      <c r="L11" s="701" t="n"/>
      <c r="M11" s="701" t="n"/>
      <c r="N11" s="701" t="n"/>
      <c r="O11" s="701" t="n"/>
      <c r="P11" s="701" t="n"/>
    </row>
    <row r="12">
      <c r="B12" s="707">
        <f>"Close Price" &amp; IFERROR(" (" &amp;D7&amp;")","")</f>
        <v/>
      </c>
      <c r="C12" s="694" t="inlineStr">
        <is>
          <t>CLOSEPRICE</t>
        </is>
      </c>
      <c r="D12" s="708">
        <f>_xll.BLUEMATRIX("/servlet/excelData",$D$4,$C12)</f>
        <v/>
      </c>
      <c r="E12" s="695" t="n"/>
      <c r="F12" s="710">
        <f>_xll.BLUEMATRIX2("/servlet/excelData",E12,$D$4,$C12)</f>
        <v/>
      </c>
      <c r="G12" s="712">
        <f>IF(ISBLANK(E12),D12,E12)</f>
        <v/>
      </c>
      <c r="H12" s="679" t="n"/>
      <c r="I12" s="697" t="inlineStr">
        <is>
          <t>To download BM Excel Addin, view BM Formula instructions and list of BM Client codes, login to BlueMatrix.com</t>
        </is>
      </c>
      <c r="J12" s="697" t="n"/>
      <c r="K12" s="697" t="n"/>
      <c r="L12" s="697" t="n"/>
      <c r="M12" s="697" t="n"/>
      <c r="N12" s="697" t="n"/>
      <c r="O12" s="697" t="n"/>
      <c r="P12" s="697" t="n"/>
    </row>
    <row r="13">
      <c r="B13" s="707" t="inlineStr">
        <is>
          <t>52-Week Low</t>
        </is>
      </c>
      <c r="C13" s="694" t="inlineStr">
        <is>
          <t>52_WEEK_LOW</t>
        </is>
      </c>
      <c r="D13" s="708">
        <f>_xll.BLUEMATRIX("/servlet/excelData",$D$4,$C13)</f>
        <v/>
      </c>
      <c r="E13" s="695" t="n"/>
      <c r="F13" s="710">
        <f>_xll.BLUEMATRIX2("/servlet/excelData",E13,$D$4,$C13)</f>
        <v/>
      </c>
      <c r="G13" s="712">
        <f>IF(ISBLANK(E13),D13,E13)</f>
        <v/>
      </c>
    </row>
    <row r="14">
      <c r="B14" s="707" t="inlineStr">
        <is>
          <t>52-Week High</t>
        </is>
      </c>
      <c r="C14" s="694" t="inlineStr">
        <is>
          <t>52_WEEK_HIGH</t>
        </is>
      </c>
      <c r="D14" s="708">
        <f>_xll.BLUEMATRIX("/servlet/excelData",$D$4,$C14)</f>
        <v/>
      </c>
      <c r="E14" s="695" t="n"/>
      <c r="F14" s="710">
        <f>_xll.BLUEMATRIX2("/servlet/excelData",E14,$D$4,$C14)</f>
        <v/>
      </c>
      <c r="G14" s="712">
        <f>IF(ISBLANK(E14),D14,E14)</f>
        <v/>
      </c>
    </row>
    <row r="15">
      <c r="B15" s="707" t="inlineStr">
        <is>
          <t>Indicated Div Yield (%)</t>
        </is>
      </c>
      <c r="C15" s="694" t="inlineStr">
        <is>
          <t>EQY_DVD_YLD_IND</t>
        </is>
      </c>
      <c r="D15" s="708">
        <f>_xll.BLUEMATRIX("/servlet/excelData",$D$4,$C15)</f>
        <v/>
      </c>
      <c r="E15" s="713" t="n"/>
      <c r="F15" s="710">
        <f>_xll.BLUEMATRIX2("/servlet/excelData",E15,$D$4,$C15)</f>
        <v/>
      </c>
      <c r="G15" s="714">
        <f>IF(ISBLANK(E15),D15,E15)</f>
        <v/>
      </c>
    </row>
    <row r="16">
      <c r="B16" s="707" t="inlineStr">
        <is>
          <t>Market Cap</t>
        </is>
      </c>
      <c r="C16" s="694" t="inlineStr">
        <is>
          <t>CUR_MKT_CAP</t>
        </is>
      </c>
      <c r="D16" s="708">
        <f>_xll.BLUEMATRIX("/servlet/excelData",$D$4,$C16)</f>
        <v/>
      </c>
      <c r="E16" s="695" t="n"/>
      <c r="F16" s="710">
        <f>_xll.BLUEMATRIX2("/servlet/excelData",E16,$D$4,$C16)</f>
        <v/>
      </c>
      <c r="G16" s="712">
        <f>IF(ISBLANK(E16),D16,E16)</f>
        <v/>
      </c>
    </row>
    <row r="17">
      <c r="B17" s="707" t="inlineStr">
        <is>
          <t>EV</t>
        </is>
      </c>
      <c r="C17" s="694" t="inlineStr">
        <is>
          <t>EV</t>
        </is>
      </c>
      <c r="D17" s="708">
        <f>_xll.BLUEMATRIX("/servlet/excelData",$D$4,$C17)</f>
        <v/>
      </c>
      <c r="E17" s="695" t="n"/>
      <c r="F17" s="710">
        <f>_xll.BLUEMATRIX2("/servlet/excelData",E17,$D$4,$C17)</f>
        <v/>
      </c>
      <c r="G17" s="712">
        <f>IF(ISBLANK(E17),D17,E17)</f>
        <v/>
      </c>
    </row>
    <row r="18">
      <c r="B18" s="707" t="inlineStr">
        <is>
          <t>Perf YTD (%)</t>
        </is>
      </c>
      <c r="C18" s="694" t="inlineStr">
        <is>
          <t>CHG_PCT_YTD</t>
        </is>
      </c>
      <c r="D18" s="708">
        <f>_xll.BLUEMATRIX("/servlet/excelData",$D$4,$C18)</f>
        <v/>
      </c>
      <c r="E18" s="713" t="n"/>
      <c r="F18" s="710">
        <f>_xll.BLUEMATRIX2("/servlet/excelData",E18,$D$4,$C18)</f>
        <v/>
      </c>
      <c r="G18" s="714">
        <f>IF(ISBLANK(E18),D18,E18)</f>
        <v/>
      </c>
    </row>
    <row r="19">
      <c r="B19" s="707" t="inlineStr">
        <is>
          <t>Perf 1M (%)</t>
        </is>
      </c>
      <c r="C19" s="694" t="inlineStr">
        <is>
          <t>CHG_PCT_1M</t>
        </is>
      </c>
      <c r="D19" s="708">
        <f>_xll.BLUEMATRIX("/servlet/excelData",$D$4,$C19)</f>
        <v/>
      </c>
      <c r="E19" s="713" t="n"/>
      <c r="F19" s="710">
        <f>_xll.BLUEMATRIX2("/servlet/excelData",E19,$D$4,$C19)</f>
        <v/>
      </c>
      <c r="G19" s="714">
        <f>IF(ISBLANK(E19),D19,E19)</f>
        <v/>
      </c>
    </row>
    <row r="20">
      <c r="B20" s="707" t="inlineStr">
        <is>
          <t>Perf 6M (%)</t>
        </is>
      </c>
      <c r="C20" s="694" t="inlineStr">
        <is>
          <t>CHG_PCT_6M</t>
        </is>
      </c>
      <c r="D20" s="708">
        <f>_xll.BLUEMATRIX("/servlet/excelData",$D$4,$C20)</f>
        <v/>
      </c>
      <c r="E20" s="713" t="n"/>
      <c r="F20" s="710">
        <f>_xll.BLUEMATRIX2("/servlet/excelData",E20,$D$4,$C20)</f>
        <v/>
      </c>
      <c r="G20" s="714">
        <f>IF(ISBLANK(E20),D20,E20)</f>
        <v/>
      </c>
    </row>
    <row r="21" ht="16" customHeight="1" thickBot="1">
      <c r="B21" s="707" t="inlineStr">
        <is>
          <t>Perf 12M (%)</t>
        </is>
      </c>
      <c r="C21" s="694" t="inlineStr">
        <is>
          <t>CHG_PCT_1YR</t>
        </is>
      </c>
      <c r="D21" s="708">
        <f>_xll.BLUEMATRIX("/servlet/excelData",$D$4,$C21)</f>
        <v/>
      </c>
      <c r="E21" s="713" t="n"/>
      <c r="F21" s="710">
        <f>_xll.BLUEMATRIX2("/servlet/excelData",E21,$D$4,$C21)</f>
        <v/>
      </c>
      <c r="G21" s="714">
        <f>IF(ISBLANK(E21),D21,E21)</f>
        <v/>
      </c>
    </row>
    <row r="22" ht="17" customHeight="1" thickBot="1" thickTop="1">
      <c r="B22" s="687" t="inlineStr">
        <is>
          <t>RATING and TARGET PRICE</t>
        </is>
      </c>
      <c r="C22" s="689" t="n"/>
      <c r="D22" s="689" t="n"/>
      <c r="E22" s="715" t="n"/>
      <c r="F22" s="716" t="n"/>
      <c r="G22" s="716" t="n"/>
    </row>
    <row r="23" ht="16" customHeight="1" thickTop="1">
      <c r="B23" s="717" t="inlineStr">
        <is>
          <t>Rating</t>
        </is>
      </c>
      <c r="C23" s="694" t="inlineStr">
        <is>
          <t>RATING_SCB</t>
        </is>
      </c>
      <c r="D23" s="708" t="n"/>
      <c r="E23" s="718">
        <f>_xll.BLUEMATRIX("/servlet/excelData",$D$4,$C23)</f>
        <v/>
      </c>
      <c r="F23" s="679" t="n"/>
      <c r="G23" s="679" t="n"/>
    </row>
    <row r="24" ht="16" customHeight="1">
      <c r="B24" s="719" t="inlineStr">
        <is>
          <t>Draft</t>
        </is>
      </c>
      <c r="C24" s="694" t="inlineStr">
        <is>
          <t>RATING_SCB</t>
        </is>
      </c>
      <c r="D24" s="720" t="inlineStr">
        <is>
          <t xml:space="preserve"> </t>
        </is>
      </c>
      <c r="E24" s="721" t="inlineStr">
        <is>
          <t>Market-Perform</t>
        </is>
      </c>
      <c r="F24" s="679" t="n"/>
      <c r="G24" s="679" t="n"/>
      <c r="H24" s="679" t="n"/>
    </row>
    <row r="25">
      <c r="B25" s="722" t="inlineStr">
        <is>
          <t>BM Formula &amp; Result</t>
        </is>
      </c>
      <c r="C25" s="694" t="inlineStr">
        <is>
          <t>RATING_SCB</t>
        </is>
      </c>
      <c r="D25" s="723" t="inlineStr">
        <is>
          <t xml:space="preserve"> </t>
        </is>
      </c>
      <c r="E25" s="724">
        <f>_xll.BLUEMATRIX2("/servlet/excelData",E24,$D$4,C25)</f>
        <v/>
      </c>
      <c r="F25" s="679" t="n"/>
      <c r="G25" s="679" t="n"/>
      <c r="H25" s="679" t="n"/>
    </row>
    <row r="26">
      <c r="B26" s="717" t="inlineStr">
        <is>
          <t>Target Price</t>
        </is>
      </c>
      <c r="C26" s="694" t="inlineStr">
        <is>
          <t>PRICE_TARGET</t>
        </is>
      </c>
      <c r="D26" s="708" t="n"/>
      <c r="E26" s="725">
        <f>_xll.BLUEMATRIX("/servlet/excelData",$D$4,$C26)</f>
        <v/>
      </c>
      <c r="F26" s="679" t="n"/>
      <c r="G26" s="679" t="n"/>
      <c r="H26" s="679" t="n"/>
      <c r="I26" s="726" t="n"/>
    </row>
    <row r="27">
      <c r="B27" s="719" t="inlineStr">
        <is>
          <t>Draft</t>
        </is>
      </c>
      <c r="C27" s="694" t="inlineStr">
        <is>
          <t>PRICE_TARGET</t>
        </is>
      </c>
      <c r="D27" s="721" t="n"/>
      <c r="E27" s="727">
        <f>Valuation!B53</f>
        <v/>
      </c>
      <c r="F27" s="679" t="n"/>
      <c r="G27" s="679" t="n"/>
      <c r="H27" s="679" t="n"/>
    </row>
    <row r="28" ht="16" customHeight="1" thickBot="1">
      <c r="B28" s="722" t="inlineStr">
        <is>
          <t>BM Formula &amp; Result</t>
        </is>
      </c>
      <c r="C28" s="694" t="inlineStr">
        <is>
          <t>PRICE_TARGET</t>
        </is>
      </c>
      <c r="D28" s="721" t="n"/>
      <c r="E28" s="724">
        <f>_xll.BLUEMATRIX2("/servlet/excelData",E27,$D$4,C28)</f>
        <v/>
      </c>
      <c r="F28" s="679" t="n"/>
      <c r="G28" s="679" t="n"/>
      <c r="H28" s="679" t="n"/>
    </row>
    <row r="29" ht="17" customHeight="1" thickBot="1" thickTop="1">
      <c r="B29" s="687" t="inlineStr">
        <is>
          <t>EARNINGS SLIDER for FLASHMAILS</t>
        </is>
      </c>
      <c r="C29" s="689" t="n"/>
      <c r="D29" s="689" t="n"/>
      <c r="E29" s="715" t="inlineStr">
        <is>
          <t>Value</t>
        </is>
      </c>
      <c r="F29" s="706" t="inlineStr">
        <is>
          <t xml:space="preserve">   BM Formula &amp; Result</t>
        </is>
      </c>
      <c r="G29" s="716" t="n"/>
      <c r="H29" s="679" t="n"/>
    </row>
    <row r="30" ht="16" customHeight="1" thickTop="1">
      <c r="B30" s="717" t="inlineStr">
        <is>
          <t>Starting Slider</t>
        </is>
      </c>
      <c r="C30" s="694" t="inlineStr">
        <is>
          <t>Starting Slider</t>
        </is>
      </c>
      <c r="D30" s="728" t="inlineStr">
        <is>
          <t>-11 to +11</t>
        </is>
      </c>
      <c r="E30" s="729" t="n">
        <v>0</v>
      </c>
      <c r="G30" s="710">
        <f>_xll.BLUEMATRIX2("/servlet/excelData",E30,$D$4,$C30)</f>
        <v/>
      </c>
      <c r="H30" s="679" t="n"/>
    </row>
    <row r="31" ht="16" customHeight="1" thickBot="1">
      <c r="B31" s="717" t="inlineStr">
        <is>
          <t>Ending  Slider</t>
        </is>
      </c>
      <c r="C31" s="694" t="inlineStr">
        <is>
          <t>Ending Slider</t>
        </is>
      </c>
      <c r="D31" s="730" t="inlineStr">
        <is>
          <t>or NA</t>
        </is>
      </c>
      <c r="E31" s="729" t="n">
        <v>0</v>
      </c>
      <c r="G31" s="710">
        <f>_xll.BLUEMATRIX2("/servlet/excelData",E31,$D$4,$C31)</f>
        <v/>
      </c>
      <c r="H31" s="679" t="n"/>
    </row>
    <row r="32" ht="17" customHeight="1" thickBot="1" thickTop="1">
      <c r="B32" s="687" t="inlineStr">
        <is>
          <t>ESTIMATES - ANNUALS</t>
        </is>
      </c>
      <c r="C32" s="689" t="n"/>
      <c r="D32" s="747" t="inlineStr">
        <is>
          <t>2022A</t>
        </is>
      </c>
      <c r="E32" s="748" t="inlineStr">
        <is>
          <t>2023E</t>
        </is>
      </c>
      <c r="F32" s="748" t="inlineStr">
        <is>
          <t>2024E</t>
        </is>
      </c>
      <c r="G32" s="748" t="inlineStr">
        <is>
          <t>2025E</t>
        </is>
      </c>
    </row>
    <row r="33" customFormat="1" s="735" thickTop="1">
      <c r="B33" s="731" t="inlineStr">
        <is>
          <t>Reported EPS</t>
        </is>
      </c>
      <c r="C33" s="732">
        <f>VLOOKUP(B33,BMCodes73[],2,FALSE)</f>
        <v/>
      </c>
      <c r="D33" s="733">
        <f>_xll.BLUEMATRIX("/servlet/excelData",$D$4,$C33&amp;":"&amp;D$32&amp;":AN:NULL:FISCAL")</f>
        <v/>
      </c>
      <c r="E33" s="733">
        <f>_xll.BLUEMATRIX("/servlet/excelData",$D$4,$C33&amp;":"&amp;E$32&amp;":AN:NULL:FISCAL")</f>
        <v/>
      </c>
      <c r="F33" s="733">
        <f>_xll.BLUEMATRIX("/servlet/excelData",$D$4,$C33&amp;":"&amp;F$32&amp;":AN:NULL:FISCAL")</f>
        <v/>
      </c>
      <c r="G33" s="734">
        <f>_xll.BLUEMATRIX("/servlet/excelData",$D$4,$C33&amp;":"&amp;G$32&amp;":AN:NULL:FISCAL")</f>
        <v/>
      </c>
    </row>
    <row r="34" ht="14" customFormat="1" customHeight="1" s="735">
      <c r="B34" s="736" t="inlineStr">
        <is>
          <t>Draft</t>
        </is>
      </c>
      <c r="C34" s="732">
        <f>VLOOKUP(B33,BMCodes73[],2,FALSE)</f>
        <v/>
      </c>
      <c r="D34" s="737">
        <f>Summary!P15</f>
        <v/>
      </c>
      <c r="E34" s="737">
        <f>Summary!Q15</f>
        <v/>
      </c>
      <c r="F34" s="737">
        <f>Summary!R15</f>
        <v/>
      </c>
      <c r="G34" s="737">
        <f>Summary!S15</f>
        <v/>
      </c>
    </row>
    <row r="35" customFormat="1" s="735">
      <c r="B35" s="738" t="inlineStr">
        <is>
          <t>BM Formula &amp; Result</t>
        </is>
      </c>
      <c r="C35" s="732">
        <f>VLOOKUP(B33,BMCodes73[],2,FALSE)</f>
        <v/>
      </c>
      <c r="D35" s="739">
        <f>_xll.BLUEMATRIX2("/servlet/excelData",D34,$D$4,$C35&amp;":"&amp;D$32&amp;":AN:NULL:FISCAL")</f>
        <v/>
      </c>
      <c r="E35" s="739">
        <f>_xll.BLUEMATRIX2("/servlet/excelData",E34,$D$4,$C35&amp;":"&amp;E$32&amp;":AN:NULL:FISCAL")</f>
        <v/>
      </c>
      <c r="F35" s="739">
        <f>_xll.BLUEMATRIX2("/servlet/excelData",F34,$D$4,$C35&amp;":"&amp;F$32&amp;":AN:NULL:FISCAL")</f>
        <v/>
      </c>
      <c r="G35" s="740">
        <f>_xll.BLUEMATRIX2("/servlet/excelData",G34,$D$4,$C35&amp;":"&amp;G$32&amp;":AN:NULL:FISCAL")</f>
        <v/>
      </c>
      <c r="H35" s="682" t="n"/>
    </row>
    <row r="36" customFormat="1" s="735">
      <c r="B36" s="731" t="inlineStr">
        <is>
          <t>Revenues (M)</t>
        </is>
      </c>
      <c r="C36" s="732">
        <f>VLOOKUP(B36,BMCodes73[],2,FALSE)</f>
        <v/>
      </c>
      <c r="D36" s="741">
        <f>_xll.BLUEMATRIX("/servlet/excelData",$D$4,$C36&amp;":"&amp;D$32&amp;":AN:NULL:FISCAL")</f>
        <v/>
      </c>
      <c r="E36" s="741">
        <f>_xll.BLUEMATRIX("/servlet/excelData",$D$4,$C36&amp;":"&amp;E$32&amp;":AN:NULL:FISCAL")</f>
        <v/>
      </c>
      <c r="F36" s="741">
        <f>_xll.BLUEMATRIX("/servlet/excelData",$D$4,$C36&amp;":"&amp;F$32&amp;":AN:NULL:FISCAL")</f>
        <v/>
      </c>
      <c r="G36" s="742">
        <f>_xll.BLUEMATRIX("/servlet/excelData",$D$4,$C36&amp;":"&amp;G$32&amp;":AN:NULL:FISCAL")</f>
        <v/>
      </c>
      <c r="H36" s="682" t="n"/>
    </row>
    <row r="37" customFormat="1" s="735">
      <c r="B37" s="736" t="inlineStr">
        <is>
          <t>Draft</t>
        </is>
      </c>
      <c r="C37" s="732">
        <f>VLOOKUP(B36,BMCodes73[],2,FALSE)</f>
        <v/>
      </c>
      <c r="D37" s="954">
        <f>Summary!P9/1000</f>
        <v/>
      </c>
      <c r="E37" s="954">
        <f>Summary!Q9/1000</f>
        <v/>
      </c>
      <c r="F37" s="954">
        <f>Summary!R9/1000</f>
        <v/>
      </c>
      <c r="G37" s="954">
        <f>Summary!S9/1000</f>
        <v/>
      </c>
      <c r="H37" s="682" t="n"/>
    </row>
    <row r="38" customFormat="1" s="735">
      <c r="B38" s="738" t="inlineStr">
        <is>
          <t>BM Formula &amp; Result</t>
        </is>
      </c>
      <c r="C38" s="732">
        <f>VLOOKUP(B36,BMCodes73[],2,FALSE)</f>
        <v/>
      </c>
      <c r="D38" s="739">
        <f>_xll.BLUEMATRIX2("/servlet/excelData",D37,$D$4,$C38&amp;":"&amp;D$32&amp;":AN:NULL:FISCAL")</f>
        <v/>
      </c>
      <c r="E38" s="739">
        <f>_xll.BLUEMATRIX2("/servlet/excelData",E37,$D$4,$C38&amp;":"&amp;E$32&amp;":AN:NULL:FISCAL")</f>
        <v/>
      </c>
      <c r="F38" s="739">
        <f>_xll.BLUEMATRIX2("/servlet/excelData",F37,$D$4,$C38&amp;":"&amp;F$32&amp;":AN:NULL:FISCAL")</f>
        <v/>
      </c>
      <c r="G38" s="740">
        <f>_xll.BLUEMATRIX2("/servlet/excelData",G37,$D$4,$C38&amp;":"&amp;G$32&amp;":AN:NULL:FISCAL")</f>
        <v/>
      </c>
      <c r="H38" s="682" t="n"/>
    </row>
    <row r="39" customFormat="1" s="735">
      <c r="B39" s="731" t="inlineStr">
        <is>
          <t>EBITDA (M)</t>
        </is>
      </c>
      <c r="C39" s="732">
        <f>VLOOKUP(B39,BMCodes73[],2,FALSE)</f>
        <v/>
      </c>
      <c r="D39" s="741">
        <f>_xll.BLUEMATRIX("/servlet/excelData",$D$4,$C39&amp;":"&amp;D$32&amp;":AN:NULL:FISCAL")</f>
        <v/>
      </c>
      <c r="E39" s="741">
        <f>_xll.BLUEMATRIX("/servlet/excelData",$D$4,$C39&amp;":"&amp;E$32&amp;":AN:NULL:FISCAL")</f>
        <v/>
      </c>
      <c r="F39" s="741">
        <f>_xll.BLUEMATRIX("/servlet/excelData",$D$4,$C39&amp;":"&amp;F$32&amp;":AN:NULL:FISCAL")</f>
        <v/>
      </c>
      <c r="G39" s="742">
        <f>_xll.BLUEMATRIX("/servlet/excelData",$D$4,$C39&amp;":"&amp;G$32&amp;":AN:NULL:FISCAL")</f>
        <v/>
      </c>
      <c r="H39" s="682" t="n"/>
    </row>
    <row r="40" customFormat="1" s="735">
      <c r="B40" s="736" t="inlineStr">
        <is>
          <t>Draft</t>
        </is>
      </c>
      <c r="C40" s="732">
        <f>VLOOKUP(B39,BMCodes73[],2,FALSE)</f>
        <v/>
      </c>
      <c r="D40" s="954">
        <f>Summary!P14/1000</f>
        <v/>
      </c>
      <c r="E40" s="954">
        <f>Summary!Q14/1000</f>
        <v/>
      </c>
      <c r="F40" s="954">
        <f>Summary!R14/1000</f>
        <v/>
      </c>
      <c r="G40" s="954">
        <f>Summary!S14/1000</f>
        <v/>
      </c>
      <c r="H40" s="682" t="n"/>
    </row>
    <row r="41" customFormat="1" s="735">
      <c r="B41" s="738" t="inlineStr">
        <is>
          <t>BM Formula &amp; Result</t>
        </is>
      </c>
      <c r="C41" s="732">
        <f>VLOOKUP(B39,BMCodes73[],2,FALSE)</f>
        <v/>
      </c>
      <c r="D41" s="739">
        <f>_xll.BLUEMATRIX2("/servlet/excelData",D40,$D$4,$C41&amp;":"&amp;D$32&amp;":AN:NULL:FISCAL")</f>
        <v/>
      </c>
      <c r="E41" s="739">
        <f>_xll.BLUEMATRIX2("/servlet/excelData",E40,$D$4,$C41&amp;":"&amp;E$32&amp;":AN:NULL:FISCAL")</f>
        <v/>
      </c>
      <c r="F41" s="739">
        <f>_xll.BLUEMATRIX2("/servlet/excelData",F40,$D$4,$C41&amp;":"&amp;F$32&amp;":AN:NULL:FISCAL")</f>
        <v/>
      </c>
      <c r="G41" s="740">
        <f>_xll.BLUEMATRIX2("/servlet/excelData",G40,$D$4,$C41&amp;":"&amp;G$32&amp;":AN:NULL:FISCAL")</f>
        <v/>
      </c>
      <c r="H41" s="682" t="n"/>
    </row>
    <row r="42" customFormat="1" s="735">
      <c r="B42" s="731" t="inlineStr">
        <is>
          <t>Gross Margin (%)</t>
        </is>
      </c>
      <c r="C42" s="732">
        <f>VLOOKUP(B42,BMCodes73[],2,FALSE)</f>
        <v/>
      </c>
      <c r="D42" s="741">
        <f>_xll.BLUEMATRIX("/servlet/excelData",$D$4,$C42&amp;":"&amp;D$32&amp;":AN:NULL:FISCAL")</f>
        <v/>
      </c>
      <c r="E42" s="741">
        <f>_xll.BLUEMATRIX("/servlet/excelData",$D$4,$C42&amp;":"&amp;E$32&amp;":AN:NULL:FISCAL")</f>
        <v/>
      </c>
      <c r="F42" s="741">
        <f>_xll.BLUEMATRIX("/servlet/excelData",$D$4,$C42&amp;":"&amp;F$32&amp;":AN:NULL:FISCAL")</f>
        <v/>
      </c>
      <c r="G42" s="742">
        <f>_xll.BLUEMATRIX("/servlet/excelData",$D$4,$C42&amp;":"&amp;G$32&amp;":AN:NULL:FISCAL")</f>
        <v/>
      </c>
      <c r="H42" s="682" t="n"/>
    </row>
    <row r="43" customFormat="1" s="735">
      <c r="B43" s="736" t="inlineStr">
        <is>
          <t>Draft</t>
        </is>
      </c>
      <c r="C43" s="732">
        <f>VLOOKUP(B42,BMCodes73[],2,FALSE)</f>
        <v/>
      </c>
      <c r="D43" s="955">
        <f>Summary!P23</f>
        <v/>
      </c>
      <c r="E43" s="955">
        <f>Summary!Q23</f>
        <v/>
      </c>
      <c r="F43" s="955">
        <f>Summary!R23</f>
        <v/>
      </c>
      <c r="G43" s="955">
        <f>Summary!S23</f>
        <v/>
      </c>
      <c r="H43" s="682" t="n"/>
    </row>
    <row r="44" customFormat="1" s="735">
      <c r="B44" s="738" t="inlineStr">
        <is>
          <t>BM Formula &amp; Result</t>
        </is>
      </c>
      <c r="C44" s="732">
        <f>VLOOKUP(B42,BMCodes73[],2,FALSE)</f>
        <v/>
      </c>
      <c r="D44" s="739">
        <f>_xll.BLUEMATRIX2("/servlet/excelData",D43,$D$4,$C44&amp;":"&amp;D$32&amp;":AN:NULL:FISCAL")</f>
        <v/>
      </c>
      <c r="E44" s="739">
        <f>_xll.BLUEMATRIX2("/servlet/excelData",E43,$D$4,$C44&amp;":"&amp;E$32&amp;":AN:NULL:FISCAL")</f>
        <v/>
      </c>
      <c r="F44" s="739">
        <f>_xll.BLUEMATRIX2("/servlet/excelData",F43,$D$4,$C44&amp;":"&amp;F$32&amp;":AN:NULL:FISCAL")</f>
        <v/>
      </c>
      <c r="G44" s="740">
        <f>_xll.BLUEMATRIX2("/servlet/excelData",G43,$D$4,$C44&amp;":"&amp;G$32&amp;":AN:NULL:FISCAL")</f>
        <v/>
      </c>
      <c r="H44" s="682" t="n"/>
    </row>
    <row r="45" customFormat="1" s="735">
      <c r="B45" s="731" t="inlineStr">
        <is>
          <t>Operating Margin (%)</t>
        </is>
      </c>
      <c r="C45" s="732">
        <f>VLOOKUP(B45,BMCodes73[],2,FALSE)</f>
        <v/>
      </c>
      <c r="D45" s="741">
        <f>_xll.BLUEMATRIX("/servlet/excelData",$D$4,$C45&amp;":"&amp;D$32&amp;":AN:NULL:FISCAL")</f>
        <v/>
      </c>
      <c r="E45" s="741">
        <f>_xll.BLUEMATRIX("/servlet/excelData",$D$4,$C45&amp;":"&amp;E$32&amp;":AN:NULL:FISCAL")</f>
        <v/>
      </c>
      <c r="F45" s="741">
        <f>_xll.BLUEMATRIX("/servlet/excelData",$D$4,$C45&amp;":"&amp;F$32&amp;":AN:NULL:FISCAL")</f>
        <v/>
      </c>
      <c r="G45" s="742">
        <f>_xll.BLUEMATRIX("/servlet/excelData",$D$4,$C45&amp;":"&amp;G$32&amp;":AN:NULL:FISCAL")</f>
        <v/>
      </c>
      <c r="H45" s="682" t="n"/>
    </row>
    <row r="46" customFormat="1" s="735">
      <c r="B46" s="736" t="inlineStr">
        <is>
          <t>Draft</t>
        </is>
      </c>
      <c r="C46" s="732">
        <f>VLOOKUP(B45,BMCodes73[],2,FALSE)</f>
        <v/>
      </c>
      <c r="D46" s="955">
        <f>Summary!P24</f>
        <v/>
      </c>
      <c r="E46" s="955">
        <f>Summary!Q24</f>
        <v/>
      </c>
      <c r="F46" s="955">
        <f>Summary!R24</f>
        <v/>
      </c>
      <c r="G46" s="955">
        <f>Summary!S24</f>
        <v/>
      </c>
      <c r="H46" s="682" t="n"/>
    </row>
    <row r="47" customFormat="1" s="735">
      <c r="B47" s="738" t="inlineStr">
        <is>
          <t>BM Formula &amp; Result</t>
        </is>
      </c>
      <c r="C47" s="732">
        <f>VLOOKUP(B45,BMCodes73[],2,FALSE)</f>
        <v/>
      </c>
      <c r="D47" s="739">
        <f>_xll.BLUEMATRIX2("/servlet/excelData",D46,$D$4,$C47&amp;":"&amp;D$32&amp;":AN:NULL:FISCAL")</f>
        <v/>
      </c>
      <c r="E47" s="739">
        <f>_xll.BLUEMATRIX2("/servlet/excelData",E46,$D$4,$C47&amp;":"&amp;E$32&amp;":AN:NULL:FISCAL")</f>
        <v/>
      </c>
      <c r="F47" s="739">
        <f>_xll.BLUEMATRIX2("/servlet/excelData",F46,$D$4,$C47&amp;":"&amp;F$32&amp;":AN:NULL:FISCAL")</f>
        <v/>
      </c>
      <c r="G47" s="740">
        <f>_xll.BLUEMATRIX2("/servlet/excelData",G46,$D$4,$C47&amp;":"&amp;G$32&amp;":AN:NULL:FISCAL")</f>
        <v/>
      </c>
      <c r="H47" s="682" t="n"/>
    </row>
    <row r="48" customFormat="1" s="735">
      <c r="B48" s="731" t="inlineStr">
        <is>
          <t>Net Income Margin (%)</t>
        </is>
      </c>
      <c r="C48" s="732">
        <f>VLOOKUP(B48,BMCodes73[],2,FALSE)</f>
        <v/>
      </c>
      <c r="D48" s="741">
        <f>_xll.BLUEMATRIX("/servlet/excelData",$D$4,$C48&amp;":"&amp;D$32&amp;":AN:NULL:FISCAL")</f>
        <v/>
      </c>
      <c r="E48" s="741">
        <f>_xll.BLUEMATRIX("/servlet/excelData",$D$4,$C48&amp;":"&amp;E$32&amp;":AN:NULL:FISCAL")</f>
        <v/>
      </c>
      <c r="F48" s="741">
        <f>_xll.BLUEMATRIX("/servlet/excelData",$D$4,$C48&amp;":"&amp;F$32&amp;":AN:NULL:FISCAL")</f>
        <v/>
      </c>
      <c r="G48" s="742">
        <f>_xll.BLUEMATRIX("/servlet/excelData",$D$4,$C48&amp;":"&amp;G$32&amp;":AN:NULL:FISCAL")</f>
        <v/>
      </c>
      <c r="H48" s="682" t="n"/>
    </row>
    <row r="49" customFormat="1" s="735">
      <c r="B49" s="736" t="inlineStr">
        <is>
          <t>Draft</t>
        </is>
      </c>
      <c r="C49" s="732">
        <f>VLOOKUP(B48,BMCodes73[],2,FALSE)</f>
        <v/>
      </c>
      <c r="D49" s="955">
        <f>Summary!P25</f>
        <v/>
      </c>
      <c r="E49" s="955">
        <f>Summary!Q25</f>
        <v/>
      </c>
      <c r="F49" s="955">
        <f>Summary!R25</f>
        <v/>
      </c>
      <c r="G49" s="955">
        <f>Summary!S25</f>
        <v/>
      </c>
      <c r="H49" s="682" t="n"/>
    </row>
    <row r="50" customFormat="1" s="735">
      <c r="B50" s="738" t="inlineStr">
        <is>
          <t>BM Formula &amp; Result</t>
        </is>
      </c>
      <c r="C50" s="732">
        <f>VLOOKUP(B48,BMCodes73[],2,FALSE)</f>
        <v/>
      </c>
      <c r="D50" s="739">
        <f>_xll.BLUEMATRIX2("/servlet/excelData",D49,$D$4,$C50&amp;":"&amp;D$32&amp;":AN:NULL:FISCAL")</f>
        <v/>
      </c>
      <c r="E50" s="739">
        <f>_xll.BLUEMATRIX2("/servlet/excelData",E49,$D$4,$C50&amp;":"&amp;E$32&amp;":AN:NULL:FISCAL")</f>
        <v/>
      </c>
      <c r="F50" s="739">
        <f>_xll.BLUEMATRIX2("/servlet/excelData",F49,$D$4,$C50&amp;":"&amp;F$32&amp;":AN:NULL:FISCAL")</f>
        <v/>
      </c>
      <c r="G50" s="740">
        <f>_xll.BLUEMATRIX2("/servlet/excelData",G49,$D$4,$C50&amp;":"&amp;G$32&amp;":AN:NULL:FISCAL")</f>
        <v/>
      </c>
      <c r="H50" s="682" t="n"/>
    </row>
    <row r="51" customFormat="1" s="735">
      <c r="B51" s="731" t="inlineStr">
        <is>
          <t>ROIC (%)</t>
        </is>
      </c>
      <c r="C51" s="732">
        <f>VLOOKUP(B51,BMCodes73[],2,FALSE)</f>
        <v/>
      </c>
      <c r="D51" s="741">
        <f>_xll.BLUEMATRIX("/servlet/excelData",$D$4,$C51&amp;":"&amp;D$32&amp;":AN:NULL:FISCAL")</f>
        <v/>
      </c>
      <c r="E51" s="741">
        <f>_xll.BLUEMATRIX("/servlet/excelData",$D$4,$C51&amp;":"&amp;E$32&amp;":AN:NULL:FISCAL")</f>
        <v/>
      </c>
      <c r="F51" s="741">
        <f>_xll.BLUEMATRIX("/servlet/excelData",$D$4,$C51&amp;":"&amp;F$32&amp;":AN:NULL:FISCAL")</f>
        <v/>
      </c>
      <c r="G51" s="742">
        <f>_xll.BLUEMATRIX("/servlet/excelData",$D$4,$C51&amp;":"&amp;G$32&amp;":AN:NULL:FISCAL")</f>
        <v/>
      </c>
      <c r="H51" s="682" t="n"/>
    </row>
    <row r="52" customFormat="1" s="735">
      <c r="B52" s="736" t="inlineStr">
        <is>
          <t>Draft</t>
        </is>
      </c>
      <c r="C52" s="732">
        <f>VLOOKUP(B51,BMCodes73[],2,FALSE)</f>
        <v/>
      </c>
      <c r="D52" s="955">
        <f>Summary!P21</f>
        <v/>
      </c>
      <c r="E52" s="955">
        <f>Summary!Q21</f>
        <v/>
      </c>
      <c r="F52" s="955">
        <f>Summary!R21</f>
        <v/>
      </c>
      <c r="G52" s="955">
        <f>Summary!S21</f>
        <v/>
      </c>
      <c r="H52" s="682" t="n"/>
    </row>
    <row r="53" customFormat="1" s="735">
      <c r="B53" s="738" t="inlineStr">
        <is>
          <t>BM Formula &amp; Result</t>
        </is>
      </c>
      <c r="C53" s="732">
        <f>VLOOKUP(B51,BMCodes73[],2,FALSE)</f>
        <v/>
      </c>
      <c r="D53" s="739">
        <f>_xll.BLUEMATRIX2("/servlet/excelData",D52,$D$4,$C53&amp;":"&amp;D$32&amp;":AN:NULL:FISCAL")</f>
        <v/>
      </c>
      <c r="E53" s="739">
        <f>_xll.BLUEMATRIX2("/servlet/excelData",E52,$D$4,$C53&amp;":"&amp;E$32&amp;":AN:NULL:FISCAL")</f>
        <v/>
      </c>
      <c r="F53" s="739">
        <f>_xll.BLUEMATRIX2("/servlet/excelData",F52,$D$4,$C53&amp;":"&amp;F$32&amp;":AN:NULL:FISCAL")</f>
        <v/>
      </c>
      <c r="G53" s="740">
        <f>_xll.BLUEMATRIX2("/servlet/excelData",G52,$D$4,$C53&amp;":"&amp;G$32&amp;":AN:NULL:FISCAL")</f>
        <v/>
      </c>
      <c r="H53" s="682" t="n"/>
    </row>
    <row r="54" customFormat="1" s="735">
      <c r="B54" s="731" t="inlineStr">
        <is>
          <t>ROE (%)</t>
        </is>
      </c>
      <c r="C54" s="732">
        <f>VLOOKUP(B54,BMCodes73[],2,FALSE)</f>
        <v/>
      </c>
      <c r="D54" s="741">
        <f>_xll.BLUEMATRIX("/servlet/excelData",$D$4,$C54&amp;":"&amp;D$32&amp;":AN:NULL:FISCAL")</f>
        <v/>
      </c>
      <c r="E54" s="741">
        <f>_xll.BLUEMATRIX("/servlet/excelData",$D$4,$C54&amp;":"&amp;E$32&amp;":AN:NULL:FISCAL")</f>
        <v/>
      </c>
      <c r="F54" s="741">
        <f>_xll.BLUEMATRIX("/servlet/excelData",$D$4,$C54&amp;":"&amp;F$32&amp;":AN:NULL:FISCAL")</f>
        <v/>
      </c>
      <c r="G54" s="742">
        <f>_xll.BLUEMATRIX("/servlet/excelData",$D$4,$C54&amp;":"&amp;G$32&amp;":AN:NULL:FISCAL")</f>
        <v/>
      </c>
      <c r="H54" s="682" t="n"/>
    </row>
    <row r="55">
      <c r="B55" s="736" t="inlineStr">
        <is>
          <t>Draft</t>
        </is>
      </c>
      <c r="C55" s="732">
        <f>VLOOKUP(B54,BMCodes73[],2,FALSE)</f>
        <v/>
      </c>
      <c r="D55" s="955">
        <f>Summary!P22</f>
        <v/>
      </c>
      <c r="E55" s="955">
        <f>Summary!Q22</f>
        <v/>
      </c>
      <c r="F55" s="955">
        <f>Summary!R22</f>
        <v/>
      </c>
      <c r="G55" s="955">
        <f>Summary!S22</f>
        <v/>
      </c>
    </row>
    <row r="56">
      <c r="B56" s="738" t="inlineStr">
        <is>
          <t>BM Formula &amp; Result</t>
        </is>
      </c>
      <c r="C56" s="732">
        <f>VLOOKUP(B54,BMCodes73[],2,FALSE)</f>
        <v/>
      </c>
      <c r="D56" s="739">
        <f>_xll.BLUEMATRIX2("/servlet/excelData",D55,$D$4,$C56&amp;":"&amp;D$32&amp;":AN:NULL:FISCAL")</f>
        <v/>
      </c>
      <c r="E56" s="739">
        <f>_xll.BLUEMATRIX2("/servlet/excelData",E55,$D$4,$C56&amp;":"&amp;E$32&amp;":AN:NULL:FISCAL")</f>
        <v/>
      </c>
      <c r="F56" s="739">
        <f>_xll.BLUEMATRIX2("/servlet/excelData",F55,$D$4,$C56&amp;":"&amp;F$32&amp;":AN:NULL:FISCAL")</f>
        <v/>
      </c>
      <c r="G56" s="740">
        <f>_xll.BLUEMATRIX2("/servlet/excelData",G55,$D$4,$C56&amp;":"&amp;G$32&amp;":AN:NULL:FISCAL")</f>
        <v/>
      </c>
    </row>
    <row r="57" ht="16" customHeight="1" thickBot="1">
      <c r="B57" s="738" t="n"/>
      <c r="C57" s="736" t="n"/>
      <c r="D57" s="736" t="n"/>
      <c r="E57" s="736" t="n"/>
      <c r="F57" s="736" t="n"/>
      <c r="G57" s="736" t="n"/>
    </row>
    <row r="58" ht="17" customHeight="1" thickBot="1" thickTop="1">
      <c r="B58" s="687" t="inlineStr">
        <is>
          <t>VALUATIONS</t>
        </is>
      </c>
      <c r="C58" s="689" t="n"/>
      <c r="D58" s="743" t="n"/>
      <c r="E58" s="743" t="n"/>
      <c r="F58" s="743" t="n"/>
      <c r="G58" s="743" t="n"/>
    </row>
    <row r="59" ht="16" customHeight="1" thickTop="1">
      <c r="B59" s="682">
        <f>"P/E " &amp; MID(B33,1,FIND("EPS",B33)-2) &amp; " (x)"</f>
        <v/>
      </c>
      <c r="C59" s="732" t="n"/>
      <c r="D59" s="725">
        <f>IF(ISERROR(($G$12)/(D34)),"",($G$12)/(D34))</f>
        <v/>
      </c>
      <c r="E59" s="725">
        <f>IF(ISERROR(($G$12)/(E34)),"",($G$12)/(E34))</f>
        <v/>
      </c>
      <c r="F59" s="725">
        <f>IF(ISERROR(($G$12)/(F34)),"",($G$12)/(F34))</f>
        <v/>
      </c>
      <c r="G59" s="725">
        <f>IF(ISERROR(($G$12)/(G34)),"",($G$12)/(G34))</f>
        <v/>
      </c>
    </row>
    <row r="63">
      <c r="D63" s="726" t="n"/>
    </row>
    <row r="64" ht="15" customHeight="1">
      <c r="B64" s="744" t="inlineStr">
        <is>
          <t>BM_NAME</t>
        </is>
      </c>
      <c r="C64" s="745" t="inlineStr">
        <is>
          <t>BM_CODE</t>
        </is>
      </c>
    </row>
    <row r="65" ht="15" customHeight="1">
      <c r="B65" s="746" t="inlineStr">
        <is>
          <t>Adjusted EPS</t>
        </is>
      </c>
      <c r="C65" s="746" t="inlineStr">
        <is>
          <t>EPSADJ</t>
        </is>
      </c>
    </row>
    <row r="66" ht="15" customHeight="1">
      <c r="B66" s="746" t="inlineStr">
        <is>
          <t>Adjusted Operating Margin (%)</t>
        </is>
      </c>
      <c r="C66" s="746" t="inlineStr">
        <is>
          <t>ADJ_OPER_MARGIN</t>
        </is>
      </c>
    </row>
    <row r="67">
      <c r="B67" s="746" t="inlineStr">
        <is>
          <t>Book Value (M)</t>
        </is>
      </c>
      <c r="C67" s="746" t="inlineStr">
        <is>
          <t>BV</t>
        </is>
      </c>
    </row>
    <row r="68">
      <c r="B68" s="746" t="inlineStr">
        <is>
          <t>BV/Share</t>
        </is>
      </c>
      <c r="C68" s="746" t="inlineStr">
        <is>
          <t>BVPS</t>
        </is>
      </c>
    </row>
    <row r="69">
      <c r="B69" s="746" t="inlineStr">
        <is>
          <t>CapEx (M)</t>
        </is>
      </c>
      <c r="C69" s="746" t="inlineStr">
        <is>
          <t>CAPEX</t>
        </is>
      </c>
    </row>
    <row r="70">
      <c r="B70" s="746" t="inlineStr">
        <is>
          <t>CapEx/Sales (%)</t>
        </is>
      </c>
      <c r="C70" s="746" t="inlineStr">
        <is>
          <t>CAPEXSALES</t>
        </is>
      </c>
    </row>
    <row r="71">
      <c r="B71" s="746" t="inlineStr">
        <is>
          <t>CE T1 (%)</t>
        </is>
      </c>
      <c r="C71" s="746" t="inlineStr">
        <is>
          <t>CET1_PCT</t>
        </is>
      </c>
    </row>
    <row r="72">
      <c r="B72" s="746" t="inlineStr">
        <is>
          <t>CFO (M)</t>
        </is>
      </c>
      <c r="C72" s="746" t="inlineStr">
        <is>
          <t>OCF</t>
        </is>
      </c>
    </row>
    <row r="73">
      <c r="B73" s="746" t="inlineStr">
        <is>
          <t>CFO/Share</t>
        </is>
      </c>
      <c r="C73" s="746" t="inlineStr">
        <is>
          <t>OCFPS</t>
        </is>
      </c>
    </row>
    <row r="74">
      <c r="B74" s="746" t="inlineStr">
        <is>
          <t>Common Equity</t>
        </is>
      </c>
      <c r="C74" s="746" t="inlineStr">
        <is>
          <t>CE</t>
        </is>
      </c>
    </row>
    <row r="75">
      <c r="B75" s="746" t="inlineStr">
        <is>
          <t>Comp Store Sales Growth (%)</t>
        </is>
      </c>
      <c r="C75" s="746" t="inlineStr">
        <is>
          <t>COMPSTORESALESGROWTH</t>
        </is>
      </c>
    </row>
    <row r="76">
      <c r="B76" s="746" t="inlineStr">
        <is>
          <t>Cost of Goods Sold (M)</t>
        </is>
      </c>
      <c r="C76" s="746" t="inlineStr">
        <is>
          <t>COGS</t>
        </is>
      </c>
    </row>
    <row r="77">
      <c r="B77" s="746" t="inlineStr">
        <is>
          <t>Credit Cost (%)</t>
        </is>
      </c>
      <c r="C77" s="746" t="inlineStr">
        <is>
          <t>CREDIT_COST</t>
        </is>
      </c>
    </row>
    <row r="78">
      <c r="B78" s="746" t="inlineStr">
        <is>
          <t>Dividend Payout Ratio (%)</t>
        </is>
      </c>
      <c r="C78" s="746" t="inlineStr">
        <is>
          <t>DIVPAYOUTRATIO</t>
        </is>
      </c>
    </row>
    <row r="79">
      <c r="B79" s="746" t="inlineStr">
        <is>
          <t>Dividend/Share</t>
        </is>
      </c>
      <c r="C79" s="746" t="inlineStr">
        <is>
          <t>DIVPS</t>
        </is>
      </c>
    </row>
    <row r="80">
      <c r="B80" s="746" t="inlineStr">
        <is>
          <t>EBIT (M)</t>
        </is>
      </c>
      <c r="C80" s="746" t="inlineStr">
        <is>
          <t>EBIT</t>
        </is>
      </c>
    </row>
    <row r="81">
      <c r="B81" s="746" t="inlineStr">
        <is>
          <t>EBITDA (M)</t>
        </is>
      </c>
      <c r="C81" s="746" t="inlineStr">
        <is>
          <t>EBITDA</t>
        </is>
      </c>
    </row>
    <row r="82">
      <c r="B82" s="746" t="inlineStr">
        <is>
          <t>EBITDA Margin (%)</t>
        </is>
      </c>
      <c r="C82" s="746" t="inlineStr">
        <is>
          <t>EBITDAMARGIN</t>
        </is>
      </c>
    </row>
    <row r="83">
      <c r="B83" s="746" t="inlineStr">
        <is>
          <t>Economic Net Debt (M)</t>
        </is>
      </c>
      <c r="C83" s="746" t="inlineStr">
        <is>
          <t>ECON_NET_DEBT</t>
        </is>
      </c>
    </row>
    <row r="84">
      <c r="B84" s="746" t="inlineStr">
        <is>
          <t>Growth EPS (%)</t>
        </is>
      </c>
      <c r="C84" s="746" t="inlineStr">
        <is>
          <t>EPSGROWTH</t>
        </is>
      </c>
    </row>
    <row r="85">
      <c r="B85" s="746" t="inlineStr">
        <is>
          <t>FCF (M)</t>
        </is>
      </c>
      <c r="C85" s="746" t="inlineStr">
        <is>
          <t>FCF</t>
        </is>
      </c>
    </row>
    <row r="86">
      <c r="B86" s="746" t="inlineStr">
        <is>
          <t>FCF Unlevered</t>
        </is>
      </c>
      <c r="C86" s="746" t="inlineStr">
        <is>
          <t>FCF_UNLEV</t>
        </is>
      </c>
    </row>
    <row r="87">
      <c r="B87" s="746" t="inlineStr">
        <is>
          <t>FCF/Share</t>
        </is>
      </c>
      <c r="C87" s="746" t="inlineStr">
        <is>
          <t>FCFPS</t>
        </is>
      </c>
    </row>
    <row r="88">
      <c r="B88" s="746" t="inlineStr">
        <is>
          <t>Gross Margin (%)</t>
        </is>
      </c>
      <c r="C88" s="746" t="inlineStr">
        <is>
          <t>GM</t>
        </is>
      </c>
    </row>
    <row r="89">
      <c r="B89" s="746" t="inlineStr">
        <is>
          <t>Gross Profit (M)</t>
        </is>
      </c>
      <c r="C89" s="746" t="inlineStr">
        <is>
          <t>GROSSPROFIT</t>
        </is>
      </c>
    </row>
    <row r="90">
      <c r="B90" s="746" t="inlineStr">
        <is>
          <t>Like-For-Like Sales Growth (%)</t>
        </is>
      </c>
      <c r="C90" s="746" t="inlineStr">
        <is>
          <t>LFL_SALES_GROWTH</t>
        </is>
      </c>
    </row>
    <row r="91">
      <c r="B91" s="746" t="inlineStr">
        <is>
          <t>Loan Growth (%)</t>
        </is>
      </c>
      <c r="C91" s="746" t="inlineStr">
        <is>
          <t>LOANGROW</t>
        </is>
      </c>
    </row>
    <row r="92">
      <c r="B92" s="746" t="inlineStr">
        <is>
          <t>Local Currency Sales Growth (%)</t>
        </is>
      </c>
      <c r="C92" s="746" t="inlineStr">
        <is>
          <t>LOCAL_CUR_SALES_GROWTH</t>
        </is>
      </c>
    </row>
    <row r="93">
      <c r="B93" s="746" t="inlineStr">
        <is>
          <t>Net Debt (Cash) (M)</t>
        </is>
      </c>
      <c r="C93" s="746" t="inlineStr">
        <is>
          <t>NETDEBT_EST</t>
        </is>
      </c>
    </row>
    <row r="94">
      <c r="B94" s="746" t="inlineStr">
        <is>
          <t>Net Debt/EBITDA (x)</t>
        </is>
      </c>
      <c r="C94" s="746" t="inlineStr">
        <is>
          <t>NETDEBTEBITDA</t>
        </is>
      </c>
    </row>
    <row r="95">
      <c r="B95" s="746" t="inlineStr">
        <is>
          <t>Net Debt/Equity (x)</t>
        </is>
      </c>
      <c r="C95" s="746" t="inlineStr">
        <is>
          <t>NETDEBTEQUITY</t>
        </is>
      </c>
    </row>
    <row r="96">
      <c r="B96" s="746" t="inlineStr">
        <is>
          <t>Net Earnings (M)</t>
        </is>
      </c>
      <c r="C96" s="746" t="inlineStr">
        <is>
          <t>NI</t>
        </is>
      </c>
    </row>
    <row r="97">
      <c r="B97" s="746" t="inlineStr">
        <is>
          <t>Net Income Margin (%)</t>
        </is>
      </c>
      <c r="C97" s="746" t="inlineStr">
        <is>
          <t>NETMARGIN</t>
        </is>
      </c>
    </row>
    <row r="98">
      <c r="B98" s="746" t="inlineStr">
        <is>
          <t>Net Interest Margin (%)</t>
        </is>
      </c>
      <c r="C98" s="746" t="inlineStr">
        <is>
          <t>NIM</t>
        </is>
      </c>
    </row>
    <row r="99">
      <c r="B99" s="746" t="inlineStr">
        <is>
          <t>Net Profit Before Non-Recurring Items(M)</t>
        </is>
      </c>
      <c r="C99" s="746" t="inlineStr">
        <is>
          <t>PROFBEFOREITEMS</t>
        </is>
      </c>
    </row>
    <row r="100">
      <c r="B100" s="746" t="inlineStr">
        <is>
          <t>Operating Earnings (M)</t>
        </is>
      </c>
      <c r="C100" s="746" t="inlineStr">
        <is>
          <t>OPEARN</t>
        </is>
      </c>
    </row>
    <row r="101">
      <c r="B101" s="746" t="inlineStr">
        <is>
          <t>Operating Expenses (M)</t>
        </is>
      </c>
      <c r="C101" s="746" t="inlineStr">
        <is>
          <t>EXP</t>
        </is>
      </c>
    </row>
    <row r="102">
      <c r="B102" s="746" t="inlineStr">
        <is>
          <t>Operating Margin (%)</t>
        </is>
      </c>
      <c r="C102" s="746" t="inlineStr">
        <is>
          <t>OM</t>
        </is>
      </c>
    </row>
    <row r="103">
      <c r="B103" s="746" t="inlineStr">
        <is>
          <t>Organic Sales Growth (%)</t>
        </is>
      </c>
      <c r="C103" s="746" t="inlineStr">
        <is>
          <t>ORGSALESGROWTH</t>
        </is>
      </c>
    </row>
    <row r="104">
      <c r="B104" s="746" t="inlineStr">
        <is>
          <t>Pre-Tax Earnings (M)</t>
        </is>
      </c>
      <c r="C104" s="746" t="inlineStr">
        <is>
          <t>EBT</t>
        </is>
      </c>
    </row>
    <row r="105">
      <c r="B105" s="746" t="inlineStr">
        <is>
          <t>R&amp;D (M)</t>
        </is>
      </c>
      <c r="C105" s="746" t="inlineStr">
        <is>
          <t>RD</t>
        </is>
      </c>
    </row>
    <row r="106">
      <c r="B106" s="746" t="inlineStr">
        <is>
          <t>Reported EPS</t>
        </is>
      </c>
      <c r="C106" s="746" t="inlineStr">
        <is>
          <t>EPSRPT</t>
        </is>
      </c>
    </row>
    <row r="107">
      <c r="B107" s="746" t="inlineStr">
        <is>
          <t>Revenue/Share</t>
        </is>
      </c>
      <c r="C107" s="746" t="inlineStr">
        <is>
          <t>SALESPS</t>
        </is>
      </c>
    </row>
    <row r="108">
      <c r="B108" s="746" t="inlineStr">
        <is>
          <t>Revenues (M)</t>
        </is>
      </c>
      <c r="C108" s="746" t="inlineStr">
        <is>
          <t>SALES</t>
        </is>
      </c>
    </row>
    <row r="109">
      <c r="B109" s="746" t="inlineStr">
        <is>
          <t>ROA (%)</t>
        </is>
      </c>
      <c r="C109" s="746" t="inlineStr">
        <is>
          <t>ROA</t>
        </is>
      </c>
    </row>
    <row r="110">
      <c r="B110" s="746" t="inlineStr">
        <is>
          <t>ROCE (%)</t>
        </is>
      </c>
      <c r="C110" s="746" t="inlineStr">
        <is>
          <t>ROCE</t>
        </is>
      </c>
    </row>
    <row r="111">
      <c r="B111" s="746" t="inlineStr">
        <is>
          <t>ROE (%)</t>
        </is>
      </c>
      <c r="C111" s="746" t="inlineStr">
        <is>
          <t>ROE</t>
        </is>
      </c>
    </row>
    <row r="112">
      <c r="B112" s="746" t="inlineStr">
        <is>
          <t>ROIC (%)</t>
        </is>
      </c>
      <c r="C112" s="746" t="inlineStr">
        <is>
          <t>ROIC</t>
        </is>
      </c>
    </row>
    <row r="113">
      <c r="B113" s="746" t="inlineStr">
        <is>
          <t>ROIC Excluding Goodwill/ Intangibles (x)</t>
        </is>
      </c>
      <c r="C113" s="746" t="inlineStr">
        <is>
          <t>ROIC_EX_INTANG</t>
        </is>
      </c>
    </row>
    <row r="114">
      <c r="B114" s="746" t="inlineStr">
        <is>
          <t>SG&amp;A (M)</t>
        </is>
      </c>
      <c r="C114" s="746" t="inlineStr">
        <is>
          <t>SGA</t>
        </is>
      </c>
    </row>
    <row r="115">
      <c r="B115" s="746" t="inlineStr">
        <is>
          <t>Total Provision (M)</t>
        </is>
      </c>
      <c r="C115" s="746" t="inlineStr">
        <is>
          <t>PROV</t>
        </is>
      </c>
    </row>
  </sheetData>
  <dataValidations disablePrompts="1" count="3">
    <dataValidation sqref="B36 B39 B42 B45 B48 B51 B54" showDropDown="0" showInputMessage="1" showErrorMessage="0" allowBlank="1" type="list">
      <formula1>$B$65:$B$115</formula1>
    </dataValidation>
    <dataValidation sqref="E24" showDropDown="0" showInputMessage="1" showErrorMessage="1" allowBlank="1" type="list">
      <formula1>"Outperform, Market-Perform,Underperform, Not Rated"</formula1>
    </dataValidation>
    <dataValidation sqref="B33" showDropDown="0" showInputMessage="1" showErrorMessage="1" allowBlank="1" type="list">
      <formula1>"Reported EPS, Adjusted EPS"</formula1>
    </dataValidation>
  </dataValidations>
  <pageMargins left="0.7" right="0.7" top="0.75" bottom="0.75" header="0.3" footer="0.3"/>
  <pageSetup orientation="portrait" paperSize="195"/>
  <tableParts count="1">
    <tablePart xmlns:r="http://schemas.openxmlformats.org/officeDocument/2006/relationships" r:id="rId1"/>
  </tableParts>
</worksheet>
</file>

<file path=xl/worksheets/sheet13.xml><?xml version="1.0" encoding="utf-8"?>
<worksheet xmlns="http://schemas.openxmlformats.org/spreadsheetml/2006/main">
  <sheetPr codeName="Sheet1">
    <tabColor rgb="FF96D8CF"/>
    <outlinePr summaryBelow="1" summaryRight="1"/>
    <pageSetUpPr/>
  </sheetPr>
  <dimension ref="B1:T43"/>
  <sheetViews>
    <sheetView workbookViewId="0">
      <selection activeCell="Y51" sqref="Y51"/>
    </sheetView>
  </sheetViews>
  <sheetFormatPr baseColWidth="10" defaultColWidth="9.33203125" defaultRowHeight="14"/>
  <cols>
    <col width="9.33203125" customWidth="1" style="566" min="1" max="1"/>
    <col width="24.5" customWidth="1" style="566" min="2" max="2"/>
    <col hidden="1" style="567" min="3" max="3"/>
    <col hidden="1" style="568" min="4" max="4"/>
    <col hidden="1" width="8.6640625" customWidth="1" style="566" min="5" max="5"/>
    <col hidden="1" style="566" min="6" max="7"/>
    <col hidden="1" style="568" min="8" max="8"/>
    <col hidden="1" style="566" min="9" max="12"/>
    <col width="12.33203125" bestFit="1" customWidth="1" style="566" min="13" max="13"/>
    <col width="9.33203125" customWidth="1" style="566" min="14" max="15"/>
    <col width="12.33203125" bestFit="1" customWidth="1" style="566" min="16" max="16"/>
    <col width="9.33203125" customWidth="1" style="566" min="17" max="16384"/>
  </cols>
  <sheetData>
    <row r="1" ht="42.75" customHeight="1">
      <c r="B1" s="576" t="inlineStr">
        <is>
          <t>S&amp;P 500 Index</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SPX</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735</v>
      </c>
      <c r="N5" s="588" t="n"/>
      <c r="O5" s="578" t="n"/>
      <c r="P5" s="578" t="n"/>
    </row>
    <row r="6">
      <c r="B6" s="577" t="inlineStr">
        <is>
          <t>BERN CompanyId</t>
        </is>
      </c>
      <c r="C6" s="579" t="inlineStr">
        <is>
          <t>COMPANYID</t>
        </is>
      </c>
      <c r="D6" s="580" t="inlineStr">
        <is>
          <t>T</t>
        </is>
      </c>
      <c r="E6" s="577" t="n"/>
      <c r="F6" s="577" t="n"/>
      <c r="G6" s="577" t="n"/>
      <c r="H6" s="580" t="n"/>
      <c r="I6" s="577" t="n"/>
      <c r="J6" s="577" t="n"/>
      <c r="K6" s="577" t="n"/>
      <c r="L6" s="577" t="n"/>
      <c r="M6" s="582" t="n">
        <v>1012</v>
      </c>
      <c r="N6" s="588" t="n"/>
      <c r="O6" s="578" t="n"/>
      <c r="P6" s="578" t="n"/>
    </row>
    <row r="7">
      <c r="B7" s="577" t="inlineStr">
        <is>
          <t>Last Reported Year</t>
        </is>
      </c>
      <c r="C7" s="579" t="inlineStr">
        <is>
          <t>BASEYEARACTUAL</t>
        </is>
      </c>
      <c r="D7" s="580" t="inlineStr">
        <is>
          <t>T</t>
        </is>
      </c>
      <c r="E7" s="577" t="n"/>
      <c r="F7" s="577" t="n"/>
      <c r="G7" s="577" t="n"/>
      <c r="H7" s="580" t="n"/>
      <c r="I7" s="577" t="n"/>
      <c r="J7" s="577" t="n"/>
      <c r="K7" s="577" t="n"/>
      <c r="L7" s="577" t="n"/>
      <c r="M7" s="582" t="n">
        <v>2020</v>
      </c>
      <c r="N7" s="588" t="n"/>
      <c r="O7" s="578" t="n"/>
      <c r="P7" s="578" t="n"/>
    </row>
    <row r="8" ht="15" customHeight="1" thickBot="1">
      <c r="B8" s="577" t="inlineStr">
        <is>
          <t>Model Units</t>
        </is>
      </c>
      <c r="C8" s="579" t="inlineStr">
        <is>
          <t>MODELUNITS</t>
        </is>
      </c>
      <c r="D8" s="580" t="inlineStr">
        <is>
          <t>T</t>
        </is>
      </c>
      <c r="E8" s="577" t="n"/>
      <c r="F8" s="577" t="n"/>
      <c r="G8" s="577" t="n"/>
      <c r="H8" s="580" t="n"/>
      <c r="I8" s="577" t="n"/>
      <c r="J8" s="577" t="n"/>
      <c r="K8" s="577" t="n"/>
      <c r="L8" s="577" t="n"/>
      <c r="M8" s="582" t="n"/>
      <c r="N8" s="588" t="n"/>
      <c r="O8" s="578" t="n"/>
      <c r="P8" s="578" t="n"/>
    </row>
    <row r="9" hidden="1" ht="17" customHeight="1" thickBot="1" thickTop="1">
      <c r="B9" s="584" t="inlineStr">
        <is>
          <t>ANALYST DATA</t>
        </is>
      </c>
      <c r="C9" s="585" t="n">
        <v>2</v>
      </c>
      <c r="D9" s="585" t="n"/>
      <c r="E9" s="585" t="n"/>
      <c r="F9" s="585" t="n"/>
      <c r="G9" s="585" t="n"/>
      <c r="H9" s="585" t="n"/>
      <c r="I9" s="585" t="n"/>
      <c r="J9" s="585" t="n"/>
      <c r="K9" s="585" t="n"/>
      <c r="L9" s="585" t="n"/>
      <c r="M9" s="585" t="n"/>
      <c r="N9" s="587" t="n"/>
      <c r="O9" s="585" t="n"/>
      <c r="P9" s="585" t="n"/>
    </row>
    <row r="10" hidden="1" ht="15" customHeight="1" thickBot="1">
      <c r="B10" s="581" t="inlineStr">
        <is>
          <t>Rating</t>
        </is>
      </c>
      <c r="C10" s="579" t="inlineStr">
        <is>
          <t>RATING</t>
        </is>
      </c>
      <c r="D10" s="580" t="inlineStr">
        <is>
          <t>A</t>
        </is>
      </c>
      <c r="E10" s="590" t="n">
        <v>1</v>
      </c>
      <c r="F10" s="577" t="n">
        <v>1</v>
      </c>
      <c r="G10" s="577" t="n">
        <v>0</v>
      </c>
      <c r="H10" s="580" t="n"/>
      <c r="I10" s="577" t="n"/>
      <c r="J10" s="577" t="n">
        <v>10</v>
      </c>
      <c r="K10" s="577" t="n"/>
      <c r="L10" s="577" t="n"/>
      <c r="M10" s="592" t="n"/>
      <c r="N10" s="568" t="n"/>
    </row>
    <row r="11" hidden="1" ht="15" customHeight="1" thickBot="1">
      <c r="B11" s="593" t="inlineStr">
        <is>
          <t>Rating</t>
        </is>
      </c>
      <c r="C11" s="594" t="inlineStr">
        <is>
          <t>RATING_DRAFT</t>
        </is>
      </c>
      <c r="D11" s="595" t="inlineStr">
        <is>
          <t>A</t>
        </is>
      </c>
      <c r="E11" s="596" t="n">
        <v>1</v>
      </c>
      <c r="F11" s="597" t="n">
        <v>1</v>
      </c>
      <c r="G11" s="597" t="n">
        <v>1</v>
      </c>
      <c r="H11" s="595" t="n"/>
      <c r="I11" s="597" t="n"/>
      <c r="J11" s="597" t="n">
        <v>11</v>
      </c>
      <c r="K11" s="597" t="n"/>
      <c r="L11" s="597" t="n"/>
      <c r="M11" s="599" t="n"/>
      <c r="N11" s="568" t="n"/>
    </row>
    <row r="12" hidden="1" ht="15" customHeight="1" thickBot="1">
      <c r="B12" s="581" t="inlineStr">
        <is>
          <t>Target Price</t>
        </is>
      </c>
      <c r="C12" s="579" t="inlineStr">
        <is>
          <t>TARGETPRICE</t>
        </is>
      </c>
      <c r="D12" s="580" t="inlineStr">
        <is>
          <t>A</t>
        </is>
      </c>
      <c r="E12" s="590" t="n">
        <v>2</v>
      </c>
      <c r="F12" s="577" t="n">
        <v>2</v>
      </c>
      <c r="G12" s="577" t="n">
        <v>0</v>
      </c>
      <c r="H12" s="580" t="n"/>
      <c r="I12" s="577" t="n"/>
      <c r="J12" s="577" t="n">
        <v>20</v>
      </c>
      <c r="K12" s="577" t="n"/>
      <c r="L12" s="577" t="n"/>
      <c r="M12" s="592" t="n"/>
      <c r="N12" s="568" t="n"/>
    </row>
    <row r="13" hidden="1" ht="15" customHeight="1" thickBot="1">
      <c r="B13" s="593" t="inlineStr">
        <is>
          <t>Target Price</t>
        </is>
      </c>
      <c r="C13" s="594" t="inlineStr">
        <is>
          <t>TARGETPRICE_DRAFT</t>
        </is>
      </c>
      <c r="D13" s="595" t="inlineStr">
        <is>
          <t>A</t>
        </is>
      </c>
      <c r="E13" s="596" t="n">
        <v>2</v>
      </c>
      <c r="F13" s="597" t="n">
        <v>2</v>
      </c>
      <c r="G13" s="597" t="n">
        <v>1</v>
      </c>
      <c r="H13" s="595" t="n"/>
      <c r="I13" s="597" t="n"/>
      <c r="J13" s="597" t="n">
        <v>21</v>
      </c>
      <c r="K13" s="597" t="n"/>
      <c r="L13" s="597" t="n"/>
      <c r="M13" s="599" t="n"/>
      <c r="N13" s="568" t="n"/>
    </row>
    <row r="14" ht="17" customHeight="1" thickBot="1" thickTop="1">
      <c r="B14" s="584" t="inlineStr">
        <is>
          <t>ESTIMATES - ANNUALS</t>
        </is>
      </c>
      <c r="C14" s="585" t="n">
        <v>103</v>
      </c>
      <c r="D14" s="585" t="n">
        <v>4</v>
      </c>
      <c r="E14" s="585" t="n"/>
      <c r="F14" s="585" t="n"/>
      <c r="G14" s="585" t="n"/>
      <c r="H14" s="585" t="n"/>
      <c r="I14" s="585" t="n"/>
      <c r="J14" s="585" t="n"/>
      <c r="K14" s="585" t="n"/>
      <c r="L14" s="585" t="n"/>
      <c r="M14" s="602" t="inlineStr">
        <is>
          <t>2020A</t>
        </is>
      </c>
      <c r="N14" s="603" t="inlineStr">
        <is>
          <t>2021E</t>
        </is>
      </c>
      <c r="O14" s="603" t="inlineStr">
        <is>
          <t>2022E</t>
        </is>
      </c>
      <c r="P14" s="585" t="inlineStr">
        <is>
          <t>2023E</t>
        </is>
      </c>
      <c r="Q14" s="589" t="n"/>
      <c r="R14" s="589" t="n"/>
    </row>
    <row r="15" hidden="1" ht="15" customFormat="1" customHeight="1" s="569" thickTop="1">
      <c r="B15" s="591" t="inlineStr">
        <is>
          <t>Year PeriodId</t>
        </is>
      </c>
      <c r="C15" s="604" t="n"/>
      <c r="D15" s="605" t="n"/>
      <c r="E15" s="590" t="n"/>
      <c r="F15" s="591" t="n"/>
      <c r="G15" s="591" t="n"/>
      <c r="H15" s="605" t="n"/>
      <c r="I15" s="577" t="n"/>
      <c r="J15" s="591" t="n"/>
      <c r="K15" s="591" t="n"/>
      <c r="L15" s="591" t="n"/>
      <c r="M15" s="606" t="n">
        <v>1</v>
      </c>
      <c r="N15" s="607" t="n">
        <v>2</v>
      </c>
      <c r="O15" s="607" t="n">
        <v>3</v>
      </c>
      <c r="P15" s="592" t="n">
        <v>4</v>
      </c>
      <c r="Q15" s="589" t="n"/>
      <c r="R15" s="589" t="n"/>
    </row>
    <row r="16" ht="15" customFormat="1" customHeight="1" s="569" thickTop="1">
      <c r="B16" s="608" t="inlineStr">
        <is>
          <t>EPS - Current</t>
        </is>
      </c>
      <c r="C16" s="604" t="inlineStr">
        <is>
          <t>EPSRPT</t>
        </is>
      </c>
      <c r="D16" s="605" t="inlineStr">
        <is>
          <t>E</t>
        </is>
      </c>
      <c r="E16" s="590" t="n">
        <v>3</v>
      </c>
      <c r="F16" s="591" t="n">
        <v>1</v>
      </c>
      <c r="G16" s="591" t="n">
        <v>0</v>
      </c>
      <c r="H16" s="605" t="n"/>
      <c r="I16" s="577" t="inlineStr">
        <is>
          <t>USD</t>
        </is>
      </c>
      <c r="J16" s="591" t="n">
        <v>30</v>
      </c>
      <c r="K16" s="591" t="n">
        <v>1</v>
      </c>
      <c r="L16" s="591" t="n"/>
      <c r="M16" s="606" t="n">
        <v>134.677</v>
      </c>
      <c r="N16" s="607" t="n">
        <v>202.186</v>
      </c>
      <c r="O16" s="607" t="n">
        <v>219.493</v>
      </c>
      <c r="P16" s="592" t="n">
        <v>241.168</v>
      </c>
      <c r="Q16" s="589" t="n"/>
      <c r="R16" s="589" t="n"/>
    </row>
    <row r="17" ht="15" customFormat="1" customHeight="1" s="569" thickBot="1">
      <c r="B17" s="609" t="inlineStr">
        <is>
          <t>EPS - New</t>
        </is>
      </c>
      <c r="C17" s="610" t="inlineStr">
        <is>
          <t>EPSRPT_DRAFT</t>
        </is>
      </c>
      <c r="D17" s="611" t="inlineStr">
        <is>
          <t>E</t>
        </is>
      </c>
      <c r="E17" s="596" t="n">
        <v>3</v>
      </c>
      <c r="F17" s="598" t="n">
        <v>1</v>
      </c>
      <c r="G17" s="598" t="n">
        <v>1</v>
      </c>
      <c r="H17" s="611" t="n"/>
      <c r="I17" s="597" t="inlineStr">
        <is>
          <t>USD</t>
        </is>
      </c>
      <c r="J17" s="598" t="n">
        <v>31</v>
      </c>
      <c r="K17" s="598" t="n">
        <v>1</v>
      </c>
      <c r="L17" s="598" t="n"/>
      <c r="M17" s="612" t="n"/>
      <c r="N17" s="613" t="n"/>
      <c r="O17" s="613" t="n"/>
      <c r="P17" s="599" t="n"/>
      <c r="Q17" s="589" t="n"/>
      <c r="R17" s="589" t="n"/>
    </row>
    <row r="18" hidden="1" customFormat="1" s="569">
      <c r="B18" s="608" t="inlineStr">
        <is>
          <t>EPS - Current</t>
        </is>
      </c>
      <c r="C18" s="604" t="inlineStr">
        <is>
          <t>EPSADJ</t>
        </is>
      </c>
      <c r="D18" s="605" t="inlineStr">
        <is>
          <t>E</t>
        </is>
      </c>
      <c r="E18" s="590" t="n">
        <v>4</v>
      </c>
      <c r="F18" s="591" t="n">
        <v>2</v>
      </c>
      <c r="G18" s="591" t="n">
        <v>0</v>
      </c>
      <c r="H18" s="605" t="n"/>
      <c r="I18" s="577" t="inlineStr">
        <is>
          <t>USD</t>
        </is>
      </c>
      <c r="J18" s="591" t="n">
        <v>40</v>
      </c>
      <c r="K18" s="591" t="n">
        <v>1</v>
      </c>
      <c r="L18" s="591" t="n"/>
      <c r="M18" s="606" t="n">
        <v>134.677</v>
      </c>
      <c r="N18" s="607" t="n">
        <v>202.186</v>
      </c>
      <c r="O18" s="607" t="n">
        <v>219.493</v>
      </c>
      <c r="P18" s="592" t="n">
        <v>241.168</v>
      </c>
      <c r="Q18" s="589" t="n"/>
      <c r="R18" s="589" t="n"/>
    </row>
    <row r="19" hidden="1" ht="15" customFormat="1" customHeight="1" s="569" thickBot="1">
      <c r="B19" s="609" t="inlineStr">
        <is>
          <t>EPS - New</t>
        </is>
      </c>
      <c r="C19" s="610" t="inlineStr">
        <is>
          <t>EPSADJ_DRAFT</t>
        </is>
      </c>
      <c r="D19" s="611" t="inlineStr">
        <is>
          <t>E</t>
        </is>
      </c>
      <c r="E19" s="596" t="n">
        <v>4</v>
      </c>
      <c r="F19" s="598" t="n">
        <v>2</v>
      </c>
      <c r="G19" s="598" t="n">
        <v>1</v>
      </c>
      <c r="H19" s="611" t="n"/>
      <c r="I19" s="597" t="inlineStr">
        <is>
          <t>USD</t>
        </is>
      </c>
      <c r="J19" s="598" t="n">
        <v>41</v>
      </c>
      <c r="K19" s="598" t="n">
        <v>1</v>
      </c>
      <c r="L19" s="598" t="n"/>
      <c r="M19" s="612" t="n"/>
      <c r="N19" s="613" t="n"/>
      <c r="O19" s="613" t="n"/>
      <c r="P19" s="599" t="n"/>
      <c r="Q19" s="589" t="n"/>
      <c r="R19" s="589" t="n"/>
    </row>
    <row r="20" hidden="1" ht="17" customHeight="1" thickBot="1" thickTop="1">
      <c r="B20" s="584" t="inlineStr">
        <is>
          <t>ESTIMATES - QUARTERS</t>
        </is>
      </c>
      <c r="C20" s="585" t="n">
        <v>103</v>
      </c>
      <c r="D20" s="585" t="n">
        <v>0</v>
      </c>
      <c r="E20" s="585" t="n"/>
      <c r="F20" s="585" t="n"/>
      <c r="G20" s="585" t="n"/>
      <c r="H20" s="585" t="n"/>
      <c r="I20" s="585" t="n"/>
      <c r="J20" s="585" t="n"/>
      <c r="K20" s="602" t="n"/>
      <c r="L20" s="615" t="n"/>
      <c r="M20" s="600" t="n"/>
      <c r="N20" s="614" t="n"/>
      <c r="O20" s="575" t="n"/>
      <c r="P20" s="575" t="n"/>
    </row>
    <row r="21" hidden="1" ht="16" customFormat="1" customHeight="1" s="569" thickBot="1" thickTop="1">
      <c r="B21" s="591" t="inlineStr">
        <is>
          <t>Quarter PeriodId</t>
        </is>
      </c>
      <c r="C21" s="604" t="n"/>
      <c r="D21" s="605" t="n"/>
      <c r="E21" s="591" t="n"/>
      <c r="F21" s="591" t="n"/>
      <c r="G21" s="591" t="n"/>
      <c r="H21" s="605" t="n"/>
      <c r="I21" s="577" t="n"/>
      <c r="J21" s="591" t="n"/>
      <c r="K21" s="616" t="n"/>
      <c r="L21" s="617" t="n"/>
      <c r="M21" s="601" t="n"/>
      <c r="N21" s="589" t="n"/>
    </row>
    <row r="22" ht="17" customHeight="1" thickBot="1" thickTop="1">
      <c r="B22" s="584" t="inlineStr">
        <is>
          <t>VALUATIONS</t>
        </is>
      </c>
      <c r="C22" s="585" t="n">
        <v>22</v>
      </c>
      <c r="D22" s="585" t="n">
        <v>4</v>
      </c>
      <c r="E22" s="585" t="n"/>
      <c r="F22" s="585" t="n"/>
      <c r="G22" s="585" t="n"/>
      <c r="H22" s="585" t="n"/>
      <c r="I22" s="585" t="n"/>
      <c r="J22" s="585" t="n"/>
      <c r="K22" s="585" t="n"/>
      <c r="L22" s="585" t="n"/>
      <c r="M22" s="585" t="n">
        <v>2020</v>
      </c>
      <c r="N22" s="585" t="n">
        <v>2021</v>
      </c>
      <c r="O22" s="585" t="n">
        <v>2022</v>
      </c>
      <c r="P22" s="585" t="n">
        <v>2023</v>
      </c>
      <c r="Q22" s="589" t="n"/>
      <c r="R22" s="589" t="n"/>
    </row>
    <row r="23" ht="15" customFormat="1" customHeight="1" s="569" thickTop="1">
      <c r="B23" s="618" t="inlineStr">
        <is>
          <t>P/E - Current (x)</t>
        </is>
      </c>
      <c r="C23" s="604" t="inlineStr">
        <is>
          <t>P/EPSRPT</t>
        </is>
      </c>
      <c r="D23" s="605" t="inlineStr">
        <is>
          <t>V</t>
        </is>
      </c>
      <c r="E23" s="591" t="n">
        <v>55</v>
      </c>
      <c r="F23" s="591" t="n">
        <v>1</v>
      </c>
      <c r="G23" s="591" t="n">
        <v>0</v>
      </c>
      <c r="H23" s="605" t="n"/>
      <c r="I23" s="577" t="n"/>
      <c r="J23" s="591" t="n">
        <v>550</v>
      </c>
      <c r="K23" s="591" t="n"/>
      <c r="L23" s="591" t="inlineStr">
        <is>
          <t>x</t>
        </is>
      </c>
      <c r="M23" s="619" t="n">
        <v>33.2</v>
      </c>
      <c r="N23" s="619" t="n">
        <v>22.11</v>
      </c>
      <c r="O23" s="619" t="n">
        <v>20.37</v>
      </c>
      <c r="P23" s="619" t="n">
        <v>18.54</v>
      </c>
      <c r="Q23" s="589" t="n"/>
      <c r="R23" s="589" t="n"/>
    </row>
    <row r="24" ht="15" customFormat="1" customHeight="1" s="569" thickBot="1">
      <c r="B24" s="620" t="inlineStr">
        <is>
          <t>P/E - New (x)</t>
        </is>
      </c>
      <c r="C24" s="621" t="inlineStr">
        <is>
          <t>P/EPSRPT_DRAFT</t>
        </is>
      </c>
      <c r="D24" s="622" t="inlineStr">
        <is>
          <t>V</t>
        </is>
      </c>
      <c r="E24" s="623" t="n">
        <v>55</v>
      </c>
      <c r="F24" s="623" t="n">
        <v>1</v>
      </c>
      <c r="G24" s="623" t="n">
        <v>1</v>
      </c>
      <c r="H24" s="622" t="inlineStr">
        <is>
          <t>[[CLOSEPRICE]/[EPSRPT]]</t>
        </is>
      </c>
      <c r="I24" s="641" t="n"/>
      <c r="J24" s="623" t="n">
        <v>551</v>
      </c>
      <c r="K24" s="623" t="n"/>
      <c r="L24" s="623" t="inlineStr">
        <is>
          <t>x</t>
        </is>
      </c>
      <c r="M24" s="624">
        <f>IF(ISERROR(($P$29)/(M17)),"",($P$29)/(M17))</f>
        <v/>
      </c>
      <c r="N24" s="624">
        <f>IF(ISERROR(($P$29)/(N17)),"",($P$29)/(N17))</f>
        <v/>
      </c>
      <c r="O24" s="624">
        <f>IF(ISERROR(($P$29)/(O17)),"",($P$29)/(O17))</f>
        <v/>
      </c>
      <c r="P24" s="624">
        <f>IF(ISERROR(($P$29)/(P17)),"",($P$29)/(P17))</f>
        <v/>
      </c>
      <c r="Q24" s="589" t="n"/>
      <c r="R24" s="589" t="n"/>
    </row>
    <row r="25" hidden="1" customFormat="1" s="569">
      <c r="B25" s="618" t="inlineStr">
        <is>
          <t>P/E - Current (x)</t>
        </is>
      </c>
      <c r="C25" s="604" t="inlineStr">
        <is>
          <t>P/EPSADJ</t>
        </is>
      </c>
      <c r="D25" s="605" t="inlineStr">
        <is>
          <t>V</t>
        </is>
      </c>
      <c r="E25" s="591" t="n">
        <v>56</v>
      </c>
      <c r="F25" s="591" t="n">
        <v>2</v>
      </c>
      <c r="G25" s="591" t="n">
        <v>0</v>
      </c>
      <c r="H25" s="605" t="n"/>
      <c r="I25" s="577" t="n"/>
      <c r="J25" s="591" t="n">
        <v>560</v>
      </c>
      <c r="K25" s="591" t="n"/>
      <c r="L25" s="591" t="inlineStr">
        <is>
          <t>x</t>
        </is>
      </c>
      <c r="M25" s="619" t="n">
        <v>33.2</v>
      </c>
      <c r="N25" s="619" t="n">
        <v>22.11</v>
      </c>
      <c r="O25" s="619" t="n">
        <v>20.37</v>
      </c>
      <c r="P25" s="619" t="n">
        <v>18.54</v>
      </c>
      <c r="Q25" s="589" t="n"/>
      <c r="R25" s="589" t="n"/>
    </row>
    <row r="26" hidden="1" ht="15" customFormat="1" customHeight="1" s="569" thickBot="1">
      <c r="B26" s="620" t="inlineStr">
        <is>
          <t>P/E - New (x)</t>
        </is>
      </c>
      <c r="C26" s="621" t="inlineStr">
        <is>
          <t>P/EPSADJ_DRAFT</t>
        </is>
      </c>
      <c r="D26" s="622" t="inlineStr">
        <is>
          <t>V</t>
        </is>
      </c>
      <c r="E26" s="623" t="n">
        <v>56</v>
      </c>
      <c r="F26" s="623" t="n">
        <v>2</v>
      </c>
      <c r="G26" s="623" t="n">
        <v>1</v>
      </c>
      <c r="H26" s="622" t="inlineStr">
        <is>
          <t>[[CLOSEPRICE]/[EPSADJ]]</t>
        </is>
      </c>
      <c r="I26" s="641" t="n"/>
      <c r="J26" s="623" t="n">
        <v>561</v>
      </c>
      <c r="K26" s="623" t="n"/>
      <c r="L26" s="623" t="inlineStr">
        <is>
          <t>x</t>
        </is>
      </c>
      <c r="M26" s="624">
        <f>IF(ISERROR(($P$29)/(M19)),"",($P$29)/(M19))</f>
        <v/>
      </c>
      <c r="N26" s="624">
        <f>IF(ISERROR(($P$29)/(N19)),"",($P$29)/(N19))</f>
        <v/>
      </c>
      <c r="O26" s="624">
        <f>IF(ISERROR(($P$29)/(O19)),"",($P$29)/(O19))</f>
        <v/>
      </c>
      <c r="P26" s="624">
        <f>IF(ISERROR(($P$29)/(P19)),"",($P$29)/(P19))</f>
        <v/>
      </c>
      <c r="Q26" s="589" t="n"/>
      <c r="R26" s="589" t="n"/>
    </row>
    <row r="27" ht="17" customHeight="1" thickBot="1" thickTop="1">
      <c r="B27" s="584" t="inlineStr">
        <is>
          <t>MARKET DATA</t>
        </is>
      </c>
      <c r="C27" s="585" t="n">
        <v>18</v>
      </c>
      <c r="D27" s="585" t="n"/>
      <c r="E27" s="585" t="n"/>
      <c r="F27" s="585" t="n"/>
      <c r="G27" s="585" t="n"/>
      <c r="H27" s="585" t="n"/>
      <c r="I27" s="585" t="n"/>
      <c r="J27" s="585" t="n"/>
      <c r="K27" s="585" t="n"/>
      <c r="L27" s="585" t="n"/>
      <c r="M27" s="585" t="inlineStr">
        <is>
          <t>Bloomberg</t>
        </is>
      </c>
      <c r="N27" s="583" t="inlineStr">
        <is>
          <t>Override</t>
        </is>
      </c>
      <c r="O27" s="636" t="inlineStr">
        <is>
          <t>Corrections</t>
        </is>
      </c>
      <c r="P27" s="585" t="inlineStr">
        <is>
          <t>Effective</t>
        </is>
      </c>
    </row>
    <row r="28" ht="15" customHeight="1" thickTop="1">
      <c r="B28" s="579" t="inlineStr">
        <is>
          <t>Close Date (USD)</t>
        </is>
      </c>
      <c r="C28" s="579" t="inlineStr">
        <is>
          <t>CLOSEDATE</t>
        </is>
      </c>
      <c r="D28" s="580" t="inlineStr">
        <is>
          <t>M</t>
        </is>
      </c>
      <c r="E28" s="577" t="n">
        <v>75</v>
      </c>
      <c r="F28" s="577" t="n">
        <v>1</v>
      </c>
      <c r="G28" s="577" t="n"/>
      <c r="H28" s="580" t="n"/>
      <c r="I28" s="577" t="inlineStr">
        <is>
          <t>USD</t>
        </is>
      </c>
      <c r="J28" s="577" t="n">
        <v>75</v>
      </c>
      <c r="K28" s="577" t="n"/>
      <c r="L28" s="577" t="n"/>
      <c r="M28" s="942" t="n">
        <v>44607</v>
      </c>
      <c r="N28" s="943" t="n"/>
      <c r="O28" s="942" t="n"/>
      <c r="P28" s="942">
        <f>IF(ISBLANK(N28),M28,N28)</f>
        <v/>
      </c>
    </row>
    <row r="29">
      <c r="B29" s="626" t="inlineStr">
        <is>
          <t>Close Price (USD)</t>
        </is>
      </c>
      <c r="C29" s="626" t="inlineStr">
        <is>
          <t>CLOSEPRICE</t>
        </is>
      </c>
      <c r="D29" s="627" t="inlineStr">
        <is>
          <t>M</t>
        </is>
      </c>
      <c r="E29" s="628" t="n">
        <v>76</v>
      </c>
      <c r="F29" s="628" t="n">
        <v>2</v>
      </c>
      <c r="G29" s="628" t="n"/>
      <c r="H29" s="627" t="n"/>
      <c r="I29" s="628" t="inlineStr">
        <is>
          <t>USD</t>
        </is>
      </c>
      <c r="J29" s="628" t="n">
        <v>76</v>
      </c>
      <c r="K29" s="628" t="n"/>
      <c r="L29" s="628" t="n"/>
      <c r="M29" s="629" t="n">
        <v>4471.07</v>
      </c>
      <c r="N29" s="612" t="n"/>
      <c r="O29" s="629" t="n"/>
      <c r="P29" s="629">
        <f>IF(ISBLANK(N29),M29,N29)</f>
        <v/>
      </c>
    </row>
    <row r="30">
      <c r="B30" s="579" t="inlineStr">
        <is>
          <t>Div Per Share (USD)</t>
        </is>
      </c>
      <c r="C30" s="579" t="inlineStr">
        <is>
          <t>DIVPERSH</t>
        </is>
      </c>
      <c r="D30" s="580" t="inlineStr">
        <is>
          <t>M</t>
        </is>
      </c>
      <c r="E30" s="577" t="n">
        <v>79</v>
      </c>
      <c r="F30" s="577" t="n">
        <v>5</v>
      </c>
      <c r="G30" s="577" t="n"/>
      <c r="H30" s="580" t="n"/>
      <c r="I30" s="577" t="inlineStr">
        <is>
          <t>USD</t>
        </is>
      </c>
      <c r="J30" s="577" t="n">
        <v>79</v>
      </c>
      <c r="K30" s="577" t="n"/>
      <c r="L30" s="577" t="n"/>
      <c r="M30" s="625" t="n"/>
      <c r="N30" s="612" t="n"/>
      <c r="O30" s="625" t="n"/>
      <c r="P30" s="625">
        <f>IF(ISBLANK(N30),M30,N30)</f>
        <v/>
      </c>
    </row>
    <row r="31">
      <c r="B31" s="626" t="inlineStr">
        <is>
          <t>EV (USD) (1,000,000)</t>
        </is>
      </c>
      <c r="C31" s="626" t="inlineStr">
        <is>
          <t>EV</t>
        </is>
      </c>
      <c r="D31" s="627" t="inlineStr">
        <is>
          <t>M</t>
        </is>
      </c>
      <c r="E31" s="628" t="n">
        <v>80</v>
      </c>
      <c r="F31" s="628" t="n">
        <v>6</v>
      </c>
      <c r="G31" s="628" t="n"/>
      <c r="H31" s="627" t="n"/>
      <c r="I31" s="628" t="inlineStr">
        <is>
          <t>USD</t>
        </is>
      </c>
      <c r="J31" s="628" t="n">
        <v>80</v>
      </c>
      <c r="K31" s="628" t="n"/>
      <c r="L31" s="630" t="n">
        <v>1000000</v>
      </c>
      <c r="M31" s="629" t="n">
        <v>4925.23</v>
      </c>
      <c r="N31" s="612" t="n"/>
      <c r="O31" s="629" t="n"/>
      <c r="P31" s="629">
        <f>IF(ISBLANK(N31),M31,N31)</f>
        <v/>
      </c>
    </row>
    <row r="32">
      <c r="B32" s="579" t="inlineStr">
        <is>
          <t>Net Debt (USD) (1,000,000)</t>
        </is>
      </c>
      <c r="C32" s="579" t="inlineStr">
        <is>
          <t>NETDEBT</t>
        </is>
      </c>
      <c r="D32" s="580" t="inlineStr">
        <is>
          <t>M</t>
        </is>
      </c>
      <c r="E32" s="577" t="n">
        <v>81</v>
      </c>
      <c r="F32" s="577" t="n">
        <v>7</v>
      </c>
      <c r="G32" s="577" t="n"/>
      <c r="H32" s="580" t="n"/>
      <c r="I32" s="577" t="inlineStr">
        <is>
          <t>USD</t>
        </is>
      </c>
      <c r="J32" s="577" t="n">
        <v>81</v>
      </c>
      <c r="K32" s="577" t="n"/>
      <c r="L32" s="631" t="n">
        <v>1000000</v>
      </c>
      <c r="M32" s="625" t="n"/>
      <c r="N32" s="612" t="n"/>
      <c r="O32" s="625" t="n"/>
      <c r="P32" s="625">
        <f>IF(ISBLANK(N32),M32,N32)</f>
        <v/>
      </c>
    </row>
    <row r="33">
      <c r="B33" s="626" t="inlineStr">
        <is>
          <t>52-Week Low (USD)</t>
        </is>
      </c>
      <c r="C33" s="626" t="inlineStr">
        <is>
          <t>52_WEEK_LOW</t>
        </is>
      </c>
      <c r="D33" s="627" t="inlineStr">
        <is>
          <t>M</t>
        </is>
      </c>
      <c r="E33" s="628" t="n">
        <v>82</v>
      </c>
      <c r="F33" s="628" t="n">
        <v>8</v>
      </c>
      <c r="G33" s="628" t="n"/>
      <c r="H33" s="627" t="n"/>
      <c r="I33" s="628" t="inlineStr">
        <is>
          <t>USD</t>
        </is>
      </c>
      <c r="J33" s="628" t="n">
        <v>82</v>
      </c>
      <c r="K33" s="628" t="n"/>
      <c r="L33" s="628" t="n"/>
      <c r="M33" s="629" t="n">
        <v>3723.34</v>
      </c>
      <c r="N33" s="612" t="n"/>
      <c r="O33" s="629" t="n"/>
      <c r="P33" s="629">
        <f>IF(ISBLANK(N33),M33,N33)</f>
        <v/>
      </c>
    </row>
    <row r="34">
      <c r="B34" s="579" t="inlineStr">
        <is>
          <t>52-Week High (USD)</t>
        </is>
      </c>
      <c r="C34" s="579" t="inlineStr">
        <is>
          <t>52_WEEK_HIGH</t>
        </is>
      </c>
      <c r="D34" s="580" t="inlineStr">
        <is>
          <t>M</t>
        </is>
      </c>
      <c r="E34" s="577" t="n">
        <v>83</v>
      </c>
      <c r="F34" s="577" t="n">
        <v>9</v>
      </c>
      <c r="G34" s="577" t="n"/>
      <c r="H34" s="580" t="n"/>
      <c r="I34" s="577" t="inlineStr">
        <is>
          <t>USD</t>
        </is>
      </c>
      <c r="J34" s="577" t="n">
        <v>83</v>
      </c>
      <c r="K34" s="577" t="n"/>
      <c r="L34" s="577" t="n"/>
      <c r="M34" s="625" t="n">
        <v>4818.62</v>
      </c>
      <c r="N34" s="612" t="n"/>
      <c r="O34" s="625" t="n"/>
      <c r="P34" s="625">
        <f>IF(ISBLANK(N34),M34,N34)</f>
        <v/>
      </c>
    </row>
    <row r="35">
      <c r="B35" s="626" t="inlineStr">
        <is>
          <t>FYE (USD)</t>
        </is>
      </c>
      <c r="C35" s="626" t="inlineStr">
        <is>
          <t>EQY_FISCAL_YR_END</t>
        </is>
      </c>
      <c r="D35" s="627" t="inlineStr">
        <is>
          <t>M</t>
        </is>
      </c>
      <c r="E35" s="628" t="n">
        <v>84</v>
      </c>
      <c r="F35" s="628" t="n">
        <v>10</v>
      </c>
      <c r="G35" s="628" t="n"/>
      <c r="H35" s="627" t="n"/>
      <c r="I35" s="628" t="inlineStr">
        <is>
          <t>USD</t>
        </is>
      </c>
      <c r="J35" s="628" t="n">
        <v>84</v>
      </c>
      <c r="K35" s="628" t="n"/>
      <c r="L35" s="628" t="n"/>
      <c r="M35" s="635" t="n"/>
      <c r="N35" s="639" t="n"/>
      <c r="O35" s="635" t="n"/>
      <c r="P35" s="635">
        <f>IF(ISBLANK(N35),M35,N35)</f>
        <v/>
      </c>
    </row>
    <row r="36">
      <c r="B36" s="579" t="inlineStr">
        <is>
          <t>Indicated Div Yield (USD) (%)</t>
        </is>
      </c>
      <c r="C36" s="579" t="inlineStr">
        <is>
          <t>EQY_DVD_YLD_IND</t>
        </is>
      </c>
      <c r="D36" s="580" t="inlineStr">
        <is>
          <t>M</t>
        </is>
      </c>
      <c r="E36" s="577" t="n">
        <v>85</v>
      </c>
      <c r="F36" s="577" t="n">
        <v>11</v>
      </c>
      <c r="G36" s="577" t="n"/>
      <c r="H36" s="580" t="n"/>
      <c r="I36" s="577" t="inlineStr">
        <is>
          <t>USD</t>
        </is>
      </c>
      <c r="J36" s="577" t="n">
        <v>85</v>
      </c>
      <c r="K36" s="577" t="n"/>
      <c r="L36" s="577" t="inlineStr">
        <is>
          <t>%</t>
        </is>
      </c>
      <c r="M36" s="632" t="n"/>
      <c r="N36" s="640" t="n"/>
      <c r="O36" s="632" t="n"/>
      <c r="P36" s="632">
        <f>IF(ISBLANK(N36),M36,N36)</f>
        <v/>
      </c>
    </row>
    <row r="37">
      <c r="B37" s="626" t="inlineStr">
        <is>
          <t>Market Cap (USD) (1,000,000)</t>
        </is>
      </c>
      <c r="C37" s="626" t="inlineStr">
        <is>
          <t>CUR_MKT_CAP</t>
        </is>
      </c>
      <c r="D37" s="627" t="inlineStr">
        <is>
          <t>M</t>
        </is>
      </c>
      <c r="E37" s="628" t="n">
        <v>86</v>
      </c>
      <c r="F37" s="628" t="n">
        <v>12</v>
      </c>
      <c r="G37" s="628" t="n"/>
      <c r="H37" s="627" t="n"/>
      <c r="I37" s="628" t="inlineStr">
        <is>
          <t>USD</t>
        </is>
      </c>
      <c r="J37" s="628" t="n">
        <v>86</v>
      </c>
      <c r="K37" s="628" t="n"/>
      <c r="L37" s="630" t="n">
        <v>1000000</v>
      </c>
      <c r="M37" s="629" t="n">
        <v>38782948.83</v>
      </c>
      <c r="N37" s="612" t="n"/>
      <c r="O37" s="629" t="n"/>
      <c r="P37" s="629">
        <f>IF(ISBLANK(N37),M37,N37)</f>
        <v/>
      </c>
    </row>
    <row r="38">
      <c r="B38" s="579" t="inlineStr">
        <is>
          <t>Perf 1M (USD) (%)</t>
        </is>
      </c>
      <c r="C38" s="579" t="inlineStr">
        <is>
          <t>CHG_PCT_1M</t>
        </is>
      </c>
      <c r="D38" s="580" t="inlineStr">
        <is>
          <t>M</t>
        </is>
      </c>
      <c r="E38" s="577" t="n">
        <v>87</v>
      </c>
      <c r="F38" s="577" t="n">
        <v>13</v>
      </c>
      <c r="G38" s="577" t="n"/>
      <c r="H38" s="580" t="n"/>
      <c r="I38" s="577" t="inlineStr">
        <is>
          <t>USD</t>
        </is>
      </c>
      <c r="J38" s="577" t="n">
        <v>87</v>
      </c>
      <c r="K38" s="577" t="n"/>
      <c r="L38" s="577" t="inlineStr">
        <is>
          <t>%</t>
        </is>
      </c>
      <c r="M38" s="632" t="n">
        <v>-0.04113</v>
      </c>
      <c r="N38" s="640" t="n"/>
      <c r="O38" s="632" t="n"/>
      <c r="P38" s="632">
        <f>IF(ISBLANK(N38),M38,N38)</f>
        <v/>
      </c>
    </row>
    <row r="39">
      <c r="B39" s="626" t="inlineStr">
        <is>
          <t>Perf 3M (USD) (%)</t>
        </is>
      </c>
      <c r="C39" s="626" t="inlineStr">
        <is>
          <t>CHG_PCT_3M</t>
        </is>
      </c>
      <c r="D39" s="627" t="inlineStr">
        <is>
          <t>M</t>
        </is>
      </c>
      <c r="E39" s="628" t="n">
        <v>88</v>
      </c>
      <c r="F39" s="628" t="n">
        <v>14</v>
      </c>
      <c r="G39" s="628" t="n"/>
      <c r="H39" s="627" t="n"/>
      <c r="I39" s="628" t="inlineStr">
        <is>
          <t>USD</t>
        </is>
      </c>
      <c r="J39" s="628" t="n">
        <v>88</v>
      </c>
      <c r="K39" s="628" t="n"/>
      <c r="L39" s="628" t="inlineStr">
        <is>
          <t>%</t>
        </is>
      </c>
      <c r="M39" s="633" t="n"/>
      <c r="N39" s="640" t="n"/>
      <c r="O39" s="633" t="n"/>
      <c r="P39" s="633">
        <f>IF(ISBLANK(N39),M39,N39)</f>
        <v/>
      </c>
    </row>
    <row r="40">
      <c r="B40" s="579" t="inlineStr">
        <is>
          <t>Perf 6M (USD) (%)</t>
        </is>
      </c>
      <c r="C40" s="579" t="inlineStr">
        <is>
          <t>CHG_PCT_6M</t>
        </is>
      </c>
      <c r="D40" s="580" t="inlineStr">
        <is>
          <t>M</t>
        </is>
      </c>
      <c r="E40" s="577" t="n">
        <v>89</v>
      </c>
      <c r="F40" s="577" t="n">
        <v>15</v>
      </c>
      <c r="G40" s="577" t="n"/>
      <c r="H40" s="580" t="n"/>
      <c r="I40" s="577" t="inlineStr">
        <is>
          <t>USD</t>
        </is>
      </c>
      <c r="J40" s="577" t="n">
        <v>89</v>
      </c>
      <c r="K40" s="577" t="n"/>
      <c r="L40" s="577" t="inlineStr">
        <is>
          <t>%</t>
        </is>
      </c>
      <c r="M40" s="632" t="n">
        <v>0.00069</v>
      </c>
      <c r="N40" s="640" t="n"/>
      <c r="O40" s="632" t="n"/>
      <c r="P40" s="632">
        <f>IF(ISBLANK(N40),M40,N40)</f>
        <v/>
      </c>
    </row>
    <row r="41">
      <c r="B41" s="626" t="inlineStr">
        <is>
          <t>Perf 12M (USD) (%)</t>
        </is>
      </c>
      <c r="C41" s="626" t="inlineStr">
        <is>
          <t>CHG_PCT_1YR</t>
        </is>
      </c>
      <c r="D41" s="627" t="inlineStr">
        <is>
          <t>M</t>
        </is>
      </c>
      <c r="E41" s="628" t="n">
        <v>90</v>
      </c>
      <c r="F41" s="628" t="n">
        <v>16</v>
      </c>
      <c r="G41" s="628" t="n"/>
      <c r="H41" s="627" t="n"/>
      <c r="I41" s="628" t="inlineStr">
        <is>
          <t>USD</t>
        </is>
      </c>
      <c r="J41" s="628" t="n">
        <v>90</v>
      </c>
      <c r="K41" s="628" t="n"/>
      <c r="L41" s="628" t="inlineStr">
        <is>
          <t>%</t>
        </is>
      </c>
      <c r="M41" s="633" t="n">
        <v>0.13628</v>
      </c>
      <c r="N41" s="640" t="n"/>
      <c r="O41" s="633" t="n"/>
      <c r="P41" s="633">
        <f>IF(ISBLANK(N41),M41,N41)</f>
        <v/>
      </c>
    </row>
    <row r="42">
      <c r="B42" s="579" t="inlineStr">
        <is>
          <t>Perf YTD (USD) (%)</t>
        </is>
      </c>
      <c r="C42" s="579" t="inlineStr">
        <is>
          <t>CHG_PCT_YTD</t>
        </is>
      </c>
      <c r="D42" s="580" t="inlineStr">
        <is>
          <t>M</t>
        </is>
      </c>
      <c r="E42" s="577" t="n">
        <v>91</v>
      </c>
      <c r="F42" s="577" t="n">
        <v>17</v>
      </c>
      <c r="G42" s="577" t="n"/>
      <c r="H42" s="580" t="n"/>
      <c r="I42" s="577" t="inlineStr">
        <is>
          <t>USD</t>
        </is>
      </c>
      <c r="J42" s="577" t="n">
        <v>91</v>
      </c>
      <c r="K42" s="577" t="n"/>
      <c r="L42" s="577" t="inlineStr">
        <is>
          <t>%</t>
        </is>
      </c>
      <c r="M42" s="632" t="n">
        <v>-0.06192</v>
      </c>
      <c r="N42" s="640" t="n"/>
      <c r="O42" s="632" t="n"/>
      <c r="P42" s="632">
        <f>IF(ISBLANK(N42),M42,N42)</f>
        <v/>
      </c>
    </row>
    <row r="43">
      <c r="B43" s="626" t="inlineStr">
        <is>
          <t>Fund Currency (USD)</t>
        </is>
      </c>
      <c r="C43" s="626" t="inlineStr">
        <is>
          <t>EQY_FUND_CRNCY</t>
        </is>
      </c>
      <c r="D43" s="627" t="inlineStr">
        <is>
          <t>M</t>
        </is>
      </c>
      <c r="E43" s="628" t="n">
        <v>92</v>
      </c>
      <c r="F43" s="628" t="n">
        <v>18</v>
      </c>
      <c r="G43" s="628" t="n"/>
      <c r="H43" s="627" t="n"/>
      <c r="I43" s="628" t="inlineStr">
        <is>
          <t>USD</t>
        </is>
      </c>
      <c r="J43" s="628" t="n">
        <v>92</v>
      </c>
      <c r="K43" s="628" t="n"/>
      <c r="L43" s="628" t="n"/>
      <c r="M43" s="629" t="inlineStr">
        <is>
          <t>USD</t>
        </is>
      </c>
      <c r="N43" s="612" t="n"/>
      <c r="O43" s="629" t="n"/>
      <c r="P43" s="629">
        <f>IF(ISBLANK(N43),M43,N43)</f>
        <v/>
      </c>
    </row>
  </sheetData>
  <sheetProtection selectLockedCells="0" selectUnlockedCells="0" algorithmName="SHA-512" sheet="1" objects="1" insertRows="1" insertHyperlinks="1" autoFilter="1" scenarios="1" formatColumns="0" deleteColumns="1" insertColumns="1" pivotTables="1" deleteRows="1" formatCells="0" saltValue="C042jsawA/LwtwVmWPD4oA==" formatRows="0" sort="1" spinCount="100000" hashValue="pnSMAbfDVndf9+fmvU46fQ2p78MDik/r+ReeIBSGY3GebRCnJvzENWZjctxViboyqBOmTT008Dwop3xQhsyxxQ=="/>
  <pageMargins left="0.7" right="0.7" top="0.75" bottom="0.75" header="0.3" footer="0.3"/>
  <pageSetup orientation="portrait" paperSize="195"/>
</worksheet>
</file>

<file path=xl/worksheets/sheet14.xml><?xml version="1.0" encoding="utf-8"?>
<worksheet xmlns="http://schemas.openxmlformats.org/spreadsheetml/2006/main">
  <sheetPr codeName="Sheet9">
    <tabColor rgb="FF92D050"/>
    <outlinePr summaryBelow="1" summaryRight="1"/>
    <pageSetUpPr fitToPage="1"/>
  </sheetPr>
  <dimension ref="A1:AY336"/>
  <sheetViews>
    <sheetView workbookViewId="0">
      <selection activeCell="A1" sqref="A1"/>
    </sheetView>
  </sheetViews>
  <sheetFormatPr baseColWidth="10" defaultColWidth="9.33203125" defaultRowHeight="13"/>
  <cols>
    <col width="45.6640625" customWidth="1" style="20" min="1" max="1"/>
    <col width="19.33203125" customWidth="1" style="20" min="2" max="2"/>
    <col width="23.6640625" customWidth="1" style="20" min="3" max="3"/>
    <col width="15.6640625" customWidth="1" style="20" min="4" max="11"/>
    <col width="8.6640625" customWidth="1" min="12" max="12"/>
    <col width="15.6640625" customWidth="1" style="20" min="13" max="20"/>
    <col width="15.6640625" customWidth="1" min="21" max="21"/>
    <col width="15.6640625" customWidth="1" style="20" min="22" max="32"/>
    <col width="9.33203125" customWidth="1" style="20" min="33" max="33"/>
    <col width="15.6640625" customWidth="1" style="20" min="34" max="51"/>
    <col width="9.33203125" customWidth="1" style="20" min="52" max="16384"/>
  </cols>
  <sheetData>
    <row r="1">
      <c r="A1" s="22">
        <f>Summary!$B$5</f>
        <v/>
      </c>
      <c r="B1" s="22" t="n"/>
      <c r="C1" s="22" t="n"/>
      <c r="D1" s="23" t="n"/>
      <c r="E1" s="23" t="n"/>
      <c r="F1" s="23">
        <f>+G1-1</f>
        <v/>
      </c>
      <c r="G1" s="23">
        <f>+H1-1</f>
        <v/>
      </c>
      <c r="H1" s="23">
        <f>+I1-1</f>
        <v/>
      </c>
      <c r="I1" s="23" t="n">
        <v>2011</v>
      </c>
      <c r="J1" s="23" t="n"/>
      <c r="K1" s="23" t="n"/>
      <c r="M1" s="23" t="n">
        <v>2012</v>
      </c>
      <c r="N1" s="23" t="n"/>
      <c r="O1" s="23" t="n"/>
      <c r="P1" s="23" t="n"/>
      <c r="Q1" s="23" t="n">
        <v>2013</v>
      </c>
      <c r="R1" s="23" t="n"/>
      <c r="S1" s="23" t="n"/>
      <c r="T1" s="23" t="n"/>
      <c r="U1" s="23" t="n"/>
      <c r="V1" s="23" t="n"/>
      <c r="W1" s="23" t="n"/>
      <c r="X1" s="23" t="n"/>
      <c r="Y1" s="23" t="n"/>
      <c r="Z1" s="23" t="n"/>
      <c r="AA1" s="23" t="n"/>
      <c r="AB1" s="23" t="n"/>
      <c r="AC1" s="23" t="n"/>
      <c r="AD1" s="23" t="n"/>
      <c r="AE1" s="23" t="n"/>
      <c r="AF1" s="23" t="n"/>
      <c r="AH1" s="23" t="n">
        <v>2001</v>
      </c>
      <c r="AI1" s="23">
        <f>+AH1+1</f>
        <v/>
      </c>
      <c r="AJ1" s="23">
        <f>+AI1+1</f>
        <v/>
      </c>
      <c r="AK1" s="23">
        <f>+AJ1+1</f>
        <v/>
      </c>
      <c r="AL1" s="23">
        <f>+AK1+1</f>
        <v/>
      </c>
      <c r="AM1" s="23">
        <f>+AL1+1</f>
        <v/>
      </c>
      <c r="AN1" s="23">
        <f>+AM1+1</f>
        <v/>
      </c>
      <c r="AO1" s="23">
        <f>+AN1+1</f>
        <v/>
      </c>
      <c r="AP1" s="23">
        <f>+AO1+1</f>
        <v/>
      </c>
      <c r="AQ1" s="23">
        <f>+AP1+1</f>
        <v/>
      </c>
      <c r="AR1" s="23">
        <f>+AQ1+1</f>
        <v/>
      </c>
      <c r="AS1" s="23">
        <f>+AR1+1</f>
        <v/>
      </c>
      <c r="AT1" s="23">
        <f>+AS1+1</f>
        <v/>
      </c>
      <c r="AU1" s="23">
        <f>+AT1+1</f>
        <v/>
      </c>
      <c r="AV1" s="23">
        <f>+AU1+1</f>
        <v/>
      </c>
      <c r="AW1" s="23">
        <f>+AV1+1</f>
        <v/>
      </c>
      <c r="AX1" s="23">
        <f>+AW1+1</f>
        <v/>
      </c>
      <c r="AY1" s="23">
        <f>+AX1+1</f>
        <v/>
      </c>
    </row>
    <row r="2">
      <c r="A2" t="inlineStr">
        <is>
          <t>Disclosed at earnings call</t>
        </is>
      </c>
      <c r="D2" s="24" t="n"/>
      <c r="E2" s="24" t="n"/>
      <c r="F2" s="24" t="n"/>
      <c r="G2" s="24" t="n"/>
      <c r="H2" s="24" t="n"/>
      <c r="I2" s="24" t="n"/>
      <c r="J2" s="24" t="n"/>
      <c r="K2" s="24" t="n"/>
      <c r="M2" s="24" t="n"/>
      <c r="N2" s="24" t="n"/>
      <c r="O2" s="24" t="n"/>
      <c r="P2" s="24" t="n"/>
      <c r="Q2" s="24" t="n"/>
      <c r="R2" s="24" t="n"/>
      <c r="S2" s="24" t="n"/>
      <c r="T2" s="24" t="n"/>
      <c r="U2" s="24" t="n"/>
      <c r="V2" s="24" t="n"/>
      <c r="W2" s="24" t="n"/>
      <c r="X2" s="24" t="n"/>
      <c r="Y2" s="24" t="n"/>
      <c r="Z2" s="24" t="n"/>
      <c r="AA2" s="24" t="n"/>
      <c r="AB2" s="24" t="n"/>
      <c r="AC2" s="24" t="n"/>
      <c r="AD2" s="24" t="n"/>
      <c r="AE2" s="24" t="n"/>
      <c r="AF2" s="24" t="n"/>
    </row>
    <row r="3"/>
    <row r="4"/>
    <row r="5">
      <c r="A5" s="25" t="n"/>
      <c r="B5" s="26" t="inlineStr">
        <is>
          <t>FY04</t>
        </is>
      </c>
      <c r="C5" s="26" t="inlineStr">
        <is>
          <t>FY05</t>
        </is>
      </c>
      <c r="D5" s="26" t="inlineStr">
        <is>
          <t>FY06</t>
        </is>
      </c>
      <c r="E5" s="26" t="inlineStr">
        <is>
          <t>FY07</t>
        </is>
      </c>
      <c r="F5" s="26" t="inlineStr">
        <is>
          <t>FY08</t>
        </is>
      </c>
      <c r="G5" s="26" t="inlineStr">
        <is>
          <t>FY09</t>
        </is>
      </c>
      <c r="H5" s="26" t="inlineStr">
        <is>
          <t>FY10</t>
        </is>
      </c>
      <c r="I5" s="26" t="inlineStr">
        <is>
          <t>FY11</t>
        </is>
      </c>
      <c r="J5" s="26" t="inlineStr">
        <is>
          <t>1Q12</t>
        </is>
      </c>
      <c r="K5" s="26" t="inlineStr">
        <is>
          <t>1H12</t>
        </is>
      </c>
      <c r="L5" s="26" t="inlineStr">
        <is>
          <t>3Q12</t>
        </is>
      </c>
      <c r="M5" s="26" t="inlineStr">
        <is>
          <t>FY12</t>
        </is>
      </c>
      <c r="N5" s="26" t="inlineStr">
        <is>
          <t>1Q13</t>
        </is>
      </c>
      <c r="O5" s="26" t="inlineStr">
        <is>
          <t>1H13</t>
        </is>
      </c>
      <c r="P5" s="26" t="inlineStr">
        <is>
          <t>3Q13</t>
        </is>
      </c>
      <c r="Q5" s="26" t="inlineStr">
        <is>
          <t>FY13</t>
        </is>
      </c>
      <c r="R5" s="26" t="inlineStr">
        <is>
          <t>1Q14</t>
        </is>
      </c>
      <c r="S5" s="26" t="inlineStr">
        <is>
          <t>1H14</t>
        </is>
      </c>
      <c r="T5" s="26" t="inlineStr">
        <is>
          <t>3Q14</t>
        </is>
      </c>
      <c r="U5" s="26" t="inlineStr">
        <is>
          <t>FY14</t>
        </is>
      </c>
      <c r="V5" s="26" t="inlineStr">
        <is>
          <t>1Q15</t>
        </is>
      </c>
      <c r="W5" s="26" t="inlineStr">
        <is>
          <t>1H15</t>
        </is>
      </c>
      <c r="X5" s="26" t="inlineStr">
        <is>
          <t>3Q15</t>
        </is>
      </c>
      <c r="Y5" s="26" t="inlineStr">
        <is>
          <t>FY15</t>
        </is>
      </c>
      <c r="Z5" s="26" t="n"/>
      <c r="AA5" s="26" t="n"/>
      <c r="AB5" s="26" t="n"/>
      <c r="AC5" s="26" t="n"/>
      <c r="AD5" s="26" t="n"/>
      <c r="AE5" s="26" t="n"/>
      <c r="AF5" s="26" t="n"/>
      <c r="AH5" s="22">
        <f>AH1</f>
        <v/>
      </c>
      <c r="AI5" s="22">
        <f>AI1</f>
        <v/>
      </c>
      <c r="AJ5" s="22">
        <f>AJ1</f>
        <v/>
      </c>
      <c r="AK5" s="22">
        <f>AK1</f>
        <v/>
      </c>
      <c r="AL5" s="22">
        <f>AL1</f>
        <v/>
      </c>
      <c r="AM5" s="22">
        <f>AM1</f>
        <v/>
      </c>
      <c r="AN5" s="22">
        <f>AN1</f>
        <v/>
      </c>
      <c r="AO5" s="22">
        <f>AO1</f>
        <v/>
      </c>
      <c r="AP5" s="22">
        <f>AP1</f>
        <v/>
      </c>
      <c r="AQ5" s="22">
        <f>AQ1</f>
        <v/>
      </c>
      <c r="AR5" s="22">
        <f>AR1</f>
        <v/>
      </c>
      <c r="AS5" s="22">
        <f>AS1</f>
        <v/>
      </c>
      <c r="AT5" s="22">
        <f>AT1</f>
        <v/>
      </c>
      <c r="AU5" s="22">
        <f>AU1</f>
        <v/>
      </c>
      <c r="AV5" s="22">
        <f>AV1</f>
        <v/>
      </c>
      <c r="AW5" s="22">
        <f>AW1</f>
        <v/>
      </c>
      <c r="AX5" s="22">
        <f>AX1</f>
        <v/>
      </c>
      <c r="AY5" s="22">
        <f>AY1</f>
        <v/>
      </c>
    </row>
    <row r="6">
      <c r="A6" s="25" t="n"/>
      <c r="B6" s="25" t="n"/>
      <c r="C6" s="25" t="n"/>
      <c r="D6" s="25" t="n"/>
      <c r="E6" s="25" t="n"/>
      <c r="F6" s="25" t="n"/>
      <c r="G6" s="25" t="n"/>
      <c r="H6" s="25" t="n"/>
      <c r="I6" s="25" t="n"/>
      <c r="J6" s="25" t="n"/>
      <c r="K6" s="49" t="n"/>
      <c r="M6" s="49" t="n"/>
      <c r="N6" s="49" t="inlineStr">
        <is>
          <t>YTD cummulative</t>
        </is>
      </c>
      <c r="O6" s="49" t="inlineStr">
        <is>
          <t>YTD cummulative</t>
        </is>
      </c>
      <c r="P6" s="49" t="inlineStr">
        <is>
          <t>YTD cummulative</t>
        </is>
      </c>
      <c r="Q6" s="49" t="inlineStr">
        <is>
          <t>YTD cummulative</t>
        </is>
      </c>
      <c r="R6" s="49" t="inlineStr">
        <is>
          <t>YTD cummulative</t>
        </is>
      </c>
      <c r="S6" s="49" t="inlineStr">
        <is>
          <t>YTD cummulative</t>
        </is>
      </c>
      <c r="T6" s="49" t="inlineStr">
        <is>
          <t>YTD cummulative</t>
        </is>
      </c>
      <c r="U6" s="49" t="inlineStr">
        <is>
          <t>YTD cummulative</t>
        </is>
      </c>
      <c r="V6" s="49" t="inlineStr">
        <is>
          <t>YTD cummulative</t>
        </is>
      </c>
      <c r="W6" s="49" t="inlineStr">
        <is>
          <t>YTD cummulative</t>
        </is>
      </c>
      <c r="X6" s="49" t="inlineStr">
        <is>
          <t>YTD cummulative</t>
        </is>
      </c>
      <c r="Y6" s="49" t="inlineStr">
        <is>
          <t>YTD cummulative</t>
        </is>
      </c>
      <c r="Z6" s="49" t="n"/>
      <c r="AA6" s="49" t="n"/>
      <c r="AB6" s="49" t="n"/>
      <c r="AC6" s="49" t="n"/>
      <c r="AD6" s="49" t="n"/>
      <c r="AE6" s="49" t="n"/>
      <c r="AF6" s="49" t="n"/>
    </row>
    <row r="7" ht="16" customHeight="1">
      <c r="A7" s="27" t="inlineStr">
        <is>
          <t>FINANCIAL STATEMENTS - USGAAP</t>
        </is>
      </c>
      <c r="B7" s="27" t="n"/>
      <c r="C7" s="27" t="n"/>
      <c r="D7" s="28" t="n"/>
      <c r="E7" s="28" t="n"/>
      <c r="F7" s="28" t="n"/>
      <c r="G7" s="28" t="n"/>
      <c r="H7" s="28" t="n"/>
      <c r="I7" s="28" t="n"/>
      <c r="J7" s="28" t="n"/>
      <c r="K7" s="28" t="n"/>
      <c r="L7" s="28" t="n"/>
      <c r="M7" s="37" t="n"/>
      <c r="N7" s="28" t="n"/>
      <c r="O7" s="28" t="n"/>
      <c r="P7" s="28" t="n"/>
      <c r="Q7" s="28" t="n"/>
      <c r="R7" s="28" t="n"/>
      <c r="S7" s="28" t="n"/>
      <c r="T7" s="28" t="n"/>
      <c r="U7" s="378" t="n"/>
      <c r="V7" s="28" t="n"/>
      <c r="W7" s="28" t="n"/>
      <c r="X7" s="28" t="n"/>
      <c r="Y7" s="28" t="n"/>
      <c r="Z7" s="28" t="n"/>
      <c r="AA7" s="28" t="n"/>
      <c r="AB7" s="28" t="n"/>
      <c r="AC7" s="28" t="n"/>
      <c r="AD7" s="28" t="n"/>
      <c r="AE7" s="28" t="n"/>
      <c r="AF7" s="28" t="n"/>
      <c r="AG7" s="39" t="n"/>
      <c r="AH7" s="39" t="n"/>
      <c r="AI7" s="39" t="n"/>
      <c r="AJ7" s="39" t="n"/>
      <c r="AK7" s="39" t="n"/>
      <c r="AL7" s="39" t="n"/>
      <c r="AM7" s="39" t="n"/>
      <c r="AN7" s="39" t="n"/>
      <c r="AO7" s="39" t="n"/>
      <c r="AP7" s="39" t="n"/>
      <c r="AQ7" s="39" t="n"/>
      <c r="AR7" s="39" t="n"/>
      <c r="AS7" s="39" t="n"/>
      <c r="AT7" s="39" t="n"/>
      <c r="AU7" s="39" t="n"/>
      <c r="AV7" s="39" t="n"/>
      <c r="AW7" s="39" t="n"/>
      <c r="AX7" s="39" t="n"/>
      <c r="AY7" s="39" t="n"/>
    </row>
    <row r="8"/>
    <row r="9">
      <c r="A9" s="81" t="inlineStr">
        <is>
          <t>Segment Information (RMB Million)</t>
        </is>
      </c>
      <c r="B9" s="140" t="n"/>
      <c r="C9" s="140" t="n"/>
      <c r="D9" s="140" t="n"/>
      <c r="E9" s="140" t="n"/>
      <c r="F9" s="140" t="n"/>
      <c r="G9" s="140" t="n"/>
      <c r="H9" s="140" t="n"/>
      <c r="I9" s="140" t="n"/>
      <c r="J9" s="140" t="n"/>
      <c r="K9" s="140" t="n"/>
      <c r="M9" s="50" t="n"/>
      <c r="N9" s="50" t="n"/>
      <c r="O9" s="50" t="n"/>
      <c r="P9" s="50" t="n"/>
      <c r="Q9" s="50" t="n"/>
      <c r="R9" s="50" t="n"/>
      <c r="S9" s="50" t="n"/>
      <c r="T9" s="50" t="n"/>
      <c r="U9" s="50" t="n"/>
      <c r="V9" s="50" t="n"/>
      <c r="W9" s="50" t="n"/>
      <c r="X9" s="50" t="n"/>
      <c r="Y9" s="50" t="n"/>
      <c r="Z9" s="50" t="n"/>
      <c r="AA9" s="50" t="n"/>
      <c r="AB9" s="50" t="n"/>
      <c r="AC9" s="50" t="n"/>
      <c r="AD9" s="50" t="n"/>
      <c r="AE9" s="50" t="n"/>
      <c r="AF9" s="50" t="n"/>
    </row>
    <row r="10">
      <c r="B10" s="140" t="n"/>
      <c r="C10" s="140" t="n"/>
      <c r="D10" s="140" t="n"/>
      <c r="E10" s="140" t="n"/>
      <c r="F10" s="140" t="n"/>
      <c r="G10" s="140" t="n"/>
      <c r="H10" s="140" t="n"/>
      <c r="I10" s="140" t="n"/>
      <c r="J10" s="140" t="n"/>
      <c r="K10" s="140" t="n"/>
      <c r="M10" s="50" t="n"/>
      <c r="N10" s="890" t="n"/>
      <c r="O10" s="890" t="n"/>
      <c r="P10" s="890" t="n"/>
      <c r="Q10" s="890" t="n"/>
      <c r="R10" s="50" t="n"/>
      <c r="S10" s="890" t="n"/>
      <c r="T10" s="890" t="n"/>
      <c r="U10" s="890" t="n"/>
      <c r="V10" s="50" t="n"/>
      <c r="W10" s="50" t="n"/>
      <c r="X10" s="50" t="n"/>
      <c r="Y10" s="50" t="n"/>
      <c r="Z10" s="50" t="n"/>
      <c r="AA10" s="50" t="n"/>
      <c r="AB10" s="50" t="n"/>
      <c r="AC10" s="50" t="n"/>
      <c r="AD10" s="50" t="n"/>
      <c r="AE10" s="50" t="n"/>
      <c r="AF10" s="50" t="n"/>
    </row>
    <row r="11">
      <c r="A11" s="22" t="inlineStr">
        <is>
          <t>Segment revenue</t>
        </is>
      </c>
      <c r="B11" s="140" t="n"/>
      <c r="C11" s="140" t="n"/>
      <c r="D11" s="140" t="n"/>
      <c r="E11" s="140" t="n"/>
      <c r="F11" s="140" t="n"/>
      <c r="G11" s="140" t="n"/>
      <c r="H11" s="140" t="n"/>
      <c r="I11" s="140" t="n"/>
      <c r="J11" s="140" t="n"/>
      <c r="K11" s="956" t="n"/>
      <c r="L11" s="956" t="n"/>
      <c r="M11" s="956" t="n"/>
      <c r="N11" s="956">
        <f>+N12/Q12</f>
        <v/>
      </c>
      <c r="O11" s="956">
        <f>(O12-N12)/Q12</f>
        <v/>
      </c>
      <c r="P11" s="956">
        <f>(P12-O12)/Q12</f>
        <v/>
      </c>
      <c r="Q11" s="956">
        <f>(Q12-P12)/Q12</f>
        <v/>
      </c>
      <c r="R11" s="50" t="n"/>
      <c r="S11" s="956" t="n"/>
      <c r="T11" s="956" t="n"/>
      <c r="U11" s="956" t="n"/>
      <c r="V11" s="50" t="n"/>
      <c r="W11" s="50" t="n"/>
      <c r="X11" s="50" t="n"/>
      <c r="Y11" s="50" t="n"/>
      <c r="Z11" s="145" t="n"/>
      <c r="AA11" s="50" t="n"/>
      <c r="AB11" s="50" t="n"/>
      <c r="AC11" s="50" t="n"/>
      <c r="AD11" s="50" t="n"/>
      <c r="AE11" s="50" t="n"/>
      <c r="AF11" s="50" t="n"/>
    </row>
    <row r="12" ht="13.5" customHeight="1">
      <c r="A12" t="inlineStr">
        <is>
          <t>New Energy</t>
        </is>
      </c>
      <c r="B12" s="86" t="n"/>
      <c r="C12" s="86" t="n"/>
      <c r="D12" s="86" t="n"/>
      <c r="E12" s="86" t="n"/>
      <c r="F12" s="86" t="n"/>
      <c r="G12" s="141">
        <f>#REF!</f>
        <v/>
      </c>
      <c r="H12" s="141">
        <f>#REF!</f>
        <v/>
      </c>
      <c r="I12" s="141">
        <f>#REF!</f>
        <v/>
      </c>
      <c r="J12" s="145" t="n"/>
      <c r="K12" s="141">
        <f>#REF!</f>
        <v/>
      </c>
      <c r="M12" s="141">
        <f>#REF!</f>
        <v/>
      </c>
      <c r="N12" s="145" t="n">
        <v>744</v>
      </c>
      <c r="O12" s="141">
        <f>#REF!</f>
        <v/>
      </c>
      <c r="P12" s="145" t="n">
        <v>3590</v>
      </c>
      <c r="Q12" s="141">
        <f>#REF!</f>
        <v/>
      </c>
      <c r="R12" s="145" t="n">
        <v>851</v>
      </c>
      <c r="S12" s="141">
        <f>#REF!</f>
        <v/>
      </c>
      <c r="T12" s="145">
        <f>SUM(T13:T15)</f>
        <v/>
      </c>
      <c r="U12" s="145" t="n">
        <v>7751</v>
      </c>
      <c r="W12" s="957" t="n"/>
      <c r="X12" s="958" t="n"/>
      <c r="Y12" s="145" t="n"/>
      <c r="Z12" s="958" t="n"/>
      <c r="AA12" s="145" t="n"/>
      <c r="AB12" s="145" t="n"/>
      <c r="AC12" s="145" t="n"/>
      <c r="AD12" s="145" t="n"/>
      <c r="AE12" s="145" t="n"/>
      <c r="AF12" s="145" t="n"/>
    </row>
    <row r="13">
      <c r="A13" s="74" t="inlineStr">
        <is>
          <t>Nuclear island</t>
        </is>
      </c>
      <c r="B13" s="145" t="n"/>
      <c r="C13" s="145" t="n"/>
      <c r="D13" s="145" t="n">
        <v>75</v>
      </c>
      <c r="E13" s="145" t="n">
        <v>156</v>
      </c>
      <c r="F13" s="145" t="n">
        <v>1000</v>
      </c>
      <c r="G13" s="145" t="n">
        <v>1801</v>
      </c>
      <c r="H13" s="145" t="n">
        <v>2312</v>
      </c>
      <c r="I13" s="145" t="n">
        <v>2645</v>
      </c>
      <c r="J13" s="145" t="n"/>
      <c r="K13" s="145" t="n">
        <v>1477</v>
      </c>
      <c r="M13" s="145" t="n">
        <v>2987</v>
      </c>
      <c r="N13" s="959" t="n"/>
      <c r="O13" s="145" t="n">
        <v>1027</v>
      </c>
      <c r="P13" s="145">
        <f>T13/0.97</f>
        <v/>
      </c>
      <c r="Q13" s="145" t="n">
        <v>2177</v>
      </c>
      <c r="R13" s="959" t="n"/>
      <c r="S13" s="145" t="n"/>
      <c r="T13" s="145" t="n">
        <v>1485</v>
      </c>
      <c r="U13" s="145" t="n">
        <v>1817</v>
      </c>
      <c r="V13" s="145" t="n">
        <v>455</v>
      </c>
      <c r="W13" s="145" t="n"/>
      <c r="X13" s="145" t="n"/>
      <c r="Y13" s="145" t="n"/>
      <c r="Z13" s="958" t="n"/>
      <c r="AA13" s="145" t="n"/>
      <c r="AB13" s="145" t="n"/>
      <c r="AC13" s="145" t="n"/>
      <c r="AD13" s="145" t="n"/>
      <c r="AE13" s="145" t="n"/>
      <c r="AF13" s="145" t="n"/>
    </row>
    <row r="14">
      <c r="A14" s="74" t="inlineStr">
        <is>
          <t>Wind</t>
        </is>
      </c>
      <c r="B14" s="145" t="n"/>
      <c r="C14" s="145" t="n"/>
      <c r="D14" s="145" t="n">
        <v>0</v>
      </c>
      <c r="E14" s="145" t="n">
        <v>111</v>
      </c>
      <c r="F14" s="145" t="n">
        <v>928</v>
      </c>
      <c r="G14" s="145" t="n">
        <v>1244</v>
      </c>
      <c r="H14" s="145" t="n">
        <v>3006</v>
      </c>
      <c r="I14" s="145" t="n">
        <v>3483</v>
      </c>
      <c r="J14" s="145" t="n"/>
      <c r="K14" s="145" t="n">
        <v>1205</v>
      </c>
      <c r="M14" s="145" t="n">
        <v>2651</v>
      </c>
      <c r="N14" s="959" t="n"/>
      <c r="O14" s="145" t="n">
        <v>879</v>
      </c>
      <c r="P14" s="145">
        <f>T14/1.922</f>
        <v/>
      </c>
      <c r="Q14" s="145" t="n">
        <v>3035</v>
      </c>
      <c r="R14" s="959" t="n"/>
      <c r="S14" s="145" t="n"/>
      <c r="T14" s="145" t="n">
        <v>3144</v>
      </c>
      <c r="U14" s="145" t="n">
        <v>5274</v>
      </c>
      <c r="V14" s="145" t="n">
        <v>900</v>
      </c>
      <c r="W14" s="145" t="n"/>
      <c r="X14" s="145" t="n"/>
      <c r="Y14" s="145" t="n"/>
      <c r="Z14" s="958" t="n"/>
      <c r="AA14" s="145" t="n"/>
      <c r="AB14" s="145" t="n"/>
      <c r="AC14" s="145" t="n"/>
      <c r="AD14" s="145" t="n"/>
      <c r="AE14" s="145" t="n"/>
      <c r="AF14" s="145" t="n"/>
    </row>
    <row r="15">
      <c r="A15" s="74" t="inlineStr">
        <is>
          <t>Forging</t>
        </is>
      </c>
      <c r="B15" s="145" t="n"/>
      <c r="C15" s="145" t="n"/>
      <c r="D15" s="145" t="n"/>
      <c r="E15" s="145" t="n"/>
      <c r="F15" s="145" t="n"/>
      <c r="G15" s="145" t="n">
        <v>1395</v>
      </c>
      <c r="H15" s="145" t="n">
        <v>1384</v>
      </c>
      <c r="I15" s="145" t="n">
        <v>1227</v>
      </c>
      <c r="J15" s="145" t="n"/>
      <c r="K15" s="145" t="n">
        <v>672</v>
      </c>
      <c r="M15" s="145" t="n">
        <v>1122</v>
      </c>
      <c r="N15" s="959" t="n"/>
      <c r="O15" s="145" t="n">
        <v>314</v>
      </c>
      <c r="P15" s="145">
        <f>T15/1.334</f>
        <v/>
      </c>
      <c r="Q15" s="145" t="n">
        <v>708</v>
      </c>
      <c r="R15" s="959" t="n"/>
      <c r="S15" s="145" t="n"/>
      <c r="T15" s="145" t="n">
        <v>639</v>
      </c>
      <c r="U15" s="145" t="n">
        <v>807</v>
      </c>
      <c r="V15" s="145" t="n"/>
      <c r="W15" s="145" t="n"/>
      <c r="X15" s="145" t="n"/>
      <c r="Y15" s="145" t="n"/>
      <c r="Z15" s="145" t="n"/>
      <c r="AA15" s="145" t="n"/>
      <c r="AB15" s="145" t="n"/>
      <c r="AC15" s="145" t="n"/>
      <c r="AD15" s="145" t="n"/>
      <c r="AE15" s="145" t="n"/>
      <c r="AF15" s="145" t="n"/>
    </row>
    <row r="16">
      <c r="A16" s="105" t="inlineStr">
        <is>
          <t>High Efficiency and Clean Energy</t>
        </is>
      </c>
      <c r="B16" s="88" t="n"/>
      <c r="C16" s="88" t="n"/>
      <c r="D16" s="88">
        <f>SUM(D17:D21)</f>
        <v/>
      </c>
      <c r="E16" s="88">
        <f>SUM(E17:E21)</f>
        <v/>
      </c>
      <c r="F16" s="88">
        <f>SUM(F17:F21)</f>
        <v/>
      </c>
      <c r="G16" s="141">
        <f>#REF!</f>
        <v/>
      </c>
      <c r="H16" s="141">
        <f>#REF!</f>
        <v/>
      </c>
      <c r="I16" s="141">
        <f>#REF!</f>
        <v/>
      </c>
      <c r="J16" s="145" t="n"/>
      <c r="K16" s="141">
        <f>#REF!</f>
        <v/>
      </c>
      <c r="M16" s="141">
        <f>#REF!</f>
        <v/>
      </c>
      <c r="N16" s="145" t="n">
        <v>7456</v>
      </c>
      <c r="O16" s="141">
        <f>#REF!</f>
        <v/>
      </c>
      <c r="P16" s="145" t="n">
        <v>21930</v>
      </c>
      <c r="Q16" s="141">
        <f>#REF!</f>
        <v/>
      </c>
      <c r="R16" s="145" t="n">
        <v>5439</v>
      </c>
      <c r="S16" s="141">
        <f>#REF!</f>
        <v/>
      </c>
      <c r="T16" s="145">
        <f>T20+293+675+9039</f>
        <v/>
      </c>
      <c r="U16" s="145" t="n">
        <v>28694</v>
      </c>
      <c r="V16" s="145" t="n"/>
      <c r="W16" s="145" t="n"/>
      <c r="X16" s="958" t="n"/>
      <c r="Y16" s="145" t="n"/>
      <c r="Z16" s="145" t="n"/>
      <c r="AA16" s="145" t="n"/>
      <c r="AB16" s="145" t="n"/>
      <c r="AC16" s="145" t="n"/>
      <c r="AD16" s="145" t="n"/>
      <c r="AE16" s="145" t="n"/>
      <c r="AF16" s="145" t="n"/>
    </row>
    <row r="17">
      <c r="A17" s="74" t="inlineStr">
        <is>
          <t>Boiler</t>
        </is>
      </c>
      <c r="B17" s="145" t="n">
        <v>4103</v>
      </c>
      <c r="C17" s="145" t="n">
        <v>7676</v>
      </c>
      <c r="D17" s="145" t="n">
        <v>8552</v>
      </c>
      <c r="E17" s="145" t="n">
        <v>9180</v>
      </c>
      <c r="F17" s="145" t="n">
        <v>8808</v>
      </c>
      <c r="G17" s="145" t="n">
        <v>10359</v>
      </c>
      <c r="H17" s="145" t="n">
        <v>10072</v>
      </c>
      <c r="I17" s="145" t="n">
        <v>11322</v>
      </c>
      <c r="J17" s="145" t="n"/>
      <c r="K17" s="145" t="n">
        <v>7184</v>
      </c>
      <c r="L17" s="145" t="n"/>
      <c r="M17" s="145" t="n">
        <v>11575</v>
      </c>
      <c r="N17" s="958" t="n"/>
      <c r="O17" s="145" t="n">
        <v>4650</v>
      </c>
      <c r="P17" s="145" t="n"/>
      <c r="Q17" s="145" t="n">
        <v>8172</v>
      </c>
      <c r="R17" s="145" t="n"/>
      <c r="S17" s="145" t="n"/>
      <c r="T17" s="145" t="n"/>
      <c r="U17" s="145" t="n">
        <v>7310</v>
      </c>
      <c r="V17" s="839" t="n">
        <v>2380</v>
      </c>
      <c r="W17" s="145" t="n"/>
      <c r="X17" s="145" t="n"/>
      <c r="Y17" s="145" t="n"/>
      <c r="Z17" s="145" t="n"/>
      <c r="AA17" s="145" t="n"/>
      <c r="AB17" s="145" t="n"/>
      <c r="AC17" s="145" t="n"/>
      <c r="AD17" s="145" t="n"/>
      <c r="AE17" s="145" t="n"/>
      <c r="AF17" s="145" t="n"/>
    </row>
    <row r="18">
      <c r="A18" s="74" t="inlineStr">
        <is>
          <t>Turbines</t>
        </is>
      </c>
      <c r="B18" s="145" t="n">
        <v>2222</v>
      </c>
      <c r="C18" s="145" t="n">
        <v>4289</v>
      </c>
      <c r="D18" s="145" t="n">
        <v>5977</v>
      </c>
      <c r="E18" s="145" t="n">
        <v>8271</v>
      </c>
      <c r="F18" s="145" t="n">
        <v>7381</v>
      </c>
      <c r="G18" s="145" t="n">
        <v>6368</v>
      </c>
      <c r="H18" s="145" t="n">
        <v>6461</v>
      </c>
      <c r="I18" s="145" t="n">
        <v>6414</v>
      </c>
      <c r="J18" s="145" t="n"/>
      <c r="K18" s="145" t="n">
        <v>3964</v>
      </c>
      <c r="L18" s="145" t="n"/>
      <c r="M18" s="145" t="n">
        <v>7890</v>
      </c>
      <c r="N18" s="145" t="n"/>
      <c r="O18" s="145" t="n">
        <v>4303</v>
      </c>
      <c r="P18" s="145" t="n"/>
      <c r="Q18" s="145" t="n">
        <v>8765</v>
      </c>
      <c r="R18" s="145" t="n"/>
      <c r="S18" s="145" t="n"/>
      <c r="T18" s="145" t="n"/>
      <c r="U18" s="145" t="n">
        <v>5462</v>
      </c>
      <c r="W18" s="145" t="n"/>
      <c r="X18" s="145" t="n"/>
      <c r="Y18" s="145" t="n"/>
      <c r="Z18" s="145" t="n"/>
      <c r="AA18" s="145" t="n"/>
      <c r="AB18" s="145" t="n"/>
      <c r="AC18" s="145" t="n"/>
      <c r="AD18" s="145" t="n"/>
      <c r="AE18" s="145" t="n"/>
      <c r="AF18" s="145" t="n"/>
    </row>
    <row r="19">
      <c r="A19" s="74" t="inlineStr">
        <is>
          <t>Turbine-generators</t>
        </is>
      </c>
      <c r="B19" s="145" t="n"/>
      <c r="C19" s="145" t="n"/>
      <c r="D19" s="145" t="n">
        <v>3335</v>
      </c>
      <c r="E19" s="145" t="n">
        <v>3137</v>
      </c>
      <c r="F19" s="145" t="n">
        <v>2831</v>
      </c>
      <c r="G19" s="145" t="n">
        <v>2732</v>
      </c>
      <c r="H19" s="145" t="n">
        <v>2656</v>
      </c>
      <c r="I19" s="145" t="n">
        <v>2816</v>
      </c>
      <c r="J19" s="145" t="n"/>
      <c r="K19" s="145" t="n">
        <v>1993</v>
      </c>
      <c r="L19" s="145" t="n"/>
      <c r="M19" s="145" t="n">
        <v>4023</v>
      </c>
      <c r="N19" s="145" t="n"/>
      <c r="O19" s="145" t="n">
        <v>1895</v>
      </c>
      <c r="P19" s="145" t="n"/>
      <c r="Q19" s="145" t="n">
        <v>3302</v>
      </c>
      <c r="R19" s="145" t="n"/>
      <c r="S19" s="145" t="n"/>
      <c r="T19" s="145" t="n"/>
      <c r="U19" s="145" t="n">
        <v>2391</v>
      </c>
      <c r="W19" s="145" t="n"/>
      <c r="X19" s="145" t="n"/>
      <c r="Y19" s="145" t="n"/>
      <c r="Z19" s="145" t="n"/>
      <c r="AA19" s="145" t="n"/>
      <c r="AB19" s="145" t="n"/>
      <c r="AC19" s="145" t="n"/>
      <c r="AD19" s="145" t="n"/>
      <c r="AE19" s="145" t="n"/>
      <c r="AF19" s="145" t="n"/>
    </row>
    <row r="20">
      <c r="A20" s="74" t="inlineStr">
        <is>
          <t>T&amp;D</t>
        </is>
      </c>
      <c r="B20" s="145" t="n"/>
      <c r="C20" s="145" t="n"/>
      <c r="D20" s="145" t="n"/>
      <c r="E20" s="145" t="n"/>
      <c r="F20" s="145" t="n"/>
      <c r="G20" s="145" t="n">
        <v>1922</v>
      </c>
      <c r="H20" s="145" t="n">
        <v>2177</v>
      </c>
      <c r="I20" s="145" t="n">
        <v>2535</v>
      </c>
      <c r="J20" s="145" t="n"/>
      <c r="K20" s="145" t="n">
        <v>2435</v>
      </c>
      <c r="L20" s="145" t="n"/>
      <c r="M20" s="145" t="n">
        <v>6596</v>
      </c>
      <c r="N20" s="145" t="n"/>
      <c r="O20" s="145" t="n">
        <v>3125</v>
      </c>
      <c r="P20" s="145">
        <f>T20/1.064</f>
        <v/>
      </c>
      <c r="Q20" s="145" t="n">
        <v>7096</v>
      </c>
      <c r="R20" s="145">
        <f>V20/1.3</f>
        <v/>
      </c>
      <c r="S20" s="145" t="n"/>
      <c r="T20" s="145" t="n">
        <v>5090</v>
      </c>
      <c r="U20" s="145" t="n">
        <v>7812</v>
      </c>
      <c r="V20" s="145" t="n">
        <v>1840</v>
      </c>
      <c r="W20" s="145" t="n"/>
      <c r="X20" s="145" t="n"/>
      <c r="Y20" s="145" t="n"/>
      <c r="Z20" s="145" t="n"/>
      <c r="AA20" s="145" t="n"/>
      <c r="AB20" s="145" t="n"/>
      <c r="AC20" s="145" t="n"/>
      <c r="AD20" s="145" t="n"/>
      <c r="AE20" s="145" t="n"/>
      <c r="AF20" s="145" t="n"/>
    </row>
    <row r="21">
      <c r="A21" s="74" t="inlineStr">
        <is>
          <t>All others</t>
        </is>
      </c>
      <c r="B21" s="86" t="n"/>
      <c r="C21" s="86" t="n"/>
      <c r="D21" s="86" t="n"/>
      <c r="E21" s="86" t="n"/>
      <c r="F21" s="86" t="n"/>
      <c r="G21" s="145" t="n"/>
      <c r="H21" s="145" t="n"/>
      <c r="I21" s="145" t="n"/>
      <c r="J21" s="145" t="n"/>
      <c r="K21" s="145" t="n"/>
      <c r="L21" s="145" t="n"/>
      <c r="M21" s="145" t="n"/>
      <c r="N21" s="145" t="n"/>
      <c r="O21" s="145" t="n"/>
      <c r="P21" s="145" t="n"/>
      <c r="Q21" s="88" t="n"/>
      <c r="R21" s="145" t="n"/>
      <c r="S21" s="145" t="n"/>
      <c r="T21" s="145" t="n"/>
      <c r="U21" s="88">
        <f>U16-SUM(U17:U20)</f>
        <v/>
      </c>
      <c r="V21" s="145" t="n"/>
      <c r="W21" s="145" t="n"/>
      <c r="X21" s="145" t="n"/>
      <c r="Y21" s="145" t="n"/>
      <c r="Z21" s="145" t="n"/>
      <c r="AA21" s="145" t="n"/>
      <c r="AB21" s="145" t="n"/>
      <c r="AC21" s="145" t="n"/>
      <c r="AD21" s="145" t="n"/>
      <c r="AE21" s="145" t="n"/>
      <c r="AF21" s="145" t="n"/>
    </row>
    <row r="22">
      <c r="A22" s="105" t="inlineStr">
        <is>
          <t>Industrial Equipment</t>
        </is>
      </c>
      <c r="B22" s="88" t="n"/>
      <c r="C22" s="88" t="n"/>
      <c r="D22" s="88" t="n"/>
      <c r="E22" s="88" t="n"/>
      <c r="F22" s="88" t="n"/>
      <c r="G22" s="141">
        <f>#REF!</f>
        <v/>
      </c>
      <c r="H22" s="141">
        <f>#REF!</f>
        <v/>
      </c>
      <c r="I22" s="141">
        <f>#REF!</f>
        <v/>
      </c>
      <c r="J22" s="145" t="n"/>
      <c r="K22" s="141">
        <f>#REF!</f>
        <v/>
      </c>
      <c r="M22" s="141">
        <f>#REF!</f>
        <v/>
      </c>
      <c r="N22" s="145" t="n">
        <v>5116</v>
      </c>
      <c r="O22" s="141">
        <f>#REF!</f>
        <v/>
      </c>
      <c r="P22" s="145" t="n">
        <v>18550</v>
      </c>
      <c r="Q22" s="141">
        <f>#REF!</f>
        <v/>
      </c>
      <c r="R22" s="145" t="n">
        <v>5129</v>
      </c>
      <c r="S22" s="141">
        <f>#REF!</f>
        <v/>
      </c>
      <c r="T22" s="145" t="n"/>
      <c r="U22" s="145" t="n">
        <v>26019</v>
      </c>
      <c r="V22" s="958" t="n"/>
      <c r="W22" s="145" t="n"/>
      <c r="X22" s="145" t="n"/>
      <c r="Y22" s="145" t="n"/>
      <c r="Z22" s="145" t="n"/>
      <c r="AA22" s="145" t="n"/>
      <c r="AB22" s="145" t="n"/>
      <c r="AC22" s="145" t="n"/>
      <c r="AD22" s="145" t="n"/>
      <c r="AE22" s="145" t="n"/>
      <c r="AF22" s="145" t="n"/>
    </row>
    <row r="23">
      <c r="A23" s="74" t="inlineStr">
        <is>
          <t>Elevator</t>
        </is>
      </c>
      <c r="B23" s="145" t="n"/>
      <c r="C23" s="145" t="n"/>
      <c r="D23" s="145" t="n">
        <v>5061</v>
      </c>
      <c r="E23" s="145" t="n">
        <v>6551</v>
      </c>
      <c r="F23" s="145" t="n">
        <v>7710</v>
      </c>
      <c r="G23" s="145" t="n">
        <v>8336</v>
      </c>
      <c r="H23" s="145" t="n">
        <v>10184</v>
      </c>
      <c r="I23" s="145" t="n">
        <v>11368</v>
      </c>
      <c r="J23" s="145" t="n"/>
      <c r="K23" s="145" t="n">
        <v>6121</v>
      </c>
      <c r="L23" s="145" t="n"/>
      <c r="M23" s="145" t="n">
        <v>12655</v>
      </c>
      <c r="N23" s="145" t="n"/>
      <c r="O23" s="145" t="n">
        <v>7561</v>
      </c>
      <c r="P23" s="145">
        <f>T23/1.079</f>
        <v/>
      </c>
      <c r="Q23" s="145" t="n">
        <v>16374</v>
      </c>
      <c r="R23" s="145">
        <f>V23/1.035</f>
        <v/>
      </c>
      <c r="S23" s="145" t="n"/>
      <c r="T23" s="145" t="n">
        <v>13050</v>
      </c>
      <c r="U23" s="145" t="n">
        <v>17346</v>
      </c>
      <c r="V23" s="145" t="n">
        <v>3480</v>
      </c>
      <c r="W23" s="145" t="n"/>
      <c r="X23" s="145" t="n"/>
      <c r="Y23" s="145" t="n"/>
      <c r="Z23" s="145" t="n"/>
      <c r="AA23" s="145" t="n"/>
      <c r="AB23" s="145" t="n"/>
      <c r="AC23" s="145" t="n"/>
      <c r="AD23" s="145" t="n"/>
      <c r="AE23" s="145" t="n"/>
      <c r="AF23" s="145" t="n"/>
    </row>
    <row r="24">
      <c r="A24" s="74" t="inlineStr">
        <is>
          <t>Printing</t>
        </is>
      </c>
      <c r="B24" s="145" t="n"/>
      <c r="C24" s="145" t="n"/>
      <c r="D24" s="145" t="n">
        <v>595</v>
      </c>
      <c r="E24" s="145" t="n">
        <v>604</v>
      </c>
      <c r="F24" s="145" t="n">
        <v>460</v>
      </c>
      <c r="G24" s="145" t="n">
        <v>504</v>
      </c>
      <c r="H24" s="145" t="n">
        <v>871</v>
      </c>
      <c r="I24" s="145" t="n">
        <v>4295</v>
      </c>
      <c r="J24" s="145" t="n"/>
      <c r="K24" s="145" t="n">
        <v>377</v>
      </c>
      <c r="L24" s="145" t="n"/>
      <c r="M24" s="145" t="n">
        <v>3595</v>
      </c>
      <c r="N24" s="145" t="n"/>
      <c r="O24" s="145" t="n">
        <v>275</v>
      </c>
      <c r="P24" s="145" t="n"/>
      <c r="Q24" s="145" t="n">
        <v>2376</v>
      </c>
      <c r="R24" s="145" t="n"/>
      <c r="S24" s="145" t="n"/>
      <c r="T24" s="145" t="n"/>
      <c r="U24" s="145" t="n">
        <v>2540</v>
      </c>
      <c r="V24" s="145" t="n"/>
      <c r="W24" s="145" t="n"/>
      <c r="X24" s="145" t="n"/>
      <c r="Y24" s="145" t="n"/>
      <c r="Z24" s="145" t="n"/>
      <c r="AA24" s="145" t="n"/>
      <c r="AB24" s="145" t="n"/>
      <c r="AC24" s="145" t="n"/>
      <c r="AD24" s="145" t="n"/>
      <c r="AE24" s="145" t="n"/>
      <c r="AF24" s="145" t="n"/>
    </row>
    <row r="25">
      <c r="A25" s="74" t="inlineStr">
        <is>
          <t>Electric motor</t>
        </is>
      </c>
      <c r="B25" s="145" t="n"/>
      <c r="C25" s="145" t="n"/>
      <c r="D25" s="145" t="n">
        <v>2209</v>
      </c>
      <c r="E25" s="145" t="n">
        <v>2363</v>
      </c>
      <c r="F25" s="145" t="n">
        <v>2793</v>
      </c>
      <c r="G25" s="145" t="n">
        <v>2545</v>
      </c>
      <c r="H25" s="145" t="n">
        <v>2660</v>
      </c>
      <c r="I25" s="145" t="n">
        <v>3349</v>
      </c>
      <c r="J25" s="145" t="n"/>
      <c r="K25" s="145" t="n">
        <v>1531</v>
      </c>
      <c r="L25" s="145" t="n"/>
      <c r="M25" s="145" t="n">
        <v>3079</v>
      </c>
      <c r="N25" s="145" t="n"/>
      <c r="O25" s="145" t="n">
        <v>1476</v>
      </c>
      <c r="P25" s="145" t="n"/>
      <c r="Q25" s="145" t="n">
        <v>2998</v>
      </c>
      <c r="R25" s="145" t="n"/>
      <c r="S25" s="145" t="n"/>
      <c r="T25" s="145" t="n"/>
      <c r="U25" s="145" t="n">
        <v>2642</v>
      </c>
      <c r="V25" s="145" t="n"/>
      <c r="W25" s="145" t="n"/>
      <c r="X25" s="145" t="n"/>
      <c r="Y25" s="145" t="n"/>
      <c r="Z25" s="145" t="n"/>
      <c r="AA25" s="145" t="n"/>
      <c r="AB25" s="145" t="n"/>
      <c r="AC25" s="145" t="n"/>
      <c r="AD25" s="145" t="n"/>
      <c r="AE25" s="145" t="n"/>
      <c r="AF25" s="145" t="n"/>
    </row>
    <row r="26">
      <c r="A26" s="74" t="inlineStr">
        <is>
          <t>Heavy machinery</t>
        </is>
      </c>
      <c r="B26" s="145" t="n"/>
      <c r="C26" s="145" t="n"/>
      <c r="D26" s="145" t="n"/>
      <c r="E26" s="145" t="n"/>
      <c r="F26" s="145" t="n"/>
      <c r="G26" s="145" t="n">
        <v>2435</v>
      </c>
      <c r="H26" s="145" t="n">
        <v>3210</v>
      </c>
      <c r="I26" s="145" t="n">
        <v>2438</v>
      </c>
      <c r="J26" s="145" t="n"/>
      <c r="K26" s="145" t="n"/>
      <c r="L26" s="145" t="n"/>
      <c r="M26" s="145" t="n">
        <v>1585</v>
      </c>
      <c r="N26" s="145" t="n"/>
      <c r="O26" s="145" t="n"/>
      <c r="P26" s="145" t="n"/>
      <c r="Q26" s="145" t="n">
        <v>1215</v>
      </c>
      <c r="R26" s="145" t="n"/>
      <c r="S26" s="145" t="n"/>
      <c r="T26" s="145" t="n"/>
      <c r="U26" s="145" t="n">
        <v>825</v>
      </c>
      <c r="V26" s="145" t="n"/>
      <c r="W26" s="145" t="n"/>
      <c r="X26" s="145" t="n"/>
      <c r="Y26" s="145" t="n"/>
      <c r="Z26" s="145" t="n"/>
      <c r="AA26" s="145" t="n"/>
      <c r="AB26" s="145" t="n"/>
      <c r="AC26" s="145" t="n"/>
      <c r="AD26" s="145" t="n"/>
      <c r="AE26" s="145" t="n"/>
      <c r="AF26" s="145" t="n"/>
    </row>
    <row r="27">
      <c r="A27" s="74" t="inlineStr">
        <is>
          <t>All others</t>
        </is>
      </c>
      <c r="B27" s="145" t="n"/>
      <c r="C27" s="145" t="n"/>
      <c r="D27" s="145" t="n"/>
      <c r="E27" s="145" t="n"/>
      <c r="F27" s="145" t="n"/>
      <c r="G27" s="145" t="n"/>
      <c r="H27" s="145" t="n"/>
      <c r="I27" s="145" t="n"/>
      <c r="J27" s="145" t="n"/>
      <c r="K27" s="145" t="n"/>
      <c r="L27" s="145" t="n"/>
      <c r="M27" s="145" t="n"/>
      <c r="N27" s="145" t="n"/>
      <c r="O27" s="145" t="n"/>
      <c r="P27" s="145" t="n"/>
      <c r="Q27" s="145" t="n"/>
      <c r="R27" s="145" t="n"/>
      <c r="S27" s="145" t="n"/>
      <c r="T27" s="145" t="n"/>
      <c r="U27" s="88">
        <f>U22-SUM(U23:U26)</f>
        <v/>
      </c>
      <c r="V27" s="145" t="n"/>
      <c r="W27" s="145" t="n"/>
      <c r="X27" s="145" t="n"/>
      <c r="Y27" s="145" t="n"/>
      <c r="Z27" s="145" t="n"/>
      <c r="AA27" s="145" t="n"/>
      <c r="AB27" s="145" t="n"/>
      <c r="AC27" s="145" t="n"/>
      <c r="AD27" s="145" t="n"/>
      <c r="AE27" s="145" t="n"/>
      <c r="AF27" s="145" t="n"/>
    </row>
    <row r="28">
      <c r="A28" s="105" t="inlineStr">
        <is>
          <t>Modern Services</t>
        </is>
      </c>
      <c r="B28" s="88" t="n"/>
      <c r="C28" s="88" t="n"/>
      <c r="D28" s="88" t="n"/>
      <c r="E28" s="88" t="n"/>
      <c r="F28" s="88" t="n"/>
      <c r="G28" s="141">
        <f>#REF!</f>
        <v/>
      </c>
      <c r="H28" s="141">
        <f>#REF!</f>
        <v/>
      </c>
      <c r="I28" s="141">
        <f>#REF!</f>
        <v/>
      </c>
      <c r="J28" s="145" t="n"/>
      <c r="K28" s="141">
        <f>#REF!</f>
        <v/>
      </c>
      <c r="M28" s="141">
        <f>#REF!</f>
        <v/>
      </c>
      <c r="N28" s="145" t="n">
        <v>4629</v>
      </c>
      <c r="O28" s="141">
        <f>#REF!</f>
        <v/>
      </c>
      <c r="P28" s="145" t="n">
        <v>15200</v>
      </c>
      <c r="Q28" s="141">
        <f>#REF!</f>
        <v/>
      </c>
      <c r="R28" s="145" t="n">
        <v>4845</v>
      </c>
      <c r="S28" s="141">
        <f>#REF!</f>
        <v/>
      </c>
      <c r="T28" s="145">
        <f>SUM(T29:T31)</f>
        <v/>
      </c>
      <c r="U28" s="145" t="n">
        <v>18140</v>
      </c>
      <c r="V28" s="145" t="n"/>
      <c r="W28" s="145" t="n"/>
      <c r="X28" s="145" t="n"/>
      <c r="Y28" s="145" t="n"/>
      <c r="Z28" s="145" t="n"/>
      <c r="AA28" s="145" t="n"/>
      <c r="AB28" s="145" t="n"/>
      <c r="AC28" s="145" t="n"/>
      <c r="AD28" s="145" t="n"/>
      <c r="AE28" s="145" t="n"/>
      <c r="AF28" s="145" t="n"/>
    </row>
    <row r="29">
      <c r="A29" s="74" t="inlineStr">
        <is>
          <t>Power plant engineering</t>
        </is>
      </c>
      <c r="B29" s="145" t="n"/>
      <c r="C29" s="145" t="n"/>
      <c r="D29" s="145" t="n">
        <v>1188</v>
      </c>
      <c r="E29" s="145" t="n">
        <v>5205</v>
      </c>
      <c r="F29" s="145" t="n">
        <v>10032</v>
      </c>
      <c r="G29" s="145" t="n">
        <v>10035</v>
      </c>
      <c r="H29" s="145" t="n">
        <v>10105</v>
      </c>
      <c r="I29" s="145" t="n">
        <v>12045</v>
      </c>
      <c r="J29" s="145" t="n"/>
      <c r="K29" s="145" t="n">
        <v>6618</v>
      </c>
      <c r="L29" s="145" t="n"/>
      <c r="M29" s="145" t="n">
        <v>14149</v>
      </c>
      <c r="N29" s="145" t="n"/>
      <c r="O29" s="145" t="n">
        <v>6807</v>
      </c>
      <c r="P29" s="145">
        <f>T29/(1-0.235)</f>
        <v/>
      </c>
      <c r="Q29" s="145" t="n">
        <v>13666</v>
      </c>
      <c r="R29" s="145" t="n"/>
      <c r="S29" s="145" t="n"/>
      <c r="T29" s="145" t="n">
        <v>8093</v>
      </c>
      <c r="U29" s="145" t="n">
        <v>10008</v>
      </c>
      <c r="V29" s="145" t="n">
        <v>1680</v>
      </c>
      <c r="W29" s="145" t="n"/>
      <c r="X29" s="145" t="n"/>
      <c r="Y29" s="145" t="n"/>
      <c r="Z29" s="145" t="n"/>
      <c r="AA29" s="145" t="n"/>
      <c r="AB29" s="145" t="n"/>
      <c r="AC29" s="145" t="n"/>
      <c r="AD29" s="145" t="n"/>
      <c r="AE29" s="145" t="n"/>
      <c r="AF29" s="145" t="n"/>
    </row>
    <row r="30">
      <c r="A30" s="74" t="inlineStr">
        <is>
          <t>Power plant service</t>
        </is>
      </c>
      <c r="B30" s="145" t="n"/>
      <c r="C30" s="145" t="n"/>
      <c r="D30" s="145" t="n"/>
      <c r="E30" s="145" t="n"/>
      <c r="F30" s="145" t="n"/>
      <c r="G30" s="145" t="n">
        <v>0</v>
      </c>
      <c r="H30" s="145" t="n">
        <v>0</v>
      </c>
      <c r="I30" s="145" t="n">
        <v>0</v>
      </c>
      <c r="J30" s="145" t="n"/>
      <c r="K30" s="145" t="n">
        <v>436</v>
      </c>
      <c r="L30" s="145" t="n"/>
      <c r="M30" s="145" t="n">
        <v>1014</v>
      </c>
      <c r="N30" s="145" t="n"/>
      <c r="O30" s="145" t="n">
        <v>923</v>
      </c>
      <c r="P30" s="145" t="n"/>
      <c r="Q30" s="145" t="n">
        <v>1755</v>
      </c>
      <c r="R30" s="145" t="n"/>
      <c r="S30" s="145" t="n"/>
      <c r="T30" s="145" t="n">
        <v>1130</v>
      </c>
      <c r="U30" s="145" t="n">
        <v>1782</v>
      </c>
      <c r="V30" s="145" t="n">
        <v>220</v>
      </c>
      <c r="W30" s="145" t="n"/>
      <c r="X30" s="145" t="n"/>
      <c r="Y30" s="145" t="n"/>
      <c r="Z30" s="145" t="n"/>
      <c r="AA30" s="145" t="n"/>
      <c r="AB30" s="145" t="n"/>
      <c r="AC30" s="145" t="n"/>
      <c r="AD30" s="145" t="n"/>
      <c r="AE30" s="145" t="n"/>
      <c r="AF30" s="145" t="n"/>
    </row>
    <row r="31">
      <c r="A31" s="74" t="inlineStr">
        <is>
          <t>All other services</t>
        </is>
      </c>
      <c r="B31" s="145" t="n"/>
      <c r="C31" s="145" t="n"/>
      <c r="D31" s="145" t="n"/>
      <c r="E31" s="145" t="n"/>
      <c r="F31" s="145" t="n"/>
      <c r="G31" s="145" t="n"/>
      <c r="H31" s="145" t="n"/>
      <c r="I31" s="145" t="n"/>
      <c r="J31" s="145" t="n"/>
      <c r="K31" s="145" t="n"/>
      <c r="L31" s="145" t="n"/>
      <c r="M31" s="145" t="n"/>
      <c r="N31" s="145" t="n"/>
      <c r="O31" s="145" t="n"/>
      <c r="P31" s="145" t="n"/>
      <c r="Q31" s="145" t="n"/>
      <c r="R31" s="145" t="n"/>
      <c r="S31" s="145" t="n"/>
      <c r="T31" s="145" t="n">
        <v>1470</v>
      </c>
      <c r="U31" s="145">
        <f>U28-SUM(U29:U30)</f>
        <v/>
      </c>
      <c r="V31" s="145" t="n"/>
      <c r="W31" s="145" t="n"/>
      <c r="X31" s="145" t="n"/>
      <c r="Y31" s="145" t="n"/>
      <c r="Z31" s="145" t="n"/>
      <c r="AA31" s="145" t="n"/>
      <c r="AB31" s="145" t="n"/>
      <c r="AC31" s="145" t="n"/>
      <c r="AD31" s="145" t="n"/>
      <c r="AE31" s="145" t="n"/>
      <c r="AF31" s="145" t="n"/>
    </row>
    <row r="32">
      <c r="A32" s="105" t="inlineStr">
        <is>
          <t>Other Business</t>
        </is>
      </c>
      <c r="B32" s="88" t="n"/>
      <c r="C32" s="88" t="n"/>
      <c r="D32" s="88" t="n"/>
      <c r="E32" s="88" t="n"/>
      <c r="F32" s="88" t="n"/>
      <c r="G32" s="141">
        <f>#REF!</f>
        <v/>
      </c>
      <c r="H32" s="141">
        <f>#REF!</f>
        <v/>
      </c>
      <c r="I32" s="141">
        <f>#REF!</f>
        <v/>
      </c>
      <c r="J32" s="145" t="n"/>
      <c r="K32" s="141">
        <f>#REF!</f>
        <v/>
      </c>
      <c r="M32" s="141">
        <f>#REF!</f>
        <v/>
      </c>
      <c r="N32" s="145" t="n"/>
      <c r="O32" s="141">
        <f>#REF!</f>
        <v/>
      </c>
      <c r="P32" s="145" t="n"/>
      <c r="Q32" s="141">
        <f>#REF!</f>
        <v/>
      </c>
      <c r="R32" s="145" t="n"/>
      <c r="S32" s="141">
        <f>#REF!</f>
        <v/>
      </c>
      <c r="T32" s="145" t="n"/>
      <c r="U32" s="145" t="n"/>
      <c r="V32" s="145" t="n"/>
      <c r="W32" s="145" t="n"/>
      <c r="X32" s="145" t="n"/>
      <c r="Y32" s="145" t="n"/>
      <c r="Z32" s="145" t="n"/>
      <c r="AA32" s="145" t="n"/>
      <c r="AB32" s="145" t="n"/>
      <c r="AC32" s="145" t="n"/>
      <c r="AD32" s="145" t="n"/>
      <c r="AE32" s="145" t="n"/>
      <c r="AF32" s="145" t="n"/>
    </row>
    <row r="33">
      <c r="A33" s="105" t="inlineStr">
        <is>
          <t>Elimination</t>
        </is>
      </c>
      <c r="B33" s="88" t="n"/>
      <c r="C33" s="88" t="n"/>
      <c r="D33" s="88" t="n"/>
      <c r="E33" s="88" t="n"/>
      <c r="F33" s="88" t="n"/>
      <c r="G33" s="141">
        <f>#REF!</f>
        <v/>
      </c>
      <c r="H33" s="141">
        <f>#REF!</f>
        <v/>
      </c>
      <c r="I33" s="141">
        <f>#REF!</f>
        <v/>
      </c>
      <c r="J33" s="88" t="n"/>
      <c r="K33" s="141">
        <f>#REF!</f>
        <v/>
      </c>
      <c r="M33" s="141">
        <f>#REF!</f>
        <v/>
      </c>
      <c r="N33" s="88" t="n"/>
      <c r="O33" s="141">
        <f>#REF!</f>
        <v/>
      </c>
      <c r="P33" s="88" t="n"/>
      <c r="Q33" s="141">
        <f>#REF!</f>
        <v/>
      </c>
      <c r="R33" s="88" t="n"/>
      <c r="S33" s="141">
        <f>#REF!</f>
        <v/>
      </c>
      <c r="T33" s="88" t="n"/>
      <c r="U33" s="88" t="n"/>
      <c r="V33" s="88" t="n"/>
      <c r="W33" s="88" t="n"/>
      <c r="X33" s="88" t="n"/>
      <c r="Y33" s="88" t="n"/>
      <c r="Z33" s="88" t="n"/>
      <c r="AA33" s="88" t="n"/>
      <c r="AB33" s="88" t="n"/>
      <c r="AC33" s="88" t="n"/>
      <c r="AD33" s="88" t="n"/>
      <c r="AE33" s="88" t="n"/>
      <c r="AF33" s="88" t="n"/>
    </row>
    <row r="34" customFormat="1" s="21">
      <c r="A34" s="40" t="inlineStr">
        <is>
          <t>Total</t>
        </is>
      </c>
      <c r="B34" s="40" t="n"/>
      <c r="C34" s="121" t="n"/>
      <c r="D34" s="121" t="n"/>
      <c r="E34" s="121" t="n"/>
      <c r="F34" s="121" t="n"/>
      <c r="G34" s="148">
        <f>#REF!</f>
        <v/>
      </c>
      <c r="H34" s="148">
        <f>#REF!</f>
        <v/>
      </c>
      <c r="I34" s="148">
        <f>#REF!</f>
        <v/>
      </c>
      <c r="J34" s="121" t="n"/>
      <c r="K34" s="148">
        <f>#REF!</f>
        <v/>
      </c>
      <c r="M34" s="148">
        <f>#REF!</f>
        <v/>
      </c>
      <c r="N34" s="133" t="n">
        <v>16980</v>
      </c>
      <c r="O34" s="148">
        <f>#REF!</f>
        <v/>
      </c>
      <c r="P34" s="133" t="n">
        <v>56496</v>
      </c>
      <c r="Q34" s="148">
        <f>#REF!</f>
        <v/>
      </c>
      <c r="R34" s="133">
        <f>#REF!</f>
        <v/>
      </c>
      <c r="S34" s="148">
        <f>#REF!</f>
        <v/>
      </c>
      <c r="T34" s="121" t="n">
        <v>54463</v>
      </c>
      <c r="U34" s="121" t="n">
        <v>76785</v>
      </c>
      <c r="V34" s="958" t="n"/>
      <c r="W34" s="121" t="n"/>
      <c r="X34" s="121" t="n"/>
      <c r="Y34" s="121" t="n"/>
      <c r="Z34" s="121" t="n"/>
      <c r="AA34" s="121" t="n"/>
      <c r="AB34" s="121" t="n"/>
      <c r="AC34" s="121" t="n"/>
      <c r="AD34" s="121" t="n"/>
      <c r="AE34" s="121" t="n"/>
      <c r="AF34" s="121" t="n"/>
    </row>
    <row r="35">
      <c r="D35" s="119" t="n"/>
      <c r="E35" s="119" t="n"/>
      <c r="F35" s="119" t="n"/>
      <c r="G35" s="119" t="n"/>
      <c r="H35" s="76" t="n"/>
      <c r="I35" s="76" t="n"/>
      <c r="J35" s="76" t="n"/>
      <c r="K35" s="76" t="n"/>
      <c r="M35" s="76" t="n"/>
      <c r="N35" s="76" t="n"/>
      <c r="O35" s="76" t="n"/>
      <c r="P35" s="76" t="n"/>
      <c r="Q35" s="76" t="n"/>
      <c r="R35" s="76" t="n"/>
      <c r="S35" s="76" t="n"/>
      <c r="T35" s="76" t="n"/>
      <c r="U35" s="76" t="n"/>
      <c r="V35" s="76" t="n"/>
      <c r="W35" s="76" t="n"/>
      <c r="X35" s="76" t="n"/>
      <c r="Y35" s="76" t="n"/>
      <c r="Z35" s="76" t="n"/>
      <c r="AA35" s="76" t="n"/>
      <c r="AB35" s="76" t="n"/>
      <c r="AC35" s="76" t="n"/>
      <c r="AD35" s="76" t="n"/>
      <c r="AE35" s="76" t="n"/>
      <c r="AF35" s="76" t="n"/>
    </row>
    <row r="36">
      <c r="A36" s="22" t="inlineStr">
        <is>
          <t>Segment GPM %</t>
        </is>
      </c>
      <c r="B36" s="22" t="n"/>
      <c r="C36" s="22" t="n"/>
      <c r="D36" s="76" t="n"/>
      <c r="E36" s="76" t="n"/>
      <c r="F36" s="76" t="n"/>
      <c r="G36" s="76" t="n"/>
      <c r="H36" s="76" t="n"/>
      <c r="I36" s="76" t="n"/>
      <c r="J36" s="76" t="n"/>
      <c r="K36" s="76" t="n"/>
      <c r="M36" s="76" t="n"/>
      <c r="N36" s="76" t="n"/>
      <c r="O36" s="76" t="n"/>
      <c r="P36" s="76" t="n"/>
      <c r="Q36" s="76" t="n"/>
      <c r="R36" s="76" t="n"/>
      <c r="S36" s="76" t="n"/>
      <c r="T36" s="76" t="n"/>
      <c r="U36" s="76" t="n"/>
      <c r="V36" s="76" t="n"/>
      <c r="W36" s="76" t="n"/>
      <c r="X36" s="76" t="n"/>
      <c r="Y36" s="76" t="n"/>
      <c r="Z36" s="76" t="n"/>
      <c r="AA36" s="76" t="n"/>
      <c r="AB36" s="76" t="n"/>
      <c r="AC36" s="76" t="n"/>
      <c r="AD36" s="76" t="n"/>
      <c r="AE36" s="76" t="n"/>
      <c r="AF36" s="76" t="n"/>
    </row>
    <row r="37">
      <c r="A37">
        <f>A12</f>
        <v/>
      </c>
      <c r="D37" s="86" t="n"/>
      <c r="E37" s="959" t="n"/>
      <c r="F37" s="959" t="n"/>
      <c r="G37" s="959" t="n">
        <v>0.121</v>
      </c>
      <c r="H37" s="959" t="n">
        <v>0.141</v>
      </c>
      <c r="I37" s="959" t="n">
        <v>0.098</v>
      </c>
      <c r="J37" s="959" t="n"/>
      <c r="K37" s="959" t="n">
        <v>0.112</v>
      </c>
      <c r="L37" s="959" t="n"/>
      <c r="M37" s="959" t="n">
        <v>0.077</v>
      </c>
      <c r="N37" s="959" t="n">
        <v>0.1163</v>
      </c>
      <c r="O37" s="959" t="n">
        <v>0.063</v>
      </c>
      <c r="P37" s="959" t="n">
        <v>0.09080000000000001</v>
      </c>
      <c r="Q37" s="959" t="n">
        <v>0.036</v>
      </c>
      <c r="R37" s="959" t="n">
        <v>0.182</v>
      </c>
      <c r="S37" s="959" t="n">
        <v>0.126</v>
      </c>
      <c r="T37" s="145" t="n"/>
      <c r="U37" s="959" t="n">
        <v>0.07199999999999999</v>
      </c>
      <c r="V37" s="959" t="n"/>
      <c r="W37" s="145" t="n"/>
      <c r="X37" s="145" t="n"/>
      <c r="Y37" s="145" t="n"/>
      <c r="Z37" s="145" t="n"/>
      <c r="AA37" s="145" t="n"/>
      <c r="AB37" s="145" t="n"/>
      <c r="AC37" s="145" t="n"/>
      <c r="AD37" s="145" t="n"/>
      <c r="AE37" s="145" t="n"/>
      <c r="AF37" s="145" t="n"/>
    </row>
    <row r="38">
      <c r="A38" s="74" t="inlineStr">
        <is>
          <t>Nuclear island</t>
        </is>
      </c>
      <c r="B38" s="74" t="n"/>
      <c r="C38" s="74" t="n"/>
      <c r="D38" s="86" t="n"/>
      <c r="E38" s="959" t="n"/>
      <c r="F38" s="959" t="n"/>
      <c r="G38" s="959" t="n">
        <v>0.107</v>
      </c>
      <c r="H38" s="959" t="n">
        <v>0.15</v>
      </c>
      <c r="I38" s="959" t="n">
        <v>0.169</v>
      </c>
      <c r="J38" s="959" t="n"/>
      <c r="K38" s="959" t="n">
        <v>0.205</v>
      </c>
      <c r="L38" s="959" t="n"/>
      <c r="M38" s="959" t="n">
        <v>0.227</v>
      </c>
      <c r="N38" s="959" t="n"/>
      <c r="O38" s="959" t="n">
        <v>0.247</v>
      </c>
      <c r="P38" s="959" t="n"/>
      <c r="Q38" s="959" t="n">
        <v>0.294</v>
      </c>
      <c r="R38" s="959" t="n"/>
      <c r="S38" s="959" t="n">
        <v>0.313</v>
      </c>
      <c r="T38" s="959" t="n">
        <v>0.314</v>
      </c>
      <c r="U38" s="959" t="n">
        <v>0.261</v>
      </c>
      <c r="V38" s="959" t="n">
        <v>0.31</v>
      </c>
      <c r="W38" s="145" t="n"/>
      <c r="X38" s="145" t="n"/>
      <c r="Y38" s="145" t="n"/>
      <c r="Z38" s="145" t="n"/>
      <c r="AA38" s="145" t="n"/>
      <c r="AB38" s="145" t="n"/>
      <c r="AC38" s="145" t="n"/>
      <c r="AD38" s="145" t="n"/>
      <c r="AE38" s="145" t="n"/>
      <c r="AF38" s="145" t="n"/>
    </row>
    <row r="39">
      <c r="A39" s="74" t="inlineStr">
        <is>
          <t>Wind</t>
        </is>
      </c>
      <c r="B39" s="74" t="n"/>
      <c r="C39" s="74" t="n"/>
      <c r="D39" s="86" t="n"/>
      <c r="E39" s="959" t="n"/>
      <c r="F39" s="959" t="n"/>
      <c r="G39" s="959" t="n">
        <v>0.138</v>
      </c>
      <c r="H39" s="959" t="n">
        <v>0.098</v>
      </c>
      <c r="I39" s="959" t="n">
        <v>0.07000000000000001</v>
      </c>
      <c r="J39" s="959" t="n"/>
      <c r="K39" s="959" t="n">
        <v>-0.011</v>
      </c>
      <c r="L39" s="959" t="n"/>
      <c r="M39" s="959" t="n">
        <v>-0.023</v>
      </c>
      <c r="N39" s="959" t="n"/>
      <c r="O39" s="959" t="n">
        <v>-0.017</v>
      </c>
      <c r="P39" s="959" t="n">
        <v>0.07000000000000001</v>
      </c>
      <c r="Q39" s="959" t="n">
        <v>-0.044</v>
      </c>
      <c r="R39" s="959" t="n"/>
      <c r="S39" s="959" t="n">
        <v>0.09</v>
      </c>
      <c r="T39" s="959" t="n">
        <v>0.112</v>
      </c>
      <c r="U39" s="959" t="n">
        <v>0.057</v>
      </c>
      <c r="V39" s="959" t="n">
        <v>0.15</v>
      </c>
      <c r="W39" s="145" t="n"/>
      <c r="X39" s="145" t="n"/>
      <c r="Y39" s="145" t="n"/>
      <c r="Z39" s="145" t="n"/>
      <c r="AA39" s="145" t="n"/>
      <c r="AB39" s="145" t="n"/>
      <c r="AC39" s="145" t="n"/>
      <c r="AD39" s="145" t="n"/>
      <c r="AE39" s="145" t="n"/>
      <c r="AF39" s="145" t="n"/>
    </row>
    <row r="40">
      <c r="A40" s="74" t="inlineStr">
        <is>
          <t>Forging</t>
        </is>
      </c>
      <c r="B40" s="74" t="n"/>
      <c r="C40" s="74" t="n"/>
      <c r="D40" s="86" t="n"/>
      <c r="E40" s="959" t="n"/>
      <c r="F40" s="959" t="n"/>
      <c r="G40" s="959" t="n"/>
      <c r="H40" s="959" t="n"/>
      <c r="I40" s="959" t="n"/>
      <c r="J40" s="959" t="n"/>
      <c r="K40" s="959" t="n"/>
      <c r="L40" s="959" t="n"/>
      <c r="M40" s="959" t="n"/>
      <c r="N40" s="959" t="n"/>
      <c r="O40" s="959" t="n"/>
      <c r="P40" s="959" t="n"/>
      <c r="Q40" s="959" t="n"/>
      <c r="R40" s="959" t="n"/>
      <c r="S40" s="959" t="n"/>
      <c r="T40" s="145" t="n"/>
      <c r="U40" s="145" t="n"/>
      <c r="V40" s="959" t="n"/>
      <c r="W40" s="145" t="n"/>
      <c r="X40" s="145" t="n"/>
      <c r="Y40" s="145" t="n"/>
      <c r="Z40" s="145" t="n"/>
      <c r="AA40" s="145" t="n"/>
      <c r="AB40" s="145" t="n"/>
      <c r="AC40" s="145" t="n"/>
      <c r="AD40" s="145" t="n"/>
      <c r="AE40" s="145" t="n"/>
      <c r="AF40" s="145" t="n"/>
    </row>
    <row r="41">
      <c r="A41">
        <f>A16</f>
        <v/>
      </c>
      <c r="D41" s="86" t="n"/>
      <c r="E41" s="959" t="n"/>
      <c r="F41" s="959" t="n"/>
      <c r="G41" s="959" t="n">
        <v>0.157</v>
      </c>
      <c r="H41" s="959" t="n">
        <v>0.173</v>
      </c>
      <c r="I41" s="959" t="n"/>
      <c r="J41" s="959" t="n"/>
      <c r="K41" s="959" t="n">
        <v>0.192</v>
      </c>
      <c r="L41" s="959" t="n"/>
      <c r="M41" s="959" t="n">
        <v>0.191</v>
      </c>
      <c r="N41" s="959" t="n">
        <v>0.162</v>
      </c>
      <c r="O41" s="959" t="n">
        <v>0.191</v>
      </c>
      <c r="P41" s="959" t="n">
        <v>0.206</v>
      </c>
      <c r="Q41" s="959" t="n">
        <v>0.176</v>
      </c>
      <c r="R41" s="959" t="n">
        <v>0.167</v>
      </c>
      <c r="S41" s="959" t="n">
        <v>0.18</v>
      </c>
      <c r="T41" s="145" t="n"/>
      <c r="U41" s="959" t="n">
        <v>0.17</v>
      </c>
      <c r="V41" s="959" t="n"/>
      <c r="W41" s="145" t="n"/>
      <c r="X41" s="145" t="n"/>
      <c r="Y41" s="145" t="n"/>
      <c r="Z41" s="145" t="n"/>
      <c r="AA41" s="145" t="n"/>
      <c r="AB41" s="145" t="n"/>
      <c r="AC41" s="145" t="n"/>
      <c r="AD41" s="145" t="n"/>
      <c r="AE41" s="145" t="n"/>
      <c r="AF41" s="145" t="n"/>
    </row>
    <row r="42">
      <c r="A42" s="74" t="inlineStr">
        <is>
          <t>Coal</t>
        </is>
      </c>
      <c r="B42" s="74" t="n"/>
      <c r="C42" s="74" t="n"/>
      <c r="D42" s="86" t="n"/>
      <c r="E42" s="959" t="n"/>
      <c r="F42" s="959" t="n"/>
      <c r="G42" s="959" t="n"/>
      <c r="H42" s="959" t="n"/>
      <c r="I42" s="959" t="n">
        <v>0.242</v>
      </c>
      <c r="J42" s="959" t="n"/>
      <c r="K42" s="959" t="n">
        <v>0.208</v>
      </c>
      <c r="L42" s="959" t="n"/>
      <c r="M42" s="959" t="n">
        <v>0.235</v>
      </c>
      <c r="N42" s="959" t="n"/>
      <c r="O42" s="959" t="n">
        <v>0.219</v>
      </c>
      <c r="P42" s="959" t="n">
        <v>0.249</v>
      </c>
      <c r="Q42" s="959" t="n">
        <v>0.204</v>
      </c>
      <c r="R42" s="959" t="n"/>
      <c r="S42" s="959" t="n"/>
      <c r="T42" s="959" t="n">
        <v>0.18</v>
      </c>
      <c r="U42" s="959" t="n">
        <v>0.183</v>
      </c>
      <c r="V42" s="959" t="n">
        <v>0.168</v>
      </c>
      <c r="W42" s="145" t="n"/>
      <c r="X42" s="145" t="n"/>
      <c r="Y42" s="145" t="n"/>
      <c r="Z42" s="145" t="n"/>
      <c r="AA42" s="145" t="n"/>
      <c r="AB42" s="145" t="n"/>
      <c r="AC42" s="145" t="n"/>
      <c r="AD42" s="145" t="n"/>
      <c r="AE42" s="145" t="n"/>
      <c r="AF42" s="145" t="n"/>
    </row>
    <row r="43">
      <c r="A43" s="74" t="inlineStr">
        <is>
          <t>Gas</t>
        </is>
      </c>
      <c r="B43" s="74" t="n"/>
      <c r="C43" s="74" t="n"/>
      <c r="D43" s="86" t="n"/>
      <c r="E43" s="959" t="n"/>
      <c r="F43" s="959" t="n"/>
      <c r="G43" s="959" t="n"/>
      <c r="H43" s="959" t="n"/>
      <c r="I43" s="959" t="n"/>
      <c r="J43" s="959" t="n"/>
      <c r="K43" s="959" t="n"/>
      <c r="L43" s="959" t="n"/>
      <c r="M43" s="959" t="n"/>
      <c r="N43" s="959" t="n"/>
      <c r="O43" s="959" t="n"/>
      <c r="P43" s="959" t="n"/>
      <c r="Q43" s="959" t="n"/>
      <c r="R43" s="959" t="n"/>
      <c r="S43" s="959" t="n"/>
      <c r="T43" s="145" t="n"/>
      <c r="U43" s="145" t="n"/>
      <c r="V43" s="959" t="n"/>
      <c r="W43" s="145" t="n"/>
      <c r="X43" s="145" t="n"/>
      <c r="Y43" s="145" t="n"/>
      <c r="Z43" s="145" t="n"/>
      <c r="AA43" s="145" t="n"/>
      <c r="AB43" s="145" t="n"/>
      <c r="AC43" s="145" t="n"/>
      <c r="AD43" s="145" t="n"/>
      <c r="AE43" s="145" t="n"/>
      <c r="AF43" s="145" t="n"/>
    </row>
    <row r="44">
      <c r="A44" s="74" t="inlineStr">
        <is>
          <t>Conventional island</t>
        </is>
      </c>
      <c r="B44" s="74" t="n"/>
      <c r="C44" s="74" t="n"/>
      <c r="D44" s="86" t="n"/>
      <c r="E44" s="959" t="n"/>
      <c r="F44" s="959" t="n"/>
      <c r="G44" s="959" t="n"/>
      <c r="H44" s="959" t="n"/>
      <c r="I44" s="959" t="n"/>
      <c r="J44" s="959" t="n"/>
      <c r="K44" s="959" t="n"/>
      <c r="L44" s="959" t="n"/>
      <c r="M44" s="959" t="n"/>
      <c r="N44" s="959" t="n"/>
      <c r="O44" s="959" t="n"/>
      <c r="P44" s="959" t="n"/>
      <c r="Q44" s="959" t="n"/>
      <c r="R44" s="959" t="n"/>
      <c r="S44" s="959" t="n"/>
      <c r="T44" s="145" t="n"/>
      <c r="U44" s="145" t="n"/>
      <c r="V44" s="959" t="n">
        <v>0.176</v>
      </c>
      <c r="W44" s="145" t="n"/>
      <c r="X44" s="145" t="n"/>
      <c r="Y44" s="145" t="n"/>
      <c r="Z44" s="145" t="n"/>
      <c r="AA44" s="145" t="n"/>
      <c r="AB44" s="145" t="n"/>
      <c r="AC44" s="145" t="n"/>
      <c r="AD44" s="145" t="n"/>
      <c r="AE44" s="145" t="n"/>
      <c r="AF44" s="145" t="n"/>
    </row>
    <row r="45">
      <c r="A45" s="74" t="inlineStr">
        <is>
          <t>T&amp;D</t>
        </is>
      </c>
      <c r="B45" s="74" t="n"/>
      <c r="C45" s="74" t="n"/>
      <c r="D45" s="86" t="n"/>
      <c r="E45" s="959" t="n"/>
      <c r="F45" s="959" t="n"/>
      <c r="G45" s="959" t="n"/>
      <c r="H45" s="959" t="n"/>
      <c r="I45" s="959" t="n">
        <v>0.156</v>
      </c>
      <c r="J45" s="959" t="n"/>
      <c r="K45" s="959" t="n"/>
      <c r="L45" s="959" t="n"/>
      <c r="M45" s="959" t="n">
        <v>0.183</v>
      </c>
      <c r="N45" s="959" t="n"/>
      <c r="O45" s="959" t="n"/>
      <c r="P45" s="959" t="n"/>
      <c r="Q45" s="959" t="n">
        <v>0.187</v>
      </c>
      <c r="R45" s="959" t="n"/>
      <c r="S45" s="959" t="n"/>
      <c r="T45" s="959" t="n">
        <v>0.206</v>
      </c>
      <c r="U45" s="959" t="n">
        <v>0.179</v>
      </c>
      <c r="V45" s="959" t="n">
        <v>0.222</v>
      </c>
      <c r="W45" s="145" t="n"/>
      <c r="X45" s="145" t="n"/>
      <c r="Y45" s="145" t="n"/>
      <c r="Z45" s="145" t="n"/>
      <c r="AA45" s="145" t="n"/>
      <c r="AB45" s="145" t="n"/>
      <c r="AC45" s="145" t="n"/>
      <c r="AD45" s="145" t="n"/>
      <c r="AE45" s="145" t="n"/>
      <c r="AF45" s="145" t="n"/>
    </row>
    <row r="46">
      <c r="A46" s="74" t="inlineStr">
        <is>
          <t>Others</t>
        </is>
      </c>
      <c r="B46" s="74" t="n"/>
      <c r="C46" s="74" t="n"/>
      <c r="D46" s="86" t="n"/>
      <c r="E46" s="959" t="n"/>
      <c r="F46" s="959" t="n"/>
      <c r="G46" s="959" t="n"/>
      <c r="H46" s="959" t="n"/>
      <c r="I46" s="959" t="n"/>
      <c r="J46" s="959" t="n"/>
      <c r="K46" s="959" t="n"/>
      <c r="L46" s="959" t="n"/>
      <c r="M46" s="959" t="n"/>
      <c r="N46" s="959" t="n"/>
      <c r="O46" s="959" t="n"/>
      <c r="P46" s="959" t="n"/>
      <c r="Q46" s="959" t="n"/>
      <c r="R46" s="959" t="n"/>
      <c r="S46" s="959" t="n"/>
      <c r="T46" s="145" t="n"/>
      <c r="U46" s="145" t="n"/>
      <c r="V46" s="959" t="n"/>
      <c r="W46" s="145" t="n"/>
      <c r="X46" s="145" t="n"/>
      <c r="Y46" s="145" t="n"/>
      <c r="Z46" s="145" t="n"/>
      <c r="AA46" s="145" t="n"/>
      <c r="AB46" s="145" t="n"/>
      <c r="AC46" s="145" t="n"/>
      <c r="AD46" s="145" t="n"/>
      <c r="AE46" s="145" t="n"/>
      <c r="AF46" s="145" t="n"/>
    </row>
    <row r="47">
      <c r="A47">
        <f>A22</f>
        <v/>
      </c>
      <c r="D47" s="86" t="n"/>
      <c r="E47" s="959" t="n"/>
      <c r="F47" s="959" t="n"/>
      <c r="G47" s="959" t="n">
        <v>0.19</v>
      </c>
      <c r="H47" s="959" t="n">
        <v>0.191</v>
      </c>
      <c r="I47" s="959" t="n">
        <v>0.185</v>
      </c>
      <c r="J47" s="959" t="n"/>
      <c r="K47" s="959" t="n">
        <v>0.192</v>
      </c>
      <c r="L47" s="959" t="n"/>
      <c r="M47" s="959" t="n">
        <v>0.2</v>
      </c>
      <c r="N47" s="959" t="n">
        <v>0.199</v>
      </c>
      <c r="O47" s="959" t="n">
        <v>0.197</v>
      </c>
      <c r="P47" s="959" t="n">
        <v>0.213</v>
      </c>
      <c r="Q47" s="959" t="n">
        <v>0.206</v>
      </c>
      <c r="R47" s="959" t="n">
        <v>0.214</v>
      </c>
      <c r="S47" s="959" t="n">
        <v>0.211</v>
      </c>
      <c r="T47" s="959" t="n">
        <v>0.224</v>
      </c>
      <c r="U47" s="959" t="n">
        <v>0.21</v>
      </c>
      <c r="V47" s="959" t="n">
        <v>0.217</v>
      </c>
      <c r="W47" s="145" t="n"/>
      <c r="X47" s="145" t="n"/>
      <c r="Y47" s="145" t="n"/>
      <c r="Z47" s="145" t="n"/>
      <c r="AA47" s="145" t="n"/>
      <c r="AB47" s="145" t="n"/>
      <c r="AC47" s="145" t="n"/>
      <c r="AD47" s="145" t="n"/>
      <c r="AE47" s="145" t="n"/>
      <c r="AF47" s="145" t="n"/>
    </row>
    <row r="48">
      <c r="A48">
        <f>A28</f>
        <v/>
      </c>
      <c r="D48" s="86" t="n"/>
      <c r="E48" s="959" t="n"/>
      <c r="F48" s="959" t="n"/>
      <c r="G48" s="959" t="n">
        <v>0.054</v>
      </c>
      <c r="H48" s="959" t="n">
        <v>0.07099999999999999</v>
      </c>
      <c r="I48" s="959" t="n">
        <v>0.067</v>
      </c>
      <c r="J48" s="959" t="n"/>
      <c r="K48" s="959" t="n">
        <v>0.107</v>
      </c>
      <c r="L48" s="959" t="n"/>
      <c r="M48" s="959" t="n">
        <v>0.098</v>
      </c>
      <c r="N48" s="959" t="n">
        <v>0.1017</v>
      </c>
      <c r="O48" s="959" t="n">
        <v>0.104</v>
      </c>
      <c r="P48" s="959" t="n">
        <v>0.116</v>
      </c>
      <c r="Q48" s="959" t="n">
        <v>0.105</v>
      </c>
      <c r="R48" s="959" t="n">
        <v>0.227</v>
      </c>
      <c r="S48" s="959" t="n">
        <v>0.18</v>
      </c>
      <c r="T48" s="145" t="n"/>
      <c r="U48" s="959" t="n">
        <v>0.164</v>
      </c>
      <c r="V48" s="959" t="n"/>
      <c r="W48" s="145" t="n"/>
      <c r="X48" s="145" t="n"/>
      <c r="Y48" s="145" t="n"/>
      <c r="Z48" s="145" t="n"/>
      <c r="AA48" s="145" t="n"/>
      <c r="AB48" s="145" t="n"/>
      <c r="AC48" s="145" t="n"/>
      <c r="AD48" s="145" t="n"/>
      <c r="AE48" s="145" t="n"/>
      <c r="AF48" s="145" t="n"/>
    </row>
    <row r="49">
      <c r="A49" s="74" t="inlineStr">
        <is>
          <t>Engineering</t>
        </is>
      </c>
      <c r="B49" s="74" t="n"/>
      <c r="C49" s="74" t="n"/>
      <c r="D49" s="86" t="n"/>
      <c r="E49" s="959" t="n"/>
      <c r="F49" s="959" t="n"/>
      <c r="G49" s="959" t="n"/>
      <c r="H49" s="959" t="n"/>
      <c r="I49" s="959" t="n"/>
      <c r="J49" s="959" t="n"/>
      <c r="K49" s="959" t="n"/>
      <c r="L49" s="959" t="n"/>
      <c r="M49" s="959" t="n"/>
      <c r="N49" s="959" t="n"/>
      <c r="O49" s="959" t="n"/>
      <c r="P49" s="959" t="n"/>
      <c r="Q49" s="145" t="n"/>
      <c r="R49" s="959" t="n"/>
      <c r="S49" s="959" t="n"/>
      <c r="T49" s="959" t="n">
        <v>0.176</v>
      </c>
      <c r="U49" s="145" t="n"/>
      <c r="V49" s="959" t="n">
        <v>0.131</v>
      </c>
      <c r="W49" s="145" t="n"/>
      <c r="X49" s="145" t="n"/>
      <c r="Y49" s="145" t="n"/>
      <c r="Z49" s="145" t="n"/>
      <c r="AA49" s="145" t="n"/>
      <c r="AB49" s="145" t="n"/>
      <c r="AC49" s="145" t="n"/>
      <c r="AD49" s="145" t="n"/>
      <c r="AE49" s="145" t="n"/>
      <c r="AF49" s="145" t="n"/>
    </row>
    <row r="50">
      <c r="A50" s="74" t="inlineStr">
        <is>
          <t>Service</t>
        </is>
      </c>
      <c r="B50" s="74" t="n"/>
      <c r="C50" s="74" t="n"/>
      <c r="D50" s="86" t="n"/>
      <c r="E50" s="959" t="n"/>
      <c r="F50" s="959" t="n"/>
      <c r="G50" s="959" t="n"/>
      <c r="H50" s="959" t="n"/>
      <c r="I50" s="959" t="n"/>
      <c r="J50" s="959" t="n"/>
      <c r="K50" s="959" t="n"/>
      <c r="L50" s="959" t="n"/>
      <c r="M50" s="959" t="n"/>
      <c r="N50" s="959" t="n"/>
      <c r="O50" s="959" t="n"/>
      <c r="P50" s="959" t="n"/>
      <c r="Q50" s="145" t="n"/>
      <c r="R50" s="959" t="n"/>
      <c r="S50" s="959" t="n"/>
      <c r="T50" s="959" t="n">
        <v>0.131</v>
      </c>
      <c r="U50" s="145" t="n"/>
      <c r="V50" s="959" t="n">
        <v>0.249</v>
      </c>
      <c r="W50" s="145" t="n"/>
      <c r="X50" s="145" t="n"/>
      <c r="Y50" s="145" t="n"/>
      <c r="Z50" s="145" t="n"/>
      <c r="AA50" s="145" t="n"/>
      <c r="AB50" s="145" t="n"/>
      <c r="AC50" s="145" t="n"/>
      <c r="AD50" s="145" t="n"/>
      <c r="AE50" s="145" t="n"/>
      <c r="AF50" s="145" t="n"/>
    </row>
    <row r="51">
      <c r="A51">
        <f>A32</f>
        <v/>
      </c>
      <c r="D51" s="86" t="n"/>
      <c r="E51" s="959" t="n"/>
      <c r="F51" s="959" t="n"/>
      <c r="G51" s="959" t="n"/>
      <c r="H51" s="959" t="n"/>
      <c r="I51" s="959" t="n"/>
      <c r="J51" s="959" t="n"/>
      <c r="K51" s="959" t="n"/>
      <c r="L51" s="959" t="n"/>
      <c r="M51" s="959" t="n"/>
      <c r="N51" s="959" t="n"/>
      <c r="O51" s="959" t="n"/>
      <c r="P51" s="959" t="n"/>
      <c r="Q51" s="145" t="n"/>
      <c r="R51" s="959" t="n"/>
      <c r="S51" s="959" t="n"/>
      <c r="T51" s="145" t="n"/>
      <c r="U51" s="145" t="n"/>
      <c r="V51" s="959" t="n"/>
      <c r="W51" s="145" t="n"/>
      <c r="X51" s="145" t="n"/>
      <c r="Y51" s="145" t="n"/>
      <c r="Z51" s="145" t="n"/>
      <c r="AA51" s="145" t="n"/>
      <c r="AB51" s="145" t="n"/>
      <c r="AC51" s="145" t="n"/>
      <c r="AD51" s="145" t="n"/>
      <c r="AE51" s="145" t="n"/>
      <c r="AF51" s="145" t="n"/>
    </row>
    <row r="52" customFormat="1" s="21">
      <c r="A52" s="40">
        <f>A34</f>
        <v/>
      </c>
      <c r="B52" s="40" t="n"/>
      <c r="C52" s="40" t="n"/>
      <c r="D52" s="121" t="n"/>
      <c r="E52" s="121" t="n"/>
      <c r="F52" s="121" t="n"/>
      <c r="G52" s="121" t="n"/>
      <c r="H52" s="121" t="n"/>
      <c r="I52" s="121" t="n"/>
      <c r="J52" s="121" t="n"/>
      <c r="K52" s="960" t="n">
        <v>0.188</v>
      </c>
      <c r="M52" s="960" t="n">
        <v>0.183</v>
      </c>
      <c r="N52" s="960" t="n">
        <v>0.188</v>
      </c>
      <c r="O52" s="960" t="n">
        <v>0.175</v>
      </c>
      <c r="P52" s="960" t="n">
        <v>0.191</v>
      </c>
      <c r="Q52" s="960" t="n">
        <v>0.174</v>
      </c>
      <c r="R52" s="960">
        <f>#REF!</f>
        <v/>
      </c>
      <c r="S52" s="960" t="n">
        <v>0.194</v>
      </c>
      <c r="T52" s="931" t="n">
        <v>0.188</v>
      </c>
      <c r="U52" s="959" t="n">
        <v>0.187</v>
      </c>
      <c r="V52" s="959" t="n">
        <v>0.165</v>
      </c>
      <c r="W52" s="121" t="n"/>
      <c r="X52" s="121" t="n"/>
      <c r="Y52" s="121" t="n"/>
      <c r="Z52" s="121" t="n"/>
      <c r="AA52" s="121" t="n"/>
      <c r="AB52" s="121" t="n"/>
      <c r="AC52" s="121" t="n"/>
      <c r="AD52" s="121" t="n"/>
      <c r="AE52" s="121" t="n"/>
      <c r="AF52" s="121" t="n"/>
    </row>
    <row r="53">
      <c r="D53" s="119" t="n"/>
      <c r="E53" s="119" t="n"/>
      <c r="F53" s="119" t="n"/>
      <c r="G53" s="119" t="n"/>
      <c r="H53" s="119" t="n"/>
      <c r="I53" s="119" t="n"/>
      <c r="J53" s="119" t="n"/>
      <c r="K53" s="119" t="n"/>
      <c r="M53" s="119" t="n"/>
      <c r="N53" s="119" t="n"/>
      <c r="O53" s="119" t="n"/>
      <c r="P53" s="119" t="n"/>
      <c r="Q53" s="119" t="n"/>
      <c r="R53" s="119" t="n"/>
      <c r="S53" s="119" t="n"/>
      <c r="T53" s="119" t="n"/>
      <c r="U53" s="76" t="n"/>
      <c r="V53" s="119" t="n"/>
      <c r="W53" s="119" t="n"/>
      <c r="X53" s="119" t="n"/>
      <c r="Y53" s="119" t="n"/>
      <c r="Z53" s="119" t="n"/>
      <c r="AA53" s="119" t="n"/>
      <c r="AB53" s="119" t="n"/>
      <c r="AC53" s="119" t="n"/>
      <c r="AD53" s="119" t="n"/>
      <c r="AE53" s="119" t="n"/>
      <c r="AF53" s="119" t="n"/>
    </row>
    <row r="54">
      <c r="A54" s="22" t="inlineStr">
        <is>
          <t>Segment new order</t>
        </is>
      </c>
      <c r="B54" s="22" t="n"/>
      <c r="C54" s="22" t="n"/>
      <c r="D54" s="76" t="n"/>
      <c r="E54" s="76" t="n"/>
      <c r="F54" s="76" t="n"/>
      <c r="G54" s="76" t="n"/>
      <c r="H54" s="76" t="n"/>
      <c r="I54" s="76" t="n"/>
      <c r="J54" s="76" t="n"/>
      <c r="K54" s="76" t="n"/>
      <c r="M54" s="76" t="n"/>
      <c r="N54" s="76" t="n"/>
      <c r="O54" s="76" t="n"/>
      <c r="P54" s="76" t="n"/>
      <c r="Q54" s="76" t="n"/>
      <c r="R54" s="76" t="n"/>
      <c r="S54" s="76" t="n"/>
      <c r="T54" s="119" t="n"/>
      <c r="U54" s="76" t="n"/>
      <c r="V54" s="76" t="n"/>
      <c r="W54" s="76" t="n"/>
      <c r="X54" s="76" t="n"/>
      <c r="Y54" s="76" t="n"/>
      <c r="Z54" s="76" t="n"/>
      <c r="AA54" s="76" t="n"/>
      <c r="AB54" s="76" t="n"/>
      <c r="AC54" s="76" t="n"/>
      <c r="AD54" s="76" t="n"/>
      <c r="AE54" s="76" t="n"/>
      <c r="AF54" s="76" t="n"/>
    </row>
    <row r="55" customFormat="1" s="21">
      <c r="A55" s="22">
        <f>A37</f>
        <v/>
      </c>
      <c r="B55" s="22" t="n"/>
      <c r="C55" s="22" t="n"/>
      <c r="D55" s="121" t="n"/>
      <c r="E55" s="121" t="n"/>
      <c r="F55" s="121">
        <f>SUM(F56:F57)</f>
        <v/>
      </c>
      <c r="G55" s="121">
        <f>SUM(G56:G57)</f>
        <v/>
      </c>
      <c r="H55" s="133" t="n">
        <v>7983</v>
      </c>
      <c r="I55" s="133" t="n">
        <v>11589</v>
      </c>
      <c r="J55" s="133" t="n"/>
      <c r="K55" s="133" t="n">
        <v>2794</v>
      </c>
      <c r="L55" s="22" t="n"/>
      <c r="M55" s="133" t="n">
        <v>4883</v>
      </c>
      <c r="N55" s="133" t="n">
        <v>400</v>
      </c>
      <c r="O55" s="133" t="n">
        <v>2459</v>
      </c>
      <c r="P55" s="133" t="n">
        <v>5490</v>
      </c>
      <c r="Q55" s="133" t="n">
        <v>6790</v>
      </c>
      <c r="R55" s="133" t="n">
        <v>5010</v>
      </c>
      <c r="S55" s="133" t="n">
        <v>6826</v>
      </c>
      <c r="T55" s="133" t="n">
        <v>10280</v>
      </c>
      <c r="U55" s="133" t="n">
        <v>13500</v>
      </c>
      <c r="V55" s="133">
        <f>SUM(V56:V58)</f>
        <v/>
      </c>
      <c r="W55" s="133" t="n"/>
      <c r="X55" s="133" t="n"/>
      <c r="Y55" s="133" t="n"/>
      <c r="Z55" s="133" t="n"/>
      <c r="AA55" s="133" t="n"/>
      <c r="AB55" s="133" t="n"/>
      <c r="AC55" s="133" t="n"/>
      <c r="AD55" s="133" t="n"/>
      <c r="AE55" s="133" t="n"/>
      <c r="AF55" s="133" t="n"/>
    </row>
    <row r="56">
      <c r="A56" s="74" t="inlineStr">
        <is>
          <t>Nuclear island</t>
        </is>
      </c>
      <c r="B56" s="74" t="n"/>
      <c r="C56" s="74" t="n"/>
      <c r="D56" s="86" t="n"/>
      <c r="E56" s="86" t="n"/>
      <c r="F56" s="86">
        <f>16276*0.5</f>
        <v/>
      </c>
      <c r="G56" s="86">
        <f>17196*0.7</f>
        <v/>
      </c>
      <c r="H56" s="145" t="n">
        <v>3971</v>
      </c>
      <c r="I56" s="145" t="n">
        <v>3328</v>
      </c>
      <c r="J56" s="145" t="n"/>
      <c r="K56" s="145" t="n"/>
      <c r="M56" s="145" t="n"/>
      <c r="N56" s="145" t="n"/>
      <c r="O56" s="145" t="n">
        <v>74</v>
      </c>
      <c r="P56" s="145" t="n">
        <v>1240</v>
      </c>
      <c r="Q56" s="145" t="n">
        <v>1631</v>
      </c>
      <c r="R56" s="145" t="n">
        <v>1200</v>
      </c>
      <c r="S56" s="145" t="n">
        <v>1545</v>
      </c>
      <c r="T56" s="145" t="n">
        <v>2340</v>
      </c>
      <c r="U56" s="145" t="n">
        <v>2970</v>
      </c>
      <c r="V56" s="145" t="n">
        <v>320</v>
      </c>
      <c r="W56" s="145" t="n"/>
      <c r="X56" s="145" t="n"/>
      <c r="Y56" s="145" t="n"/>
      <c r="Z56" s="145" t="n"/>
      <c r="AA56" s="145" t="n"/>
      <c r="AB56" s="145" t="n"/>
      <c r="AC56" s="145" t="n"/>
      <c r="AD56" s="145" t="n"/>
      <c r="AE56" s="145" t="n"/>
      <c r="AF56" s="145" t="n"/>
    </row>
    <row r="57">
      <c r="A57" s="74" t="inlineStr">
        <is>
          <t>Wind</t>
        </is>
      </c>
      <c r="B57" s="74" t="n"/>
      <c r="C57" s="74" t="n"/>
      <c r="D57" s="86" t="n"/>
      <c r="E57" s="86" t="n"/>
      <c r="F57" s="86">
        <f>75636*0.005</f>
        <v/>
      </c>
      <c r="G57" s="86">
        <f>70598*0.08</f>
        <v/>
      </c>
      <c r="H57" s="145" t="n">
        <v>2542</v>
      </c>
      <c r="I57" s="145" t="n">
        <v>6241</v>
      </c>
      <c r="J57" s="145" t="n"/>
      <c r="K57" s="145" t="n"/>
      <c r="M57" s="145" t="n"/>
      <c r="N57" s="145" t="n">
        <v>180</v>
      </c>
      <c r="O57" s="145" t="n">
        <v>1923</v>
      </c>
      <c r="P57" s="145" t="n">
        <v>3430</v>
      </c>
      <c r="Q57" s="346" t="n">
        <v>4110</v>
      </c>
      <c r="R57" s="145" t="n">
        <v>3460</v>
      </c>
      <c r="S57" s="145" t="n">
        <v>4646</v>
      </c>
      <c r="T57" s="145" t="n">
        <v>6940</v>
      </c>
      <c r="U57" s="76" t="n">
        <v>9400</v>
      </c>
      <c r="V57" s="145" t="n">
        <v>3680</v>
      </c>
      <c r="W57" s="145" t="n"/>
      <c r="X57" s="958" t="n"/>
      <c r="Y57" s="958" t="n"/>
      <c r="Z57" s="145" t="n"/>
      <c r="AA57" s="145" t="n"/>
      <c r="AB57" s="145" t="n"/>
      <c r="AC57" s="145" t="n"/>
      <c r="AD57" s="145" t="n"/>
      <c r="AE57" s="145" t="n"/>
      <c r="AF57" s="145" t="n"/>
    </row>
    <row r="58">
      <c r="A58" s="74" t="inlineStr">
        <is>
          <t>Forging</t>
        </is>
      </c>
      <c r="B58" s="74" t="n"/>
      <c r="C58" s="74" t="n"/>
      <c r="D58" s="86" t="n"/>
      <c r="E58" s="86" t="n"/>
      <c r="F58" s="86" t="n"/>
      <c r="G58" s="86" t="n"/>
      <c r="H58" s="145" t="n"/>
      <c r="I58" s="145" t="n"/>
      <c r="J58" s="145" t="n"/>
      <c r="K58" s="145" t="n"/>
      <c r="M58" s="145" t="n"/>
      <c r="N58" s="145" t="n">
        <v>210</v>
      </c>
      <c r="O58" s="145" t="n"/>
      <c r="P58" s="145" t="n">
        <v>820</v>
      </c>
      <c r="Q58" s="346" t="n"/>
      <c r="R58" s="145" t="n"/>
      <c r="S58" s="145" t="n"/>
      <c r="T58" s="145" t="n"/>
      <c r="U58" s="76" t="n"/>
      <c r="V58" s="145" t="n">
        <v>190</v>
      </c>
      <c r="W58" s="145" t="n"/>
      <c r="X58" s="145" t="n"/>
      <c r="Y58" s="145" t="n"/>
      <c r="Z58" s="145" t="n"/>
      <c r="AA58" s="145" t="n"/>
      <c r="AB58" s="145" t="n"/>
      <c r="AC58" s="145" t="n"/>
      <c r="AD58" s="145" t="n"/>
      <c r="AE58" s="145" t="n"/>
      <c r="AF58" s="145" t="n"/>
    </row>
    <row r="59" customFormat="1" s="21">
      <c r="A59" s="22">
        <f>A41</f>
        <v/>
      </c>
      <c r="B59" s="22" t="n"/>
      <c r="C59" s="22" t="n"/>
      <c r="D59" s="121" t="n"/>
      <c r="E59" s="121" t="n"/>
      <c r="F59" s="121">
        <f>SUM(F60:F63)</f>
        <v/>
      </c>
      <c r="G59" s="121">
        <f>SUM(G60:G63)</f>
        <v/>
      </c>
      <c r="H59" s="133" t="n">
        <v>39326</v>
      </c>
      <c r="I59" s="133" t="n">
        <v>26655</v>
      </c>
      <c r="J59" s="133" t="n"/>
      <c r="K59" s="133" t="n">
        <v>7341</v>
      </c>
      <c r="L59" s="22" t="n"/>
      <c r="M59" s="133" t="n">
        <v>28714</v>
      </c>
      <c r="N59" s="133" t="n">
        <v>4270</v>
      </c>
      <c r="O59" s="133" t="n">
        <v>17242</v>
      </c>
      <c r="P59" s="133" t="n">
        <v>31150</v>
      </c>
      <c r="Q59" s="354" t="n">
        <v>36300</v>
      </c>
      <c r="R59" s="133" t="n">
        <v>6790</v>
      </c>
      <c r="S59" s="133" t="n">
        <v>14498</v>
      </c>
      <c r="T59" s="133" t="n">
        <v>20090</v>
      </c>
      <c r="U59" s="133" t="n">
        <v>29000</v>
      </c>
      <c r="V59" s="133">
        <f>SUM(V60:V63)</f>
        <v/>
      </c>
      <c r="W59" s="133" t="n"/>
      <c r="X59" s="133" t="n"/>
      <c r="Y59" s="133" t="n"/>
      <c r="Z59" s="133" t="n"/>
      <c r="AA59" s="133" t="n"/>
      <c r="AB59" s="133" t="n"/>
      <c r="AC59" s="133" t="n"/>
      <c r="AD59" s="133" t="n"/>
      <c r="AE59" s="133" t="n"/>
      <c r="AF59" s="133" t="n"/>
    </row>
    <row r="60">
      <c r="A60" s="74" t="inlineStr">
        <is>
          <t>Coal</t>
        </is>
      </c>
      <c r="B60" s="74" t="n"/>
      <c r="C60" s="74" t="n"/>
      <c r="D60" s="86" t="n"/>
      <c r="E60" s="86" t="n"/>
      <c r="F60" s="86">
        <f>0.561*75636</f>
        <v/>
      </c>
      <c r="G60" s="86">
        <f>70598*0.29</f>
        <v/>
      </c>
      <c r="H60" s="86">
        <f>(H17+H18+H19+H78-G78)</f>
        <v/>
      </c>
      <c r="I60" s="145" t="n">
        <v>16762</v>
      </c>
      <c r="J60" s="145" t="n"/>
      <c r="K60" s="145" t="n">
        <v>1940</v>
      </c>
      <c r="M60" s="145" t="n">
        <v>17300</v>
      </c>
      <c r="N60" s="145" t="n">
        <v>2561</v>
      </c>
      <c r="O60" s="145" t="n">
        <v>12717</v>
      </c>
      <c r="P60" s="145" t="n">
        <v>17990</v>
      </c>
      <c r="Q60" s="145" t="n">
        <v>25210</v>
      </c>
      <c r="R60" s="145" t="n">
        <v>5450</v>
      </c>
      <c r="S60" s="145" t="n">
        <v>10500</v>
      </c>
      <c r="T60" s="145" t="n">
        <v>13820</v>
      </c>
      <c r="U60" s="145" t="n">
        <v>21400</v>
      </c>
      <c r="V60" s="145" t="n">
        <v>2530</v>
      </c>
      <c r="W60" s="145" t="n"/>
      <c r="X60" s="145" t="n"/>
      <c r="Y60" s="145" t="n"/>
      <c r="Z60" s="145" t="n"/>
      <c r="AA60" s="145" t="n"/>
      <c r="AB60" s="145" t="n"/>
      <c r="AC60" s="145" t="n"/>
      <c r="AD60" s="145" t="n"/>
      <c r="AE60" s="145" t="n"/>
      <c r="AF60" s="145" t="n"/>
    </row>
    <row r="61">
      <c r="A61" s="74" t="inlineStr">
        <is>
          <t>Gas</t>
        </is>
      </c>
      <c r="B61" s="74" t="n"/>
      <c r="C61" s="74" t="n"/>
      <c r="D61" s="86" t="n"/>
      <c r="E61" s="86" t="n"/>
      <c r="F61" s="86" t="n"/>
      <c r="G61" s="86" t="n"/>
      <c r="H61" s="365" t="n"/>
      <c r="I61" s="145" t="n">
        <v>4683</v>
      </c>
      <c r="J61" s="145" t="n"/>
      <c r="K61" s="145" t="n"/>
      <c r="M61" s="145" t="n">
        <v>5200</v>
      </c>
      <c r="N61" s="145" t="n"/>
      <c r="O61" s="145" t="n"/>
      <c r="P61" s="145" t="n">
        <v>8510</v>
      </c>
      <c r="Q61" s="145" t="n">
        <v>2300</v>
      </c>
      <c r="R61" s="145" t="n">
        <v>0</v>
      </c>
      <c r="S61" s="145" t="n">
        <v>890</v>
      </c>
      <c r="T61" s="145" t="n">
        <v>1420</v>
      </c>
      <c r="U61" s="145" t="n">
        <v>2830</v>
      </c>
      <c r="V61" s="145" t="n">
        <v>880</v>
      </c>
      <c r="W61" s="145" t="n"/>
      <c r="X61" s="145" t="n"/>
      <c r="Y61" s="145" t="n"/>
      <c r="Z61" s="145" t="n"/>
      <c r="AA61" s="145" t="n"/>
      <c r="AB61" s="145" t="n"/>
      <c r="AC61" s="145" t="n"/>
      <c r="AD61" s="145" t="n"/>
      <c r="AE61" s="145" t="n"/>
      <c r="AF61" s="145" t="n"/>
    </row>
    <row r="62">
      <c r="A62" s="74" t="inlineStr">
        <is>
          <t>Conventional island</t>
        </is>
      </c>
      <c r="B62" s="74" t="n"/>
      <c r="C62" s="74" t="n"/>
      <c r="D62" s="86" t="n"/>
      <c r="E62" s="86" t="n"/>
      <c r="F62" s="86">
        <f>75636*0.082</f>
        <v/>
      </c>
      <c r="G62" s="86">
        <f>70598*0.15</f>
        <v/>
      </c>
      <c r="H62" s="145" t="n"/>
      <c r="I62" s="145" t="n"/>
      <c r="J62" s="145" t="n"/>
      <c r="K62" s="145" t="n"/>
      <c r="M62" s="145" t="n"/>
      <c r="N62" s="145" t="n"/>
      <c r="O62" s="145" t="n"/>
      <c r="P62" s="145" t="n">
        <v>20</v>
      </c>
      <c r="Q62" s="145" t="n">
        <v>2050</v>
      </c>
      <c r="R62" s="145" t="n"/>
      <c r="S62" s="145" t="n"/>
      <c r="T62" s="145" t="n">
        <v>0</v>
      </c>
      <c r="U62" s="145" t="n">
        <v>0</v>
      </c>
      <c r="V62" s="145" t="n"/>
      <c r="W62" s="145" t="n"/>
      <c r="X62" s="145" t="n"/>
      <c r="Y62" s="145" t="n"/>
      <c r="Z62" s="145" t="n"/>
      <c r="AA62" s="145" t="n"/>
      <c r="AB62" s="145" t="n"/>
      <c r="AC62" s="145" t="n"/>
      <c r="AD62" s="145" t="n"/>
      <c r="AE62" s="145" t="n"/>
      <c r="AF62" s="145" t="n"/>
    </row>
    <row r="63">
      <c r="A63" s="74" t="inlineStr">
        <is>
          <t>Heavy machinery (coal-related)</t>
        </is>
      </c>
      <c r="B63" s="74" t="n"/>
      <c r="C63" s="74" t="n"/>
      <c r="D63" s="86" t="n"/>
      <c r="E63" s="86" t="n"/>
      <c r="F63" s="86">
        <f>16276*0.48</f>
        <v/>
      </c>
      <c r="G63" s="86">
        <f>17196*0.29</f>
        <v/>
      </c>
      <c r="H63" s="145" t="n"/>
      <c r="I63" s="145" t="n"/>
      <c r="J63" s="145" t="n"/>
      <c r="K63" s="145" t="n"/>
      <c r="M63" s="145" t="n"/>
      <c r="N63" s="145" t="n">
        <v>360</v>
      </c>
      <c r="O63" s="145" t="n"/>
      <c r="P63" s="145" t="n">
        <v>850</v>
      </c>
      <c r="Q63" s="347" t="n">
        <v>6740</v>
      </c>
      <c r="R63" s="145" t="n"/>
      <c r="S63" s="145" t="n"/>
      <c r="T63" s="145" t="n">
        <v>4850</v>
      </c>
      <c r="U63" s="76" t="n"/>
      <c r="V63" s="365" t="n">
        <v>1080</v>
      </c>
      <c r="W63" s="145" t="n"/>
      <c r="X63" s="145" t="n"/>
      <c r="Y63" s="145" t="n"/>
      <c r="Z63" s="145" t="n"/>
      <c r="AA63" s="145" t="n"/>
      <c r="AB63" s="145" t="n"/>
      <c r="AC63" s="145" t="n"/>
      <c r="AD63" s="145" t="n"/>
      <c r="AE63" s="145" t="n"/>
      <c r="AF63" s="145" t="n"/>
    </row>
    <row r="64">
      <c r="A64" s="74" t="inlineStr">
        <is>
          <t>Others</t>
        </is>
      </c>
      <c r="B64" s="74" t="n"/>
      <c r="C64" s="74" t="n"/>
      <c r="D64" s="86" t="n"/>
      <c r="E64" s="86" t="n"/>
      <c r="F64" s="86" t="n"/>
      <c r="G64" s="86" t="n"/>
      <c r="H64" s="145" t="n"/>
      <c r="I64" s="145" t="n"/>
      <c r="J64" s="145" t="n"/>
      <c r="K64" s="145" t="n"/>
      <c r="M64" s="145" t="n"/>
      <c r="N64" s="145" t="n">
        <v>1350</v>
      </c>
      <c r="O64" s="145" t="n"/>
      <c r="P64" s="145" t="n">
        <v>3780</v>
      </c>
      <c r="Q64" s="348" t="n"/>
      <c r="R64" s="145" t="n"/>
      <c r="S64" s="145" t="n"/>
      <c r="T64" s="145" t="n"/>
      <c r="U64" s="76" t="n"/>
      <c r="V64" s="145" t="n"/>
      <c r="W64" s="145" t="n"/>
      <c r="X64" s="145" t="n"/>
      <c r="Y64" s="145" t="n"/>
      <c r="Z64" s="145" t="n"/>
      <c r="AA64" s="145" t="n"/>
      <c r="AB64" s="145" t="n"/>
      <c r="AC64" s="145" t="n"/>
      <c r="AD64" s="145" t="n"/>
      <c r="AE64" s="145" t="n"/>
      <c r="AF64" s="145" t="n"/>
    </row>
    <row r="65">
      <c r="A65" s="22">
        <f>A47</f>
        <v/>
      </c>
      <c r="B65" s="22" t="n"/>
      <c r="C65" s="22" t="n"/>
      <c r="D65" s="86" t="n"/>
      <c r="E65" s="86" t="n"/>
      <c r="F65" s="86" t="n"/>
      <c r="G65" s="86" t="n"/>
      <c r="H65" s="145" t="n"/>
      <c r="I65" s="145" t="n"/>
      <c r="J65" s="145" t="n"/>
      <c r="K65" s="145" t="n"/>
      <c r="M65" s="145" t="n"/>
      <c r="N65" s="145" t="n"/>
      <c r="O65" s="145" t="n"/>
      <c r="P65" s="145" t="n"/>
      <c r="Q65" s="145" t="n"/>
      <c r="R65" s="145" t="n"/>
      <c r="S65" s="145" t="n"/>
      <c r="T65" s="145" t="n"/>
      <c r="U65" s="76" t="n"/>
      <c r="V65" s="145" t="n"/>
      <c r="W65" s="145" t="n"/>
      <c r="X65" s="145" t="n"/>
      <c r="Y65" s="145" t="n"/>
      <c r="Z65" s="145" t="n"/>
      <c r="AA65" s="145" t="n"/>
      <c r="AB65" s="145" t="n"/>
      <c r="AC65" s="145" t="n"/>
      <c r="AD65" s="145" t="n"/>
      <c r="AE65" s="145" t="n"/>
      <c r="AF65" s="145" t="n"/>
    </row>
    <row r="66" customFormat="1" s="21">
      <c r="A66" s="22">
        <f>A48</f>
        <v/>
      </c>
      <c r="B66" s="22" t="n"/>
      <c r="C66" s="22" t="n"/>
      <c r="D66" s="121" t="n"/>
      <c r="E66" s="121" t="n"/>
      <c r="F66" s="121">
        <f>75636*0.258</f>
        <v/>
      </c>
      <c r="G66" s="121">
        <f>70598*0.37</f>
        <v/>
      </c>
      <c r="H66" s="133" t="n">
        <v>40952</v>
      </c>
      <c r="I66" s="133" t="n">
        <v>39639</v>
      </c>
      <c r="J66" s="133" t="n"/>
      <c r="K66" s="133" t="n">
        <v>1123</v>
      </c>
      <c r="L66" s="22" t="n"/>
      <c r="M66" s="133" t="n">
        <v>6780</v>
      </c>
      <c r="N66" s="133" t="n">
        <v>510</v>
      </c>
      <c r="O66" s="133" t="n">
        <v>4424</v>
      </c>
      <c r="P66" s="133" t="n">
        <v>7000</v>
      </c>
      <c r="Q66" s="133" t="n">
        <v>15030</v>
      </c>
      <c r="R66" s="133" t="n">
        <v>361</v>
      </c>
      <c r="S66" s="133" t="n">
        <v>1704</v>
      </c>
      <c r="T66" s="133" t="n">
        <v>4010</v>
      </c>
      <c r="U66" s="133" t="n">
        <v>16300</v>
      </c>
      <c r="V66" s="133">
        <f>SUM(V67:V68)</f>
        <v/>
      </c>
      <c r="W66" s="133" t="n"/>
      <c r="X66" s="133" t="n"/>
      <c r="Y66" s="133" t="n"/>
      <c r="Z66" s="133" t="n"/>
      <c r="AA66" s="133" t="n"/>
      <c r="AB66" s="133" t="n"/>
      <c r="AC66" s="133" t="n"/>
      <c r="AD66" s="133" t="n"/>
      <c r="AE66" s="133" t="n"/>
      <c r="AF66" s="133" t="n"/>
    </row>
    <row r="67">
      <c r="A67" s="74" t="inlineStr">
        <is>
          <t>Engineering</t>
        </is>
      </c>
      <c r="B67" s="74" t="n"/>
      <c r="C67" s="74" t="n"/>
      <c r="D67" s="86" t="n"/>
      <c r="E67" s="86" t="n"/>
      <c r="F67" s="86" t="n"/>
      <c r="G67" s="86" t="n"/>
      <c r="H67" s="76" t="n"/>
      <c r="I67" s="145" t="n"/>
      <c r="J67" s="145" t="n"/>
      <c r="K67" s="145" t="n"/>
      <c r="M67" s="145" t="n"/>
      <c r="N67" s="145" t="n"/>
      <c r="O67" s="145" t="n"/>
      <c r="P67" s="145" t="n">
        <v>5450</v>
      </c>
      <c r="Q67" s="145">
        <f>Q66-Q68</f>
        <v/>
      </c>
      <c r="R67" s="145" t="n"/>
      <c r="S67" s="145" t="n"/>
      <c r="T67" s="145" t="n"/>
      <c r="U67" s="145" t="n">
        <v>13190</v>
      </c>
      <c r="V67" s="145" t="n">
        <v>6370</v>
      </c>
      <c r="W67" s="145" t="n"/>
      <c r="X67" s="145" t="n"/>
      <c r="Y67" s="145" t="n"/>
      <c r="Z67" s="145" t="n"/>
      <c r="AA67" s="145" t="n"/>
      <c r="AB67" s="145" t="n"/>
      <c r="AC67" s="145" t="n"/>
      <c r="AD67" s="145" t="n"/>
      <c r="AE67" s="145" t="n"/>
      <c r="AF67" s="145" t="n"/>
    </row>
    <row r="68">
      <c r="A68" s="74" t="inlineStr">
        <is>
          <t>Service</t>
        </is>
      </c>
      <c r="B68" s="74" t="n"/>
      <c r="C68" s="74" t="n"/>
      <c r="D68" s="86" t="n"/>
      <c r="E68" s="86" t="n"/>
      <c r="F68" s="86" t="n"/>
      <c r="G68" s="86" t="n"/>
      <c r="H68" s="76" t="n"/>
      <c r="I68" s="145" t="n"/>
      <c r="J68" s="145" t="n"/>
      <c r="K68" s="145" t="n"/>
      <c r="M68" s="145" t="n"/>
      <c r="N68" s="145" t="n">
        <v>510</v>
      </c>
      <c r="O68" s="145" t="n"/>
      <c r="P68" s="145" t="n">
        <v>1550</v>
      </c>
      <c r="Q68" s="145" t="n">
        <v>2110</v>
      </c>
      <c r="R68" s="145" t="n"/>
      <c r="S68" s="145" t="n"/>
      <c r="T68" s="145" t="n"/>
      <c r="U68" s="76" t="n"/>
      <c r="V68" s="145" t="n">
        <v>1540</v>
      </c>
      <c r="W68" s="145" t="n"/>
      <c r="X68" s="145" t="n"/>
      <c r="Y68" s="145" t="n"/>
      <c r="Z68" s="145" t="n"/>
      <c r="AA68" s="145" t="n"/>
      <c r="AB68" s="145" t="n"/>
      <c r="AC68" s="145" t="n"/>
      <c r="AD68" s="145" t="n"/>
      <c r="AE68" s="145" t="n"/>
      <c r="AF68" s="145" t="n"/>
    </row>
    <row r="69">
      <c r="A69">
        <f>A51</f>
        <v/>
      </c>
      <c r="D69" s="86" t="n"/>
      <c r="E69" s="86" t="n"/>
      <c r="F69" s="86" t="n"/>
      <c r="G69" s="86" t="n"/>
      <c r="H69" s="76" t="n"/>
      <c r="I69" s="145" t="n"/>
      <c r="J69" s="145" t="n"/>
      <c r="K69" s="145" t="n"/>
      <c r="M69" s="145" t="n"/>
      <c r="N69" s="145" t="n"/>
      <c r="O69" s="145" t="n"/>
      <c r="P69" s="145" t="n"/>
      <c r="Q69" s="145" t="n"/>
      <c r="R69" s="145" t="n"/>
      <c r="S69" s="145" t="n"/>
      <c r="T69" s="145" t="n"/>
      <c r="U69" s="76" t="n"/>
      <c r="V69" s="145" t="n"/>
      <c r="W69" s="145" t="n"/>
      <c r="X69" s="145" t="n"/>
      <c r="Y69" s="145" t="n"/>
      <c r="Z69" s="145" t="n"/>
      <c r="AA69" s="145" t="n"/>
      <c r="AB69" s="145" t="n"/>
      <c r="AC69" s="145" t="n"/>
      <c r="AD69" s="145" t="n"/>
      <c r="AE69" s="145" t="n"/>
      <c r="AF69" s="145" t="n"/>
    </row>
    <row r="70" customFormat="1" s="21">
      <c r="A70" s="40">
        <f>A52</f>
        <v/>
      </c>
      <c r="B70" s="40" t="n"/>
      <c r="C70" s="40" t="n"/>
      <c r="D70" s="121" t="n"/>
      <c r="E70" s="121" t="n"/>
      <c r="F70" s="121">
        <f>+F66+F59+F55</f>
        <v/>
      </c>
      <c r="G70" s="121">
        <f>+G66+G59+G55</f>
        <v/>
      </c>
      <c r="H70" s="121">
        <f>SUM(H55,H59,H66)</f>
        <v/>
      </c>
      <c r="I70" s="121">
        <f>SUM(I55,I59,I66)</f>
        <v/>
      </c>
      <c r="J70" s="121" t="n"/>
      <c r="K70" s="133" t="n">
        <v>11258</v>
      </c>
      <c r="M70" s="133" t="n">
        <v>40377</v>
      </c>
      <c r="N70" s="133" t="n">
        <v>5180</v>
      </c>
      <c r="O70" s="133" t="n">
        <v>24125</v>
      </c>
      <c r="P70" s="133" t="n">
        <v>43640</v>
      </c>
      <c r="Q70" s="133" t="n">
        <v>58120</v>
      </c>
      <c r="R70" s="133" t="n">
        <v>12160</v>
      </c>
      <c r="S70" s="133">
        <f>+S66+S55+S59</f>
        <v/>
      </c>
      <c r="T70" s="133" t="n">
        <v>34880</v>
      </c>
      <c r="U70" s="133" t="n">
        <v>58800</v>
      </c>
      <c r="V70" s="121" t="n">
        <v>16600</v>
      </c>
      <c r="W70" s="121" t="n"/>
      <c r="X70" s="121" t="n"/>
      <c r="Y70" s="121" t="n"/>
      <c r="Z70" s="121" t="n"/>
      <c r="AA70" s="121" t="n"/>
      <c r="AB70" s="121">
        <f>-AB99</f>
        <v/>
      </c>
      <c r="AC70" s="121">
        <f>-AC99</f>
        <v/>
      </c>
      <c r="AD70" s="121">
        <f>-AD99</f>
        <v/>
      </c>
      <c r="AE70" s="121">
        <f>-AE99</f>
        <v/>
      </c>
      <c r="AF70" s="121">
        <f>-AF99</f>
        <v/>
      </c>
    </row>
    <row r="71">
      <c r="A71" s="105" t="n"/>
      <c r="B71" s="105" t="n"/>
      <c r="C71" s="105" t="n"/>
      <c r="D71" s="86" t="n"/>
      <c r="E71" s="86" t="n"/>
      <c r="F71" s="86" t="n"/>
      <c r="G71" s="86" t="n"/>
      <c r="H71" s="86" t="n"/>
      <c r="I71" s="86" t="n"/>
      <c r="J71" s="86" t="n"/>
      <c r="K71" s="133" t="n"/>
      <c r="M71" s="355" t="n"/>
      <c r="N71" s="86" t="n"/>
      <c r="O71" s="86" t="n"/>
      <c r="P71" s="86" t="n"/>
      <c r="Q71" s="86" t="n"/>
      <c r="R71" s="86" t="n"/>
      <c r="S71" s="883" t="n"/>
      <c r="T71" s="86" t="n"/>
      <c r="U71" s="86" t="n"/>
      <c r="V71" s="86" t="n"/>
      <c r="W71" s="86" t="n"/>
      <c r="X71" s="86" t="n"/>
      <c r="Y71" s="86" t="n"/>
      <c r="Z71" s="86" t="n"/>
      <c r="AA71" s="86" t="n"/>
      <c r="AB71" s="86" t="n"/>
      <c r="AC71" s="86" t="n"/>
      <c r="AD71" s="86" t="n"/>
      <c r="AE71" s="86" t="n"/>
      <c r="AF71" s="86" t="n"/>
    </row>
    <row r="72">
      <c r="A72" s="22" t="inlineStr">
        <is>
          <t>Segment order backlog</t>
        </is>
      </c>
      <c r="B72" s="22" t="n"/>
      <c r="C72" s="22" t="n"/>
      <c r="D72" s="76" t="n"/>
      <c r="E72" s="76" t="n"/>
      <c r="F72" s="76" t="n"/>
      <c r="G72" s="76" t="n"/>
      <c r="H72" s="76" t="n"/>
      <c r="I72" s="76" t="n"/>
      <c r="J72" s="76" t="n"/>
      <c r="K72" s="76" t="n"/>
      <c r="M72" s="76" t="n"/>
      <c r="N72" s="76" t="n"/>
      <c r="O72" s="76" t="n"/>
      <c r="Q72" s="76" t="n"/>
      <c r="R72" s="76" t="n"/>
      <c r="S72" s="76" t="n"/>
      <c r="T72" s="86" t="n"/>
      <c r="U72" s="86" t="n"/>
      <c r="V72" s="76" t="n"/>
      <c r="W72" s="76" t="n"/>
      <c r="X72" s="76" t="n"/>
      <c r="Y72" s="76" t="n"/>
      <c r="Z72" s="76" t="n"/>
      <c r="AA72" s="76" t="n"/>
      <c r="AB72" s="76" t="n"/>
      <c r="AC72" s="76" t="n"/>
      <c r="AD72" s="76" t="n"/>
      <c r="AE72" s="76" t="n"/>
      <c r="AF72" s="76" t="n"/>
    </row>
    <row r="73" customFormat="1" s="21">
      <c r="A73" s="22">
        <f>A55</f>
        <v/>
      </c>
      <c r="B73" s="22" t="n"/>
      <c r="C73" s="22" t="n"/>
      <c r="D73" s="121" t="n"/>
      <c r="E73" s="121" t="n"/>
      <c r="F73" s="121" t="n"/>
      <c r="G73" s="133" t="n">
        <v>24481</v>
      </c>
      <c r="H73" s="133" t="n">
        <v>24609</v>
      </c>
      <c r="I73" s="133" t="n">
        <v>28602</v>
      </c>
      <c r="J73" s="133" t="n"/>
      <c r="K73" s="133" t="n"/>
      <c r="L73" s="22" t="n"/>
      <c r="M73" s="133" t="n">
        <v>22346</v>
      </c>
      <c r="N73" s="133" t="n"/>
      <c r="O73" s="133" t="n">
        <v>21298</v>
      </c>
      <c r="P73" s="133">
        <f>SUM(P74:P76)</f>
        <v/>
      </c>
      <c r="Q73" s="133">
        <f>SUM(Q74:Q76)</f>
        <v/>
      </c>
      <c r="R73" s="133" t="n"/>
      <c r="S73" s="133" t="n">
        <v>23256</v>
      </c>
      <c r="T73" s="133">
        <f>SUM(T74:T76)</f>
        <v/>
      </c>
      <c r="U73" s="133" t="n">
        <v>24400</v>
      </c>
      <c r="V73" s="133" t="n"/>
      <c r="W73" s="133" t="n"/>
      <c r="X73" s="133" t="n"/>
      <c r="Y73" s="133" t="n"/>
      <c r="Z73" s="133" t="n"/>
      <c r="AA73" s="133" t="n"/>
      <c r="AB73" s="133" t="n"/>
      <c r="AC73" s="133" t="n"/>
      <c r="AD73" s="133" t="n"/>
      <c r="AE73" s="133" t="n"/>
      <c r="AF73" s="133" t="n"/>
    </row>
    <row r="74">
      <c r="A74" s="74" t="inlineStr">
        <is>
          <t>Nuclear island</t>
        </is>
      </c>
      <c r="B74" s="74" t="n"/>
      <c r="C74" s="74" t="n"/>
      <c r="D74" s="86" t="n"/>
      <c r="E74" s="86" t="n"/>
      <c r="F74" s="86">
        <f>17012*0.5</f>
        <v/>
      </c>
      <c r="G74" s="145" t="n">
        <v>17933</v>
      </c>
      <c r="H74" s="145" t="n">
        <v>19223</v>
      </c>
      <c r="I74" s="145" t="n">
        <v>19491</v>
      </c>
      <c r="J74" s="145" t="n"/>
      <c r="K74" s="145" t="n"/>
      <c r="M74" s="145" t="n">
        <v>16251</v>
      </c>
      <c r="N74" s="145" t="n"/>
      <c r="O74" s="145" t="n"/>
      <c r="P74" s="145" t="n">
        <v>15500</v>
      </c>
      <c r="Q74" s="145" t="n">
        <v>14840</v>
      </c>
      <c r="R74" s="145" t="n"/>
      <c r="S74" s="145" t="n">
        <v>15500</v>
      </c>
      <c r="T74" s="145" t="n">
        <v>15600</v>
      </c>
      <c r="U74" s="145" t="n">
        <v>16000</v>
      </c>
      <c r="V74" s="145" t="n">
        <v>14630</v>
      </c>
      <c r="W74" s="145" t="n"/>
      <c r="X74" s="145" t="n"/>
      <c r="Y74" s="145" t="n"/>
      <c r="Z74" s="145" t="n"/>
      <c r="AA74" s="145" t="n"/>
      <c r="AB74" s="145" t="n"/>
      <c r="AC74" s="145" t="n"/>
      <c r="AD74" s="145" t="n"/>
      <c r="AE74" s="145" t="n"/>
      <c r="AF74" s="145" t="n"/>
    </row>
    <row r="75">
      <c r="A75" s="74" t="inlineStr">
        <is>
          <t>Wind</t>
        </is>
      </c>
      <c r="B75" s="74" t="n"/>
      <c r="C75" s="74" t="n"/>
      <c r="D75" s="86" t="n"/>
      <c r="E75" s="86" t="n"/>
      <c r="F75" s="86">
        <f>160589*0.007</f>
        <v/>
      </c>
      <c r="G75" s="145" t="n">
        <v>4998</v>
      </c>
      <c r="H75" s="145" t="n">
        <v>4026</v>
      </c>
      <c r="I75" s="145" t="n">
        <v>6257</v>
      </c>
      <c r="J75" s="145" t="n"/>
      <c r="K75" s="145" t="n"/>
      <c r="M75" s="145" t="n">
        <v>4306</v>
      </c>
      <c r="N75" s="145" t="n"/>
      <c r="O75" s="145" t="n"/>
      <c r="P75" s="145" t="n">
        <v>4400</v>
      </c>
      <c r="Q75" s="145" t="n">
        <v>3420</v>
      </c>
      <c r="R75" s="145" t="n"/>
      <c r="S75" s="145" t="n">
        <v>6000</v>
      </c>
      <c r="T75" s="145" t="n">
        <v>6700</v>
      </c>
      <c r="U75" s="145" t="n">
        <v>6800</v>
      </c>
      <c r="V75" s="145" t="n">
        <v>94500</v>
      </c>
      <c r="W75" s="145" t="n"/>
      <c r="X75" s="145" t="n"/>
      <c r="Y75" s="145" t="n"/>
      <c r="Z75" s="145" t="n"/>
      <c r="AA75" s="145" t="n"/>
      <c r="AB75" s="145" t="n"/>
      <c r="AC75" s="145" t="n"/>
      <c r="AD75" s="145" t="n"/>
      <c r="AE75" s="145" t="n"/>
      <c r="AF75" s="145" t="n"/>
    </row>
    <row r="76">
      <c r="A76" s="74" t="inlineStr">
        <is>
          <t>Forging</t>
        </is>
      </c>
      <c r="B76" s="74" t="n"/>
      <c r="C76" s="74" t="n"/>
      <c r="D76" s="86" t="n"/>
      <c r="E76" s="86" t="n"/>
      <c r="F76" s="86" t="n"/>
      <c r="G76" s="86">
        <f>G73-G74-G75</f>
        <v/>
      </c>
      <c r="H76" s="86">
        <f>H73-H74-H75</f>
        <v/>
      </c>
      <c r="I76" s="86">
        <f>I73-I74-I75</f>
        <v/>
      </c>
      <c r="J76" s="145" t="n"/>
      <c r="K76" s="145" t="n"/>
      <c r="M76" s="145" t="n">
        <v>1789</v>
      </c>
      <c r="N76" s="145" t="n"/>
      <c r="O76" s="145" t="n"/>
      <c r="P76" s="145">
        <f>T76/1.06</f>
        <v/>
      </c>
      <c r="Q76" s="145" t="n">
        <v>1600</v>
      </c>
      <c r="R76" s="145" t="n"/>
      <c r="S76" s="145" t="n">
        <v>1700</v>
      </c>
      <c r="T76" s="145" t="n">
        <v>1700</v>
      </c>
      <c r="U76" s="145" t="n">
        <v>1600</v>
      </c>
      <c r="V76" s="145" t="n">
        <v>1700</v>
      </c>
      <c r="W76" s="145" t="n"/>
      <c r="X76" s="145" t="n"/>
      <c r="Y76" s="145" t="n"/>
      <c r="Z76" s="145" t="n"/>
      <c r="AA76" s="145" t="n"/>
      <c r="AB76" s="145" t="n"/>
      <c r="AC76" s="145" t="n"/>
      <c r="AD76" s="145" t="n"/>
      <c r="AE76" s="145" t="n"/>
      <c r="AF76" s="145" t="n"/>
    </row>
    <row r="77" customFormat="1" s="21">
      <c r="A77" s="22">
        <f>A59</f>
        <v/>
      </c>
      <c r="B77" s="22" t="n"/>
      <c r="C77" s="22" t="n"/>
      <c r="D77" s="121" t="n"/>
      <c r="E77" s="121" t="n"/>
      <c r="F77" s="121" t="n"/>
      <c r="G77" s="133" t="n">
        <v>125749</v>
      </c>
      <c r="H77" s="133" t="n">
        <v>129093</v>
      </c>
      <c r="I77" s="133" t="n">
        <v>122894</v>
      </c>
      <c r="J77" s="133" t="n"/>
      <c r="K77" s="133" t="n"/>
      <c r="L77" s="22" t="n"/>
      <c r="M77" s="133" t="n">
        <v>116607</v>
      </c>
      <c r="N77" s="133" t="n"/>
      <c r="O77" s="133" t="n">
        <v>107691</v>
      </c>
      <c r="P77" s="133" t="n"/>
      <c r="Q77" s="133">
        <f>SUM(Q78:Q81)</f>
        <v/>
      </c>
      <c r="R77" s="133" t="n"/>
      <c r="S77" s="133" t="n">
        <v>115623</v>
      </c>
      <c r="T77" s="133">
        <f>SUM(T78:T81)</f>
        <v/>
      </c>
      <c r="U77" s="133" t="n">
        <v>117800</v>
      </c>
      <c r="V77" s="133" t="n"/>
      <c r="W77" s="133" t="n"/>
      <c r="X77" s="133" t="n"/>
      <c r="Y77" s="133" t="n"/>
      <c r="Z77" s="133" t="n"/>
      <c r="AA77" s="133" t="n"/>
      <c r="AB77" s="133" t="n"/>
      <c r="AC77" s="133" t="n"/>
      <c r="AD77" s="133" t="n"/>
      <c r="AE77" s="133" t="n"/>
      <c r="AF77" s="133" t="n"/>
    </row>
    <row r="78">
      <c r="A78" s="74" t="inlineStr">
        <is>
          <t>Coal</t>
        </is>
      </c>
      <c r="B78" s="74" t="n"/>
      <c r="C78" s="74" t="n"/>
      <c r="D78" s="86" t="n"/>
      <c r="E78" s="86" t="n"/>
      <c r="F78" s="86">
        <f>160589*0.609</f>
        <v/>
      </c>
      <c r="G78" s="86">
        <f>191118*0.51</f>
        <v/>
      </c>
      <c r="H78" s="145" t="n">
        <v>95933</v>
      </c>
      <c r="I78" s="145" t="n">
        <v>91600</v>
      </c>
      <c r="J78" s="145" t="n"/>
      <c r="K78" s="145" t="n"/>
      <c r="M78" s="145" t="n">
        <v>84718</v>
      </c>
      <c r="N78" s="145" t="n"/>
      <c r="O78" s="145" t="n"/>
      <c r="P78" s="145">
        <f>T78</f>
        <v/>
      </c>
      <c r="Q78" s="145" t="n">
        <v>85360</v>
      </c>
      <c r="R78" s="145" t="n"/>
      <c r="S78" s="145" t="n">
        <v>87000</v>
      </c>
      <c r="T78" s="145" t="n">
        <v>87700</v>
      </c>
      <c r="U78" s="145" t="n">
        <v>89800</v>
      </c>
      <c r="V78" s="145" t="n">
        <v>88780</v>
      </c>
      <c r="W78" s="145" t="n"/>
      <c r="X78" s="145" t="n"/>
      <c r="Y78" s="145" t="n"/>
      <c r="Z78" s="145" t="n"/>
      <c r="AA78" s="145" t="n"/>
      <c r="AB78" s="145" t="n"/>
      <c r="AC78" s="145" t="n"/>
      <c r="AD78" s="145" t="n"/>
      <c r="AE78" s="145" t="n"/>
      <c r="AF78" s="145" t="n"/>
    </row>
    <row r="79">
      <c r="A79" s="74" t="inlineStr">
        <is>
          <t>Gas</t>
        </is>
      </c>
      <c r="B79" s="74" t="n"/>
      <c r="C79" s="74" t="n"/>
      <c r="D79" s="86" t="n"/>
      <c r="E79" s="86" t="n"/>
      <c r="F79" s="86" t="n"/>
      <c r="G79" s="86" t="n"/>
      <c r="H79" s="145" t="n">
        <v>6233</v>
      </c>
      <c r="I79" s="145" t="n">
        <v>8376</v>
      </c>
      <c r="J79" s="145" t="n"/>
      <c r="K79" s="145" t="n"/>
      <c r="M79" s="145" t="n">
        <v>10217</v>
      </c>
      <c r="N79" s="145" t="n"/>
      <c r="O79" s="145" t="n"/>
      <c r="P79" s="145">
        <f>T79/0.51</f>
        <v/>
      </c>
      <c r="Q79" s="145" t="n">
        <v>7470</v>
      </c>
      <c r="R79" s="145" t="n"/>
      <c r="S79" s="145" t="n">
        <v>7300</v>
      </c>
      <c r="T79" s="145" t="n">
        <v>7700</v>
      </c>
      <c r="U79" s="145" t="n">
        <v>7800</v>
      </c>
      <c r="V79" s="145" t="n">
        <v>8000</v>
      </c>
      <c r="W79" s="145" t="n"/>
      <c r="X79" s="145" t="n"/>
      <c r="Y79" s="145" t="n"/>
      <c r="Z79" s="145" t="n"/>
      <c r="AA79" s="145" t="n"/>
      <c r="AB79" s="145" t="n"/>
      <c r="AC79" s="145" t="n"/>
      <c r="AD79" s="145" t="n"/>
      <c r="AE79" s="145" t="n"/>
      <c r="AF79" s="145" t="n"/>
    </row>
    <row r="80">
      <c r="A80" s="74" t="inlineStr">
        <is>
          <t>Conventional island</t>
        </is>
      </c>
      <c r="B80" s="74" t="n"/>
      <c r="C80" s="74" t="n"/>
      <c r="D80" s="86" t="n"/>
      <c r="E80" s="86" t="n"/>
      <c r="F80" s="86">
        <f>160589*0.039</f>
        <v/>
      </c>
      <c r="G80" s="86">
        <f>191118*0.09</f>
        <v/>
      </c>
      <c r="H80" s="145" t="n"/>
      <c r="I80" s="145" t="n"/>
      <c r="J80" s="145" t="n"/>
      <c r="K80" s="145" t="n"/>
      <c r="M80" s="145" t="n">
        <v>14479</v>
      </c>
      <c r="N80" s="145" t="n"/>
      <c r="O80" s="145" t="n"/>
      <c r="P80" s="145">
        <f>T80/0.98</f>
        <v/>
      </c>
      <c r="Q80" s="145" t="n">
        <v>13560</v>
      </c>
      <c r="R80" s="145" t="n"/>
      <c r="S80" s="145" t="n">
        <v>12700</v>
      </c>
      <c r="T80" s="145" t="n">
        <v>12600</v>
      </c>
      <c r="U80" s="145" t="n">
        <v>12300</v>
      </c>
      <c r="V80" s="145" t="n"/>
      <c r="W80" s="145" t="n"/>
      <c r="X80" s="145" t="n"/>
      <c r="Y80" s="145" t="n"/>
      <c r="Z80" s="145" t="n"/>
      <c r="AA80" s="145" t="n"/>
      <c r="AB80" s="145" t="n"/>
      <c r="AC80" s="145" t="n"/>
      <c r="AD80" s="145" t="n"/>
      <c r="AE80" s="145" t="n"/>
      <c r="AF80" s="145" t="n"/>
    </row>
    <row r="81">
      <c r="A81" s="74" t="inlineStr">
        <is>
          <t>Other</t>
        </is>
      </c>
      <c r="B81" s="74" t="n"/>
      <c r="C81" s="74" t="n"/>
      <c r="D81" s="86" t="n"/>
      <c r="E81" s="86" t="n"/>
      <c r="F81" s="86" t="n"/>
      <c r="G81" s="86" t="n"/>
      <c r="H81" s="145" t="n"/>
      <c r="I81" s="145" t="n"/>
      <c r="J81" s="145" t="n"/>
      <c r="K81" s="145" t="n"/>
      <c r="M81" s="145" t="n">
        <v>7193</v>
      </c>
      <c r="N81" s="145" t="n"/>
      <c r="O81" s="145" t="n"/>
      <c r="P81" s="145" t="n"/>
      <c r="Q81" s="145" t="n">
        <v>8210</v>
      </c>
      <c r="R81" s="145" t="n"/>
      <c r="S81" s="145" t="n">
        <v>8600</v>
      </c>
      <c r="T81" s="145" t="n">
        <v>8400</v>
      </c>
      <c r="U81" s="145" t="n">
        <v>7900</v>
      </c>
      <c r="V81" s="145" t="n">
        <v>7500</v>
      </c>
      <c r="W81" s="145" t="n"/>
      <c r="X81" s="145" t="n"/>
      <c r="Y81" s="145" t="n"/>
      <c r="Z81" s="145" t="n"/>
      <c r="AA81" s="145" t="n"/>
      <c r="AB81" s="145" t="n"/>
      <c r="AC81" s="145" t="n"/>
      <c r="AD81" s="145" t="n"/>
      <c r="AE81" s="145" t="n"/>
      <c r="AF81" s="145" t="n"/>
    </row>
    <row r="82">
      <c r="A82" s="22">
        <f>A65</f>
        <v/>
      </c>
      <c r="B82" s="22" t="n"/>
      <c r="C82" s="22" t="n"/>
      <c r="D82" s="86" t="n"/>
      <c r="E82" s="86" t="n"/>
      <c r="F82" s="86" t="n"/>
      <c r="G82" s="145" t="n"/>
      <c r="H82" s="145" t="n"/>
      <c r="I82" s="145" t="n"/>
      <c r="J82" s="145" t="n"/>
      <c r="K82" s="145" t="n"/>
      <c r="M82" s="145" t="n"/>
      <c r="N82" s="145" t="n"/>
      <c r="O82" s="145" t="n"/>
      <c r="P82" s="145" t="n"/>
      <c r="Q82" s="145" t="n"/>
      <c r="R82" s="145" t="n"/>
      <c r="S82" s="145" t="n"/>
      <c r="T82" s="145" t="n"/>
      <c r="U82" s="145" t="n"/>
      <c r="V82" s="145" t="n"/>
      <c r="W82" s="145" t="n"/>
      <c r="X82" s="145" t="n"/>
      <c r="Y82" s="145" t="n"/>
      <c r="Z82" s="145" t="n"/>
      <c r="AA82" s="145" t="n"/>
      <c r="AB82" s="145" t="n"/>
      <c r="AC82" s="145" t="n"/>
      <c r="AD82" s="145" t="n"/>
      <c r="AE82" s="145" t="n"/>
      <c r="AF82" s="145" t="n"/>
    </row>
    <row r="83" customFormat="1" s="21">
      <c r="A83" s="22">
        <f>A66</f>
        <v/>
      </c>
      <c r="B83" s="22" t="n"/>
      <c r="C83" s="22" t="n"/>
      <c r="D83" s="121" t="n"/>
      <c r="E83" s="121" t="n"/>
      <c r="F83" s="343">
        <f>160589*0.289</f>
        <v/>
      </c>
      <c r="G83" s="133" t="n">
        <v>62639</v>
      </c>
      <c r="H83" s="133" t="n">
        <v>87964</v>
      </c>
      <c r="I83" s="133" t="n">
        <v>110826</v>
      </c>
      <c r="J83" s="133" t="n"/>
      <c r="K83" s="133" t="n"/>
      <c r="L83" s="22" t="n"/>
      <c r="M83" s="133" t="n">
        <v>104742</v>
      </c>
      <c r="N83" s="133" t="n"/>
      <c r="O83" s="133" t="n">
        <v>99696</v>
      </c>
      <c r="P83" s="133">
        <f>SUM(P84:P86)</f>
        <v/>
      </c>
      <c r="Q83" s="133">
        <f>SUM(Q84:Q86)</f>
        <v/>
      </c>
      <c r="R83" s="133" t="n"/>
      <c r="S83" s="133" t="n">
        <v>99253</v>
      </c>
      <c r="T83" s="133" t="n">
        <v>99030</v>
      </c>
      <c r="U83" s="133" t="n">
        <v>108600</v>
      </c>
      <c r="V83" s="133" t="n"/>
      <c r="W83" s="133" t="n"/>
      <c r="X83" s="133" t="n"/>
      <c r="Y83" s="133" t="n"/>
      <c r="Z83" s="133" t="n"/>
      <c r="AA83" s="133" t="n"/>
      <c r="AB83" s="133" t="n"/>
      <c r="AC83" s="133" t="n"/>
      <c r="AD83" s="133" t="n"/>
      <c r="AE83" s="133" t="n"/>
      <c r="AF83" s="133" t="n"/>
    </row>
    <row r="84">
      <c r="A84" s="74" t="inlineStr">
        <is>
          <t>Engineering - overseas</t>
        </is>
      </c>
      <c r="B84" s="74" t="n"/>
      <c r="C84" s="74" t="n"/>
      <c r="D84" s="86" t="n"/>
      <c r="E84" s="86" t="n"/>
      <c r="F84" s="86" t="n"/>
      <c r="G84" s="86" t="n"/>
      <c r="H84" s="145" t="n"/>
      <c r="I84" s="145" t="n"/>
      <c r="J84" s="145" t="n"/>
      <c r="K84" s="145" t="n"/>
      <c r="M84" s="145" t="n">
        <v>91206</v>
      </c>
      <c r="N84" s="145" t="n"/>
      <c r="O84" s="145" t="n"/>
      <c r="P84" s="145">
        <f>T84/1.29</f>
        <v/>
      </c>
      <c r="Q84" s="838" t="n">
        <v>100420</v>
      </c>
      <c r="R84" s="145" t="n"/>
      <c r="S84" s="145" t="n">
        <v>94400</v>
      </c>
      <c r="T84" s="145" t="n">
        <v>88800</v>
      </c>
      <c r="U84" s="838" t="n">
        <v>105900</v>
      </c>
      <c r="V84" s="145" t="n">
        <v>114050</v>
      </c>
      <c r="W84" s="145" t="n"/>
      <c r="X84" s="145" t="n"/>
      <c r="Y84" s="145" t="n"/>
      <c r="Z84" s="145" t="n"/>
      <c r="AA84" s="145" t="n"/>
      <c r="AB84" s="145" t="n"/>
      <c r="AC84" s="145" t="n"/>
      <c r="AD84" s="145" t="n"/>
      <c r="AE84" s="145" t="n"/>
      <c r="AF84" s="145" t="n"/>
    </row>
    <row r="85">
      <c r="A85" s="74" t="inlineStr">
        <is>
          <t>Engineering - domestic</t>
        </is>
      </c>
      <c r="B85" s="74" t="n"/>
      <c r="C85" s="74" t="n"/>
      <c r="D85" s="86" t="n"/>
      <c r="E85" s="86" t="n"/>
      <c r="F85" s="86" t="n"/>
      <c r="G85" s="86" t="n"/>
      <c r="H85" s="145" t="n"/>
      <c r="I85" s="145" t="n"/>
      <c r="J85" s="145" t="n"/>
      <c r="K85" s="145" t="n"/>
      <c r="M85" s="145" t="n">
        <v>10855</v>
      </c>
      <c r="N85" s="145" t="n"/>
      <c r="O85" s="145" t="n"/>
      <c r="P85" s="145">
        <f>T85/0.72</f>
        <v/>
      </c>
      <c r="R85" s="145" t="n"/>
      <c r="S85" s="145" t="n">
        <v>2100</v>
      </c>
      <c r="T85" s="145" t="n">
        <v>7600</v>
      </c>
      <c r="V85" s="145" t="n"/>
      <c r="W85" s="145" t="n"/>
      <c r="X85" s="145" t="n"/>
      <c r="Y85" s="145" t="n"/>
      <c r="Z85" s="145" t="n"/>
      <c r="AA85" s="145" t="n"/>
      <c r="AB85" s="145" t="n"/>
      <c r="AC85" s="145" t="n"/>
      <c r="AD85" s="145" t="n"/>
      <c r="AE85" s="145" t="n"/>
      <c r="AF85" s="145" t="n"/>
    </row>
    <row r="86">
      <c r="A86" s="74" t="inlineStr">
        <is>
          <t>Service</t>
        </is>
      </c>
      <c r="B86" s="74" t="n"/>
      <c r="C86" s="74" t="n"/>
      <c r="D86" s="86" t="n"/>
      <c r="E86" s="86" t="n"/>
      <c r="F86" s="86" t="n"/>
      <c r="G86" s="86" t="n"/>
      <c r="H86" s="145" t="n"/>
      <c r="I86" s="145" t="n"/>
      <c r="J86" s="145" t="n"/>
      <c r="K86" s="145" t="n"/>
      <c r="M86" s="145" t="n">
        <v>2681</v>
      </c>
      <c r="N86" s="145" t="n"/>
      <c r="O86" s="145" t="n"/>
      <c r="P86" s="145">
        <f>T86/0.93</f>
        <v/>
      </c>
      <c r="Q86" s="145" t="n">
        <v>2200</v>
      </c>
      <c r="R86" s="145" t="n"/>
      <c r="S86" s="145" t="n">
        <v>2700</v>
      </c>
      <c r="T86" s="145" t="n">
        <v>2600</v>
      </c>
      <c r="U86" s="145" t="n">
        <v>2700</v>
      </c>
      <c r="V86" s="145" t="n">
        <v>3870</v>
      </c>
      <c r="W86" s="145" t="n"/>
      <c r="X86" s="145" t="n"/>
      <c r="Y86" s="145" t="n"/>
      <c r="Z86" s="145" t="n"/>
      <c r="AA86" s="145" t="n"/>
      <c r="AB86" s="145" t="n"/>
      <c r="AC86" s="145" t="n"/>
      <c r="AD86" s="145" t="n"/>
      <c r="AE86" s="145" t="n"/>
      <c r="AF86" s="145" t="n"/>
    </row>
    <row r="87">
      <c r="A87">
        <f>A69</f>
        <v/>
      </c>
      <c r="D87" s="86" t="n"/>
      <c r="E87" s="86" t="n"/>
      <c r="F87" s="86" t="n"/>
      <c r="G87" s="145" t="n"/>
      <c r="H87" s="145" t="n"/>
      <c r="I87" s="145" t="n"/>
      <c r="J87" s="88" t="n"/>
      <c r="K87" s="88" t="n"/>
      <c r="M87" s="88" t="n"/>
      <c r="N87" s="88" t="n"/>
      <c r="O87" s="88" t="n"/>
      <c r="P87" s="88" t="n"/>
      <c r="Q87" s="88" t="n"/>
      <c r="R87" s="88" t="n"/>
      <c r="S87" s="88" t="n"/>
      <c r="T87" s="88" t="n"/>
      <c r="U87" s="88" t="n"/>
      <c r="V87" s="88" t="n"/>
      <c r="W87" s="88" t="n"/>
      <c r="X87" s="88" t="n"/>
      <c r="Y87" s="88" t="n"/>
      <c r="Z87" s="88" t="n"/>
      <c r="AA87" s="88" t="n"/>
      <c r="AB87" s="88">
        <f>AB88-SUM(AB73:AB83)</f>
        <v/>
      </c>
      <c r="AC87" s="88">
        <f>AC88-SUM(AC73:AC83)</f>
        <v/>
      </c>
      <c r="AD87" s="88">
        <f>AD88-SUM(AD73:AD83)</f>
        <v/>
      </c>
      <c r="AE87" s="88">
        <f>AE88-SUM(AE73:AE83)</f>
        <v/>
      </c>
      <c r="AF87" s="88">
        <f>AF88-SUM(AF73:AF83)</f>
        <v/>
      </c>
    </row>
    <row r="88" customFormat="1" s="21">
      <c r="A88" s="40" t="inlineStr">
        <is>
          <t>Total</t>
        </is>
      </c>
      <c r="B88" s="40" t="n"/>
      <c r="C88" s="40" t="n"/>
      <c r="D88" s="121" t="n"/>
      <c r="E88" s="121" t="n"/>
      <c r="F88" s="121" t="n"/>
      <c r="G88" s="121">
        <f>SUM(G73:G83)</f>
        <v/>
      </c>
      <c r="H88" s="121">
        <f>SUM(H73:H83)</f>
        <v/>
      </c>
      <c r="I88" s="121">
        <f>SUM(I73:I83)</f>
        <v/>
      </c>
      <c r="J88" s="121" t="n"/>
      <c r="K88" s="121" t="n"/>
      <c r="M88" s="133" t="n">
        <v>243695</v>
      </c>
      <c r="N88" s="133" t="n">
        <v>238150</v>
      </c>
      <c r="O88" s="121">
        <f>SUM(O73:O83)</f>
        <v/>
      </c>
      <c r="P88" s="133" t="n">
        <v>244100</v>
      </c>
      <c r="Q88" s="133" t="n">
        <v>237080</v>
      </c>
      <c r="R88" s="133" t="n">
        <v>240051</v>
      </c>
      <c r="S88" s="121">
        <f>SUM(S73,S77,S83)</f>
        <v/>
      </c>
      <c r="T88" s="133" t="n">
        <v>239710</v>
      </c>
      <c r="U88" s="133" t="n">
        <v>250800</v>
      </c>
      <c r="V88" s="121" t="n"/>
      <c r="W88" s="121" t="n"/>
      <c r="X88" s="121" t="n"/>
      <c r="Y88" s="121" t="n"/>
      <c r="Z88" s="121" t="n"/>
      <c r="AA88" s="121" t="n"/>
      <c r="AB88" s="121">
        <f>-AB107</f>
        <v/>
      </c>
      <c r="AC88" s="121">
        <f>-AC107</f>
        <v/>
      </c>
      <c r="AD88" s="121">
        <f>-AD107</f>
        <v/>
      </c>
      <c r="AE88" s="121">
        <f>-AE107</f>
        <v/>
      </c>
      <c r="AF88" s="121">
        <f>-AF107</f>
        <v/>
      </c>
    </row>
    <row r="89">
      <c r="D89" s="119" t="n"/>
      <c r="E89" s="119" t="n"/>
      <c r="F89" s="119" t="n"/>
      <c r="G89" s="145" t="n"/>
      <c r="H89" s="145" t="n"/>
      <c r="I89" s="119" t="n"/>
      <c r="J89" s="119" t="n"/>
      <c r="K89" s="119" t="n"/>
      <c r="M89" s="133" t="n"/>
      <c r="N89" s="119" t="n"/>
      <c r="O89" s="119" t="n"/>
      <c r="P89" s="119" t="n"/>
      <c r="Q89" s="119" t="n"/>
      <c r="R89" s="961">
        <f>+R88/Q88-1</f>
        <v/>
      </c>
      <c r="S89" s="119" t="n"/>
      <c r="T89" s="119" t="n"/>
      <c r="U89" s="76" t="n"/>
      <c r="V89" s="119" t="n"/>
      <c r="W89" s="119" t="n"/>
      <c r="X89" s="119" t="n"/>
      <c r="Y89" s="119" t="n"/>
      <c r="Z89" s="119" t="n"/>
      <c r="AA89" s="119" t="n"/>
      <c r="AB89" s="119" t="n"/>
      <c r="AC89" s="119" t="n"/>
      <c r="AD89" s="119" t="n"/>
      <c r="AE89" s="119" t="n"/>
      <c r="AF89" s="119" t="n"/>
    </row>
    <row r="90">
      <c r="A90" s="427" t="inlineStr">
        <is>
          <t>Book to bill ratio</t>
        </is>
      </c>
      <c r="B90" s="427" t="n"/>
      <c r="C90" s="427" t="n"/>
      <c r="D90" s="76" t="n"/>
      <c r="E90" s="76" t="n"/>
      <c r="F90" s="76" t="n"/>
      <c r="G90" s="76" t="n"/>
      <c r="H90" s="76" t="n"/>
      <c r="I90" s="76" t="n"/>
      <c r="J90" s="76" t="n"/>
      <c r="K90" s="76"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row>
    <row r="91">
      <c r="A91" t="inlineStr">
        <is>
          <t>New Energy</t>
        </is>
      </c>
      <c r="D91" s="76" t="n"/>
      <c r="E91" s="76" t="n"/>
      <c r="F91" s="76" t="n"/>
      <c r="G91" s="193">
        <f>G55/G12</f>
        <v/>
      </c>
      <c r="H91" s="193">
        <f>H55/H12</f>
        <v/>
      </c>
      <c r="I91" s="193">
        <f>I55/I12</f>
        <v/>
      </c>
      <c r="J91" s="76" t="n"/>
      <c r="K91" s="193">
        <f>K55/K12</f>
        <v/>
      </c>
      <c r="L91" s="193" t="n"/>
      <c r="M91" s="193">
        <f>M55/M12</f>
        <v/>
      </c>
      <c r="N91" s="193">
        <f>N55/N12</f>
        <v/>
      </c>
      <c r="O91" s="193">
        <f>O55/O12</f>
        <v/>
      </c>
      <c r="P91" s="193">
        <f>P55/P12</f>
        <v/>
      </c>
      <c r="Q91" s="193">
        <f>Q55/Q12</f>
        <v/>
      </c>
      <c r="R91" s="193">
        <f>R55/R12</f>
        <v/>
      </c>
      <c r="S91" s="193">
        <f>S55/S12</f>
        <v/>
      </c>
      <c r="T91" s="193">
        <f>T55/T12</f>
        <v/>
      </c>
      <c r="U91" s="193">
        <f>U55/U12</f>
        <v/>
      </c>
      <c r="V91" s="76" t="n"/>
      <c r="W91" s="76" t="n"/>
      <c r="X91" s="76" t="n"/>
      <c r="Y91" s="76" t="n"/>
      <c r="Z91" s="76" t="n"/>
      <c r="AA91" s="76" t="n"/>
      <c r="AB91" s="76" t="n"/>
      <c r="AC91" s="76" t="n"/>
      <c r="AD91" s="76" t="n"/>
      <c r="AE91" s="76" t="n"/>
      <c r="AF91" s="76" t="n"/>
    </row>
    <row r="92">
      <c r="A92" s="105" t="inlineStr">
        <is>
          <t>High Efficiency and Clean Energy</t>
        </is>
      </c>
      <c r="B92" s="105" t="n"/>
      <c r="C92" s="105" t="n"/>
      <c r="D92" s="145" t="n"/>
      <c r="E92" s="145" t="n"/>
      <c r="F92" s="145" t="n"/>
      <c r="G92" s="193">
        <f>G59/G16</f>
        <v/>
      </c>
      <c r="H92" s="193">
        <f>H59/H16</f>
        <v/>
      </c>
      <c r="I92" s="193">
        <f>I59/I16</f>
        <v/>
      </c>
      <c r="J92" s="145" t="n"/>
      <c r="K92" s="193">
        <f>K59/K16</f>
        <v/>
      </c>
      <c r="L92" s="193" t="n"/>
      <c r="M92" s="193">
        <f>M59/M16</f>
        <v/>
      </c>
      <c r="N92" s="193">
        <f>N59/N16</f>
        <v/>
      </c>
      <c r="O92" s="193">
        <f>O59/O16</f>
        <v/>
      </c>
      <c r="P92" s="193">
        <f>P59/P16</f>
        <v/>
      </c>
      <c r="Q92" s="193">
        <f>Q59/Q16</f>
        <v/>
      </c>
      <c r="R92" s="193">
        <f>R59/R16</f>
        <v/>
      </c>
      <c r="S92" s="193">
        <f>S59/S16</f>
        <v/>
      </c>
      <c r="T92" s="193">
        <f>T59/T16</f>
        <v/>
      </c>
      <c r="U92" s="193">
        <f>U59/U16</f>
        <v/>
      </c>
      <c r="V92" s="145" t="n"/>
      <c r="W92" s="145" t="n"/>
      <c r="X92" s="145" t="n"/>
      <c r="Y92" s="145" t="n"/>
      <c r="Z92" s="145" t="n"/>
      <c r="AA92" s="145" t="n"/>
      <c r="AB92" s="145" t="n"/>
      <c r="AC92" s="145" t="n"/>
      <c r="AD92" s="145" t="n"/>
      <c r="AE92" s="145" t="n"/>
      <c r="AF92" s="145" t="n"/>
    </row>
    <row r="93">
      <c r="A93" s="105" t="inlineStr">
        <is>
          <t>Modern Services</t>
        </is>
      </c>
      <c r="B93" s="105" t="n"/>
      <c r="C93" s="105" t="n"/>
      <c r="D93" s="88" t="n"/>
      <c r="E93" s="88" t="n"/>
      <c r="F93" s="88" t="n"/>
      <c r="G93" s="194">
        <f>G66/G28</f>
        <v/>
      </c>
      <c r="H93" s="194">
        <f>H66/H28</f>
        <v/>
      </c>
      <c r="I93" s="194">
        <f>I66/I28</f>
        <v/>
      </c>
      <c r="J93" s="88" t="n"/>
      <c r="K93" s="194">
        <f>K66/K28</f>
        <v/>
      </c>
      <c r="L93" s="194" t="n"/>
      <c r="M93" s="194">
        <f>M66/M28</f>
        <v/>
      </c>
      <c r="N93" s="194">
        <f>N66/N28</f>
        <v/>
      </c>
      <c r="O93" s="194">
        <f>O66/O28</f>
        <v/>
      </c>
      <c r="P93" s="194">
        <f>P66/P28</f>
        <v/>
      </c>
      <c r="Q93" s="194">
        <f>Q66/Q28</f>
        <v/>
      </c>
      <c r="R93" s="194">
        <f>R66/R28</f>
        <v/>
      </c>
      <c r="S93" s="194">
        <f>S66/S28</f>
        <v/>
      </c>
      <c r="T93" s="194">
        <f>T66/T28</f>
        <v/>
      </c>
      <c r="U93" s="194">
        <f>U66/U28</f>
        <v/>
      </c>
      <c r="V93" s="88" t="n"/>
      <c r="W93" s="88" t="n"/>
      <c r="X93" s="88" t="n"/>
      <c r="Y93" s="88" t="n"/>
      <c r="Z93" s="88" t="n"/>
      <c r="AA93" s="88" t="n"/>
      <c r="AB93" s="88" t="n"/>
      <c r="AC93" s="88" t="n"/>
      <c r="AD93" s="88" t="n"/>
      <c r="AE93" s="88" t="n"/>
      <c r="AF93" s="88" t="n"/>
    </row>
    <row r="94">
      <c r="A94" s="40" t="inlineStr">
        <is>
          <t>Total (rev including NE, HECE, MS only)</t>
        </is>
      </c>
      <c r="B94" s="40" t="n"/>
      <c r="C94" s="40" t="n"/>
      <c r="D94" s="145" t="n"/>
      <c r="E94" s="145" t="n"/>
      <c r="F94" s="145" t="n"/>
      <c r="G94" s="194" t="n"/>
      <c r="H94" s="194">
        <f>H70/(H12+H16+H28)</f>
        <v/>
      </c>
      <c r="I94" s="194">
        <f>I70/(I12+I16+I28)</f>
        <v/>
      </c>
      <c r="J94" s="194" t="n"/>
      <c r="K94" s="194">
        <f>K70/(K12+K16+K28)</f>
        <v/>
      </c>
      <c r="L94" s="194" t="n"/>
      <c r="M94" s="194">
        <f>M70/(M12+M16+M28)</f>
        <v/>
      </c>
      <c r="N94" s="194">
        <f>N70/(N12+N16+N28)</f>
        <v/>
      </c>
      <c r="O94" s="194">
        <f>O70/(O12+O16+O28)</f>
        <v/>
      </c>
      <c r="P94" s="194">
        <f>P70/(P12+P16+P28)</f>
        <v/>
      </c>
      <c r="Q94" s="194">
        <f>Q70/(Q12+Q16+Q28)</f>
        <v/>
      </c>
      <c r="R94" s="194">
        <f>R70/(R12+R16+R28)</f>
        <v/>
      </c>
      <c r="S94" s="194">
        <f>S70/(S12+S16+S28)</f>
        <v/>
      </c>
      <c r="T94" s="194">
        <f>T70/(T12+T16+T28)</f>
        <v/>
      </c>
      <c r="U94" s="194">
        <f>U70/(U12+U16+U28)</f>
        <v/>
      </c>
      <c r="V94" s="145" t="n"/>
      <c r="W94" s="145" t="n"/>
      <c r="X94" s="145" t="n"/>
      <c r="Y94" s="145" t="n"/>
      <c r="Z94" s="145" t="n"/>
      <c r="AA94" s="145" t="n"/>
      <c r="AB94" s="145" t="n"/>
      <c r="AC94" s="145" t="n"/>
      <c r="AD94" s="145" t="n"/>
      <c r="AE94" s="145" t="n"/>
      <c r="AF94" s="145" t="n"/>
    </row>
    <row r="95">
      <c r="A95" s="74" t="n"/>
      <c r="B95" s="74" t="n"/>
      <c r="C95" s="74" t="n"/>
      <c r="D95" s="145" t="n"/>
      <c r="E95" s="145" t="n"/>
      <c r="F95" s="145" t="n"/>
      <c r="G95" s="145" t="n"/>
      <c r="H95" s="145" t="n"/>
      <c r="I95" s="145" t="n"/>
      <c r="J95" s="145" t="n"/>
      <c r="K95" s="145" t="n"/>
      <c r="M95" s="145" t="n"/>
      <c r="N95" s="145" t="n"/>
      <c r="O95" s="145" t="n"/>
      <c r="P95" s="145" t="n"/>
      <c r="Q95" s="145" t="n"/>
      <c r="R95" s="145" t="n"/>
      <c r="S95" s="145" t="n"/>
      <c r="T95" s="145" t="n"/>
      <c r="U95" s="145" t="n"/>
      <c r="V95" s="145" t="n"/>
      <c r="W95" s="145" t="n"/>
      <c r="X95" s="145" t="n"/>
      <c r="Y95" s="145" t="n"/>
      <c r="Z95" s="145" t="n"/>
      <c r="AA95" s="145" t="n"/>
      <c r="AB95" s="145" t="n"/>
      <c r="AC95" s="145" t="n"/>
      <c r="AD95" s="145" t="n"/>
      <c r="AE95" s="145" t="n"/>
      <c r="AF95" s="145" t="n"/>
    </row>
    <row r="96" customFormat="1" s="22">
      <c r="A96" s="40" t="inlineStr">
        <is>
          <t>Backlog to bill ratio</t>
        </is>
      </c>
      <c r="B96" s="146" t="n"/>
      <c r="C96" s="146" t="n"/>
      <c r="D96" s="123" t="n"/>
      <c r="E96" s="123" t="n"/>
      <c r="F96" s="123" t="n"/>
      <c r="G96" s="123" t="n"/>
      <c r="H96" s="123" t="n"/>
      <c r="I96" s="123" t="n"/>
      <c r="J96" s="123" t="n"/>
      <c r="K96" s="123" t="n"/>
      <c r="M96" s="123" t="n"/>
      <c r="N96" s="123" t="n"/>
      <c r="O96" s="123" t="n"/>
      <c r="P96" s="123" t="n"/>
      <c r="Q96" s="123" t="n"/>
      <c r="R96" s="123" t="n"/>
      <c r="S96" s="123" t="n"/>
      <c r="T96" s="123" t="n"/>
      <c r="U96" s="123" t="n"/>
      <c r="V96" s="123" t="n"/>
      <c r="W96" s="123" t="n"/>
      <c r="X96" s="123" t="n"/>
      <c r="Y96" s="123" t="n"/>
      <c r="Z96" s="123" t="n"/>
      <c r="AA96" s="123" t="n"/>
      <c r="AB96" s="123" t="n"/>
      <c r="AC96" s="123" t="n"/>
      <c r="AD96" s="123" t="n"/>
      <c r="AE96" s="123" t="n"/>
      <c r="AF96" s="123" t="n"/>
    </row>
    <row r="97" customFormat="1" s="22">
      <c r="A97" t="inlineStr">
        <is>
          <t>New Energy</t>
        </is>
      </c>
      <c r="B97" s="146" t="n"/>
      <c r="C97" s="146" t="n"/>
      <c r="D97" s="123" t="n"/>
      <c r="E97" s="123" t="n"/>
      <c r="F97" s="123" t="n"/>
      <c r="G97" s="884">
        <f>G73/G12</f>
        <v/>
      </c>
      <c r="H97" s="884">
        <f>H73/H12</f>
        <v/>
      </c>
      <c r="I97" s="884">
        <f>I73/I12</f>
        <v/>
      </c>
      <c r="J97" s="884" t="n"/>
      <c r="K97" s="884" t="n"/>
      <c r="L97" s="884" t="n"/>
      <c r="M97" s="884">
        <f>M73/M12</f>
        <v/>
      </c>
      <c r="N97" s="884" t="n"/>
      <c r="O97" s="884">
        <f>O73/O12</f>
        <v/>
      </c>
      <c r="P97" s="884" t="n"/>
      <c r="Q97" s="884">
        <f>Q73/Q12</f>
        <v/>
      </c>
      <c r="R97" s="884" t="n"/>
      <c r="S97" s="884">
        <f>S73/S12</f>
        <v/>
      </c>
      <c r="T97" s="884">
        <f>T73/T12</f>
        <v/>
      </c>
      <c r="U97" s="884">
        <f>U73/U12</f>
        <v/>
      </c>
      <c r="V97" s="123" t="n"/>
      <c r="W97" s="123" t="n"/>
      <c r="X97" s="123" t="n"/>
      <c r="Y97" s="123" t="n"/>
      <c r="Z97" s="123" t="n"/>
      <c r="AA97" s="123" t="n"/>
      <c r="AB97" s="123" t="n"/>
      <c r="AC97" s="123" t="n"/>
      <c r="AD97" s="123" t="n"/>
      <c r="AE97" s="123" t="n"/>
      <c r="AF97" s="123" t="n"/>
    </row>
    <row r="98">
      <c r="A98" s="105" t="inlineStr">
        <is>
          <t>High Efficiency and Clean Energy</t>
        </is>
      </c>
      <c r="B98" s="74" t="n"/>
      <c r="C98" s="74" t="n"/>
      <c r="D98" s="145" t="n"/>
      <c r="E98" s="145" t="n"/>
      <c r="F98" s="145" t="n"/>
      <c r="G98" s="884">
        <f>G77/G16</f>
        <v/>
      </c>
      <c r="H98" s="884">
        <f>H77/H16</f>
        <v/>
      </c>
      <c r="I98" s="884">
        <f>I77/I16</f>
        <v/>
      </c>
      <c r="J98" s="884" t="n"/>
      <c r="K98" s="884" t="n"/>
      <c r="L98" s="884" t="n"/>
      <c r="M98" s="884">
        <f>M77/M16</f>
        <v/>
      </c>
      <c r="N98" s="884" t="n"/>
      <c r="O98" s="884">
        <f>O77/O16</f>
        <v/>
      </c>
      <c r="P98" s="145" t="n"/>
      <c r="Q98" s="884">
        <f>Q77/Q16</f>
        <v/>
      </c>
      <c r="R98" s="884" t="n"/>
      <c r="S98" s="884">
        <f>S77/S16</f>
        <v/>
      </c>
      <c r="T98" s="884">
        <f>T77/T16</f>
        <v/>
      </c>
      <c r="U98" s="884">
        <f>U77/U16</f>
        <v/>
      </c>
      <c r="V98" s="145" t="n"/>
      <c r="W98" s="145" t="n"/>
      <c r="X98" s="145" t="n"/>
      <c r="Y98" s="145" t="n"/>
      <c r="Z98" s="145" t="n"/>
      <c r="AA98" s="145" t="n"/>
      <c r="AB98" s="145" t="n"/>
      <c r="AC98" s="145" t="n"/>
      <c r="AD98" s="145" t="n"/>
      <c r="AE98" s="145" t="n"/>
      <c r="AF98" s="145" t="n"/>
    </row>
    <row r="99">
      <c r="A99" s="105" t="inlineStr">
        <is>
          <t>Modern Services</t>
        </is>
      </c>
      <c r="B99" s="74" t="n"/>
      <c r="C99" s="74" t="n"/>
      <c r="D99" s="145" t="n"/>
      <c r="E99" s="145" t="n"/>
      <c r="F99" s="145" t="n"/>
      <c r="G99" s="884">
        <f>G83/G22</f>
        <v/>
      </c>
      <c r="H99" s="884">
        <f>H83/H22</f>
        <v/>
      </c>
      <c r="I99" s="884">
        <f>I83/I22</f>
        <v/>
      </c>
      <c r="J99" s="884" t="n"/>
      <c r="K99" s="884" t="n"/>
      <c r="L99" s="884" t="n"/>
      <c r="M99" s="884">
        <f>M83/M22</f>
        <v/>
      </c>
      <c r="N99" s="884" t="n"/>
      <c r="O99" s="884">
        <f>O83/O22</f>
        <v/>
      </c>
      <c r="P99" s="145" t="n"/>
      <c r="Q99" s="884">
        <f>Q83/Q22</f>
        <v/>
      </c>
      <c r="R99" s="884" t="n"/>
      <c r="S99" s="884">
        <f>S83/S22</f>
        <v/>
      </c>
      <c r="T99" s="884">
        <f>T83/T22</f>
        <v/>
      </c>
      <c r="U99" s="884">
        <f>U83/U22</f>
        <v/>
      </c>
      <c r="V99" s="145" t="n"/>
      <c r="W99" s="145" t="n"/>
      <c r="X99" s="145" t="n"/>
      <c r="Y99" s="145" t="n"/>
      <c r="Z99" s="145" t="n"/>
      <c r="AA99" s="145" t="n"/>
      <c r="AB99" s="145" t="n"/>
      <c r="AC99" s="145" t="n"/>
      <c r="AD99" s="145" t="n"/>
      <c r="AE99" s="145" t="n"/>
      <c r="AF99" s="145" t="n"/>
    </row>
    <row r="100">
      <c r="A100" s="40" t="inlineStr">
        <is>
          <t>Total (rev including NE, HECE, MS only)</t>
        </is>
      </c>
      <c r="B100" s="74" t="n"/>
      <c r="C100" s="74" t="n"/>
      <c r="D100" s="143" t="n"/>
      <c r="E100" s="143" t="n"/>
      <c r="F100" s="143" t="n"/>
      <c r="G100" s="899">
        <f>G88/(G12+G16+G28)</f>
        <v/>
      </c>
      <c r="H100" s="899">
        <f>H88/(H12+H16+H28)</f>
        <v/>
      </c>
      <c r="I100" s="899">
        <f>I88/(I12+I16+I28)</f>
        <v/>
      </c>
      <c r="J100" s="899" t="n"/>
      <c r="K100" s="899" t="n"/>
      <c r="L100" s="899" t="n"/>
      <c r="M100" s="899">
        <f>M88/(M12+M16+M28)</f>
        <v/>
      </c>
      <c r="N100" s="899">
        <f>N88/(N12+N16+N28)</f>
        <v/>
      </c>
      <c r="O100" s="899">
        <f>O88/(O12+O16+O28)</f>
        <v/>
      </c>
      <c r="P100" s="899">
        <f>P88/(P12+P16+P28)</f>
        <v/>
      </c>
      <c r="Q100" s="899">
        <f>Q88/(Q12+Q16+Q28)</f>
        <v/>
      </c>
      <c r="R100" s="899">
        <f>R88/(R12+R16+R28)</f>
        <v/>
      </c>
      <c r="S100" s="899">
        <f>S88/(S12+S16+S28)</f>
        <v/>
      </c>
      <c r="T100" s="899">
        <f>T88/(T12+T16+T28)</f>
        <v/>
      </c>
      <c r="U100" s="899">
        <f>U88/(U12+U16+U28)</f>
        <v/>
      </c>
      <c r="V100" s="143" t="n"/>
      <c r="W100" s="143" t="n"/>
      <c r="X100" s="143" t="n"/>
      <c r="Y100" s="143" t="n"/>
      <c r="Z100" s="143" t="n"/>
      <c r="AA100" s="143" t="n"/>
      <c r="AB100" s="143" t="n"/>
      <c r="AC100" s="143" t="n"/>
      <c r="AD100" s="143" t="n"/>
      <c r="AE100" s="143" t="n"/>
      <c r="AF100" s="143" t="n"/>
    </row>
    <row r="101">
      <c r="A101" s="33" t="n"/>
      <c r="B101" s="33" t="n"/>
      <c r="C101" s="33" t="n"/>
      <c r="D101" s="143" t="n"/>
      <c r="E101" s="145" t="n"/>
      <c r="F101" s="145" t="n"/>
      <c r="G101" s="145" t="n"/>
      <c r="H101" s="145" t="n"/>
      <c r="I101" s="145" t="n"/>
      <c r="J101" s="145" t="n"/>
      <c r="K101" s="145" t="n"/>
      <c r="M101" s="145" t="n"/>
      <c r="N101" s="145" t="n"/>
      <c r="O101" s="145" t="n"/>
      <c r="P101" s="145" t="n"/>
      <c r="Q101" s="145" t="n"/>
      <c r="R101" s="145" t="n"/>
      <c r="S101" s="145" t="n"/>
      <c r="T101" s="145" t="n"/>
      <c r="U101" s="145" t="n"/>
      <c r="V101" s="145" t="n"/>
      <c r="W101" s="145" t="n"/>
      <c r="X101" s="145" t="n"/>
      <c r="Y101" s="145" t="n"/>
      <c r="Z101" s="145" t="n"/>
      <c r="AA101" s="145" t="n"/>
      <c r="AB101" s="145" t="n"/>
      <c r="AC101" s="145" t="n"/>
      <c r="AD101" s="145" t="n"/>
      <c r="AE101" s="145" t="n"/>
      <c r="AF101" s="145" t="n"/>
    </row>
    <row r="102">
      <c r="A102" s="33" t="n"/>
      <c r="B102" s="33" t="n"/>
      <c r="C102" s="33" t="n"/>
      <c r="D102" s="145" t="n"/>
      <c r="E102" s="145" t="n"/>
      <c r="F102" s="145" t="n"/>
      <c r="G102" s="145" t="n"/>
      <c r="H102" s="145" t="n"/>
      <c r="I102" s="145" t="n"/>
      <c r="J102" s="145" t="n"/>
      <c r="K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row>
    <row r="103">
      <c r="A103" s="33" t="n"/>
      <c r="B103" s="33" t="n"/>
      <c r="C103" s="33" t="n"/>
      <c r="D103" s="143" t="n"/>
      <c r="E103" s="143" t="n"/>
      <c r="F103" s="143" t="n"/>
      <c r="G103" s="143" t="n"/>
      <c r="H103" s="143" t="n"/>
      <c r="I103" s="143" t="n"/>
      <c r="J103" s="143" t="n"/>
      <c r="K103" s="143" t="n"/>
      <c r="M103" s="143" t="n"/>
      <c r="N103" s="143" t="n"/>
      <c r="O103" s="143" t="n"/>
      <c r="P103" s="143" t="n"/>
      <c r="Q103" s="143" t="n"/>
      <c r="R103" s="143" t="n"/>
      <c r="S103" s="143" t="n"/>
      <c r="T103" s="143" t="n"/>
      <c r="U103" s="143" t="n"/>
      <c r="V103" s="143" t="n"/>
      <c r="W103" s="143" t="n"/>
      <c r="X103" s="143" t="n"/>
      <c r="Y103" s="143" t="n"/>
      <c r="Z103" s="143" t="n"/>
      <c r="AA103" s="143" t="n"/>
      <c r="AB103" s="143" t="n"/>
      <c r="AC103" s="143" t="n"/>
      <c r="AD103" s="143" t="n"/>
      <c r="AE103" s="143" t="n"/>
      <c r="AF103" s="143" t="n"/>
    </row>
    <row r="104">
      <c r="D104" s="88" t="n"/>
      <c r="E104" s="88" t="n"/>
      <c r="F104" s="88" t="n"/>
      <c r="G104" s="88" t="n"/>
      <c r="H104" s="88" t="n"/>
      <c r="I104" s="88" t="n"/>
      <c r="J104" s="88" t="n"/>
      <c r="K104" s="88" t="n"/>
      <c r="M104" s="88" t="n"/>
      <c r="N104" s="88" t="n"/>
      <c r="O104" s="88" t="n"/>
      <c r="P104" s="88" t="n"/>
      <c r="Q104" s="88" t="n"/>
      <c r="R104" s="88" t="n"/>
      <c r="S104" s="88" t="n"/>
      <c r="T104" s="88" t="n"/>
      <c r="U104" s="88" t="n"/>
      <c r="V104" s="88" t="n"/>
      <c r="W104" s="88" t="n"/>
      <c r="X104" s="88" t="n"/>
      <c r="Y104" s="88" t="n"/>
      <c r="Z104" s="88" t="n"/>
      <c r="AA104" s="88" t="n"/>
      <c r="AB104" s="88" t="n"/>
      <c r="AC104" s="88" t="n"/>
      <c r="AD104" s="88" t="n"/>
      <c r="AE104" s="88" t="n"/>
      <c r="AF104" s="88" t="n"/>
    </row>
    <row r="105">
      <c r="D105" s="145" t="n"/>
      <c r="E105" s="145" t="n"/>
      <c r="F105" s="145" t="n"/>
      <c r="G105" s="145" t="n"/>
      <c r="H105" s="145" t="n"/>
      <c r="I105" s="145" t="n"/>
      <c r="J105" s="145" t="n"/>
      <c r="K105" s="145" t="n"/>
      <c r="M105" s="145" t="n"/>
      <c r="N105" s="145" t="n"/>
      <c r="O105" s="145" t="n"/>
      <c r="P105" s="145" t="n"/>
      <c r="Q105" s="145" t="n"/>
      <c r="R105" s="145" t="n"/>
      <c r="S105" s="145" t="n"/>
      <c r="T105" s="145" t="n"/>
      <c r="U105" s="145" t="n"/>
      <c r="V105" s="145" t="n"/>
      <c r="W105" s="145" t="n"/>
      <c r="X105" s="145" t="n"/>
      <c r="Y105" s="145" t="n"/>
      <c r="Z105" s="145" t="n"/>
      <c r="AA105" s="145" t="n"/>
      <c r="AB105" s="145" t="n"/>
      <c r="AC105" s="145" t="n"/>
      <c r="AD105" s="145" t="n"/>
      <c r="AE105" s="145" t="n"/>
      <c r="AF105" s="145" t="n"/>
    </row>
    <row r="106">
      <c r="D106" s="88" t="n"/>
      <c r="E106" s="88" t="n"/>
      <c r="F106" s="88" t="n"/>
      <c r="G106" s="88" t="n"/>
      <c r="H106" s="88" t="n"/>
      <c r="I106" s="88" t="n"/>
      <c r="J106" s="88" t="n"/>
      <c r="K106" s="88" t="n"/>
      <c r="M106" s="88" t="n"/>
      <c r="N106" s="88" t="n"/>
      <c r="O106" s="88" t="n"/>
      <c r="P106" s="88" t="n"/>
      <c r="Q106" s="88" t="n"/>
      <c r="R106" s="88" t="n"/>
      <c r="S106" s="88" t="n"/>
      <c r="T106" s="88" t="n"/>
      <c r="U106" s="88" t="n"/>
      <c r="V106" s="88" t="n"/>
      <c r="W106" s="88" t="n"/>
      <c r="X106" s="88" t="n"/>
      <c r="Y106" s="88" t="n"/>
      <c r="Z106" s="88" t="n"/>
      <c r="AA106" s="88" t="n"/>
      <c r="AB106" s="88" t="n"/>
      <c r="AC106" s="88" t="n"/>
      <c r="AD106" s="88" t="n"/>
      <c r="AE106" s="88" t="n"/>
      <c r="AF106" s="88" t="n"/>
    </row>
    <row r="107">
      <c r="D107" s="143" t="n"/>
      <c r="E107" s="143" t="n"/>
      <c r="F107" s="143" t="n"/>
      <c r="G107" s="143" t="n"/>
      <c r="H107" s="143" t="n"/>
      <c r="I107" s="143" t="n"/>
      <c r="J107" s="143" t="n"/>
      <c r="K107" s="143" t="n"/>
      <c r="M107" s="143" t="n"/>
      <c r="N107" s="143" t="n"/>
      <c r="O107" s="143" t="n"/>
      <c r="P107" s="143" t="n"/>
      <c r="Q107" s="143" t="n"/>
      <c r="R107" s="143" t="n"/>
      <c r="S107" s="143" t="n"/>
      <c r="T107" s="143" t="n"/>
      <c r="U107" s="143" t="n"/>
      <c r="V107" s="143" t="n"/>
      <c r="W107" s="143" t="n"/>
      <c r="X107" s="143" t="n"/>
      <c r="Y107" s="143" t="n"/>
      <c r="Z107" s="143" t="n"/>
      <c r="AA107" s="143" t="n"/>
      <c r="AB107" s="143" t="n"/>
      <c r="AC107" s="143" t="n"/>
      <c r="AD107" s="143" t="n"/>
      <c r="AE107" s="143" t="n"/>
      <c r="AF107" s="143" t="n"/>
    </row>
    <row r="108">
      <c r="D108" s="143" t="n"/>
      <c r="E108" s="143" t="n"/>
      <c r="F108" s="143" t="n"/>
      <c r="G108" s="143" t="n"/>
      <c r="H108" s="143" t="n"/>
      <c r="I108" s="143" t="n"/>
      <c r="J108" s="143" t="n"/>
      <c r="K108" s="143" t="n"/>
      <c r="M108" s="143" t="n"/>
      <c r="N108" s="143" t="n"/>
      <c r="O108" s="143" t="n"/>
      <c r="P108" s="143" t="n"/>
      <c r="Q108" s="143" t="n"/>
      <c r="R108" s="143" t="n"/>
      <c r="S108" s="143" t="n"/>
      <c r="T108" s="143" t="n"/>
      <c r="U108" s="143" t="n"/>
      <c r="V108" s="143" t="n"/>
      <c r="W108" s="143" t="n"/>
      <c r="X108" s="143" t="n"/>
      <c r="Y108" s="143" t="n"/>
      <c r="Z108" s="143" t="n"/>
      <c r="AA108" s="143" t="n"/>
      <c r="AB108" s="143" t="n"/>
      <c r="AC108" s="143" t="n"/>
      <c r="AD108" s="143" t="n"/>
      <c r="AE108" s="143" t="n"/>
      <c r="AF108" s="143" t="n"/>
    </row>
    <row r="109">
      <c r="D109" s="145" t="n"/>
      <c r="E109" s="145" t="n"/>
      <c r="F109" s="145" t="n"/>
      <c r="G109" s="145" t="n"/>
      <c r="H109" s="145" t="n"/>
      <c r="I109" s="145" t="n"/>
      <c r="J109" s="145" t="n"/>
      <c r="K109" s="145" t="n"/>
      <c r="M109" s="145" t="n"/>
      <c r="N109" s="145" t="n"/>
      <c r="O109" s="145" t="n"/>
      <c r="P109" s="145" t="n"/>
      <c r="Q109" s="145" t="n"/>
      <c r="R109" s="145" t="n"/>
      <c r="S109" s="145" t="n"/>
      <c r="T109" s="145" t="n"/>
      <c r="U109" s="145" t="n"/>
      <c r="V109" s="145" t="n"/>
      <c r="W109" s="145" t="n"/>
      <c r="X109" s="145" t="n"/>
      <c r="Y109" s="145" t="n"/>
      <c r="Z109" s="145" t="n"/>
      <c r="AA109" s="145" t="n"/>
      <c r="AB109" s="145" t="n"/>
      <c r="AC109" s="145" t="n"/>
      <c r="AD109" s="145" t="n"/>
      <c r="AE109" s="145" t="n"/>
      <c r="AF109" s="145" t="n"/>
    </row>
    <row r="110">
      <c r="D110" s="88" t="n"/>
      <c r="E110" s="88" t="n"/>
      <c r="F110" s="88" t="n"/>
      <c r="G110" s="88" t="n"/>
      <c r="H110" s="88" t="n"/>
      <c r="I110" s="88" t="n"/>
      <c r="J110" s="88" t="n"/>
      <c r="K110" s="88" t="n"/>
      <c r="M110" s="88" t="n"/>
      <c r="N110" s="88" t="n"/>
      <c r="O110" s="88" t="n"/>
      <c r="P110" s="88" t="n"/>
      <c r="Q110" s="88" t="n"/>
      <c r="R110" s="88" t="n"/>
      <c r="S110" s="88" t="n"/>
      <c r="T110" s="88" t="n"/>
      <c r="U110" s="88" t="n"/>
      <c r="V110" s="88" t="n"/>
      <c r="W110" s="88" t="n"/>
      <c r="X110" s="88" t="n"/>
      <c r="Y110" s="88" t="n"/>
      <c r="Z110" s="88" t="n"/>
      <c r="AA110" s="88" t="n"/>
      <c r="AB110" s="88" t="n"/>
      <c r="AC110" s="88" t="n"/>
      <c r="AD110" s="88" t="n"/>
      <c r="AE110" s="88" t="n"/>
      <c r="AF110" s="88" t="n"/>
    </row>
    <row r="111">
      <c r="D111" s="143" t="n"/>
      <c r="E111" s="143" t="n"/>
      <c r="F111" s="143" t="n"/>
      <c r="G111" s="143" t="n"/>
      <c r="H111" s="143" t="n"/>
      <c r="I111" s="143" t="n"/>
      <c r="J111" s="143" t="n"/>
      <c r="K111" s="143" t="n"/>
      <c r="M111" s="143" t="n"/>
      <c r="N111" s="143" t="n"/>
      <c r="O111" s="143" t="n"/>
      <c r="P111" s="143" t="n"/>
      <c r="Q111" s="143" t="n"/>
      <c r="R111" s="143" t="n"/>
      <c r="S111" s="143" t="n"/>
      <c r="T111" s="143" t="n"/>
      <c r="U111" s="143" t="n"/>
      <c r="V111" s="143" t="n"/>
      <c r="W111" s="143" t="n"/>
      <c r="X111" s="143" t="n"/>
      <c r="Y111" s="143" t="n"/>
      <c r="Z111" s="143" t="n"/>
      <c r="AA111" s="143" t="n"/>
      <c r="AB111" s="143" t="n"/>
      <c r="AC111" s="143" t="n"/>
      <c r="AD111" s="143" t="n"/>
      <c r="AE111" s="143" t="n"/>
      <c r="AF111" s="143" t="n"/>
    </row>
    <row r="112" customFormat="1" s="84">
      <c r="D112" s="118" t="n"/>
      <c r="E112" s="118" t="n"/>
      <c r="F112" s="118" t="n"/>
      <c r="G112" s="118" t="n"/>
      <c r="H112" s="118" t="n"/>
      <c r="I112" s="118" t="n"/>
      <c r="J112" s="118" t="n"/>
      <c r="K112" s="118" t="n"/>
      <c r="M112" s="118" t="n"/>
      <c r="N112" s="118" t="n"/>
      <c r="O112" s="118" t="n"/>
      <c r="P112" s="118" t="n"/>
      <c r="Q112" s="118" t="n"/>
      <c r="R112" s="118" t="n"/>
      <c r="S112" s="118" t="n"/>
      <c r="T112" s="118" t="n"/>
      <c r="U112" s="118" t="n"/>
      <c r="V112" s="118" t="n"/>
      <c r="W112" s="118" t="n"/>
      <c r="X112" s="118" t="n"/>
      <c r="Y112" s="118" t="n"/>
      <c r="Z112" s="118" t="n"/>
      <c r="AA112" s="118" t="n"/>
      <c r="AB112" s="118" t="n"/>
      <c r="AC112" s="118" t="n"/>
      <c r="AD112" s="118" t="n"/>
      <c r="AE112" s="118" t="n"/>
      <c r="AF112" s="118" t="n"/>
    </row>
    <row r="113" customFormat="1" s="84">
      <c r="D113" s="118" t="n"/>
      <c r="E113" s="118" t="n"/>
      <c r="F113" s="118" t="n"/>
      <c r="G113" s="118" t="n"/>
      <c r="H113" s="118" t="n"/>
      <c r="I113" s="118" t="n"/>
      <c r="J113" s="118" t="n"/>
      <c r="K113" s="118" t="n"/>
      <c r="M113" s="118" t="n"/>
      <c r="N113" s="118" t="n"/>
      <c r="O113" s="118" t="n"/>
      <c r="P113" s="118" t="n"/>
      <c r="Q113" s="118" t="n"/>
      <c r="R113" s="118" t="n"/>
      <c r="S113" s="118" t="n"/>
      <c r="T113" s="118" t="n"/>
      <c r="U113" s="118" t="n"/>
      <c r="V113" s="118" t="n"/>
      <c r="W113" s="118" t="n"/>
      <c r="X113" s="118" t="n"/>
      <c r="Y113" s="118" t="n"/>
      <c r="Z113" s="118" t="n"/>
      <c r="AA113" s="118" t="n"/>
      <c r="AB113" s="118" t="n"/>
      <c r="AC113" s="118" t="n"/>
      <c r="AD113" s="118" t="n"/>
      <c r="AE113" s="118" t="n"/>
      <c r="AF113" s="118" t="n"/>
    </row>
    <row r="114">
      <c r="D114" s="891" t="n"/>
      <c r="E114" s="891" t="n"/>
      <c r="F114" s="891" t="n"/>
      <c r="G114" s="891" t="n"/>
      <c r="H114" s="891" t="n"/>
      <c r="I114" s="891" t="n"/>
      <c r="J114" s="891" t="n"/>
      <c r="K114" s="962" t="n"/>
      <c r="M114" s="962" t="n"/>
      <c r="N114" s="962" t="n"/>
      <c r="O114" s="962" t="n"/>
      <c r="P114" s="962" t="n"/>
      <c r="Q114" s="962" t="n"/>
      <c r="R114" s="962" t="n"/>
      <c r="S114" s="962" t="n"/>
      <c r="T114" s="962" t="n"/>
      <c r="U114" s="962" t="n"/>
      <c r="V114" s="962" t="n"/>
      <c r="W114" s="962" t="n"/>
      <c r="X114" s="962" t="n"/>
      <c r="Y114" s="962" t="n"/>
      <c r="Z114" s="962" t="n"/>
      <c r="AA114" s="962" t="n"/>
      <c r="AB114" s="962" t="n"/>
      <c r="AC114" s="962" t="n"/>
      <c r="AD114" s="962" t="n"/>
      <c r="AE114" s="962" t="n"/>
      <c r="AF114" s="962" t="n"/>
    </row>
    <row r="115">
      <c r="D115" s="962" t="n"/>
      <c r="E115" s="962" t="n"/>
      <c r="F115" s="962" t="n"/>
      <c r="G115" s="962" t="n"/>
      <c r="H115" s="962" t="n"/>
      <c r="I115" s="962" t="n"/>
      <c r="J115" s="962" t="n"/>
      <c r="K115" s="962" t="n"/>
      <c r="M115" s="962" t="n"/>
      <c r="N115" s="962" t="n"/>
      <c r="O115" s="962" t="n"/>
      <c r="P115" s="962" t="n"/>
      <c r="Q115" s="962" t="n"/>
      <c r="R115" s="962" t="n"/>
      <c r="S115" s="962" t="n"/>
      <c r="T115" s="962" t="n"/>
      <c r="U115" s="962" t="n"/>
      <c r="V115" s="962" t="n"/>
      <c r="W115" s="962" t="n"/>
      <c r="X115" s="962" t="n"/>
      <c r="Y115" s="962" t="n"/>
      <c r="Z115" s="962" t="n"/>
      <c r="AA115" s="962" t="n"/>
      <c r="AB115" s="962" t="n"/>
      <c r="AC115" s="962" t="n"/>
      <c r="AD115" s="962" t="n"/>
      <c r="AE115" s="962" t="n"/>
      <c r="AF115" s="962" t="n"/>
    </row>
    <row r="116">
      <c r="D116" s="143" t="n"/>
      <c r="E116" s="143" t="n"/>
      <c r="F116" s="143" t="n"/>
      <c r="G116" s="143" t="n"/>
      <c r="H116" s="143" t="n"/>
      <c r="I116" s="143" t="n"/>
      <c r="J116" s="143" t="n"/>
      <c r="K116" s="143" t="n"/>
      <c r="M116" s="143" t="n"/>
      <c r="N116" s="143" t="n"/>
      <c r="O116" s="143" t="n"/>
      <c r="P116" s="143" t="n"/>
      <c r="Q116" s="143" t="n"/>
      <c r="R116" s="143" t="n"/>
      <c r="S116" s="143" t="n"/>
      <c r="T116" s="143" t="n"/>
      <c r="U116" s="143" t="n"/>
      <c r="V116" s="143" t="n"/>
      <c r="W116" s="143" t="n"/>
      <c r="X116" s="143" t="n"/>
      <c r="Y116" s="143" t="n"/>
      <c r="Z116" s="143" t="n"/>
      <c r="AA116" s="143" t="n"/>
      <c r="AB116" s="143" t="n"/>
      <c r="AC116" s="143" t="n"/>
      <c r="AD116" s="143" t="n"/>
      <c r="AE116" s="143" t="n"/>
      <c r="AF116" s="143" t="n"/>
    </row>
    <row r="117" customFormat="1" s="84">
      <c r="A117" s="85" t="n"/>
      <c r="D117" s="143" t="n"/>
      <c r="E117" s="167" t="n"/>
      <c r="F117" s="167" t="n"/>
      <c r="G117" s="167" t="n"/>
      <c r="H117" s="167" t="n"/>
      <c r="I117" s="167" t="n"/>
      <c r="J117" s="167" t="n"/>
      <c r="K117" s="167" t="n"/>
      <c r="M117" s="167" t="n"/>
      <c r="N117" s="167" t="n"/>
      <c r="O117" s="167" t="n"/>
      <c r="P117" s="167" t="n"/>
      <c r="Q117" s="167" t="n"/>
      <c r="R117" s="167" t="n"/>
      <c r="S117" s="167" t="n"/>
      <c r="T117" s="143" t="n"/>
      <c r="U117" s="143" t="n"/>
      <c r="V117" s="143" t="n"/>
      <c r="W117" s="143" t="n"/>
      <c r="X117" s="143" t="n"/>
      <c r="Y117" s="143" t="n"/>
      <c r="Z117" s="143" t="n"/>
      <c r="AA117" s="143" t="n"/>
      <c r="AB117" s="143" t="n"/>
      <c r="AC117" s="143" t="n"/>
      <c r="AD117" s="143" t="n"/>
      <c r="AE117" s="143" t="n"/>
      <c r="AF117" s="143" t="n"/>
    </row>
    <row r="118">
      <c r="A118" s="85" t="n"/>
      <c r="D118" s="143" t="n"/>
      <c r="E118" s="145" t="n"/>
      <c r="F118" s="145" t="n"/>
      <c r="G118" s="145" t="n"/>
      <c r="H118" s="145" t="n"/>
      <c r="I118" s="145" t="n"/>
      <c r="J118" s="145" t="n"/>
      <c r="K118" s="145" t="n"/>
      <c r="M118" s="145" t="n"/>
      <c r="N118" s="145" t="n"/>
      <c r="O118" s="145" t="n"/>
      <c r="P118" s="145" t="n"/>
      <c r="Q118" s="145" t="n"/>
      <c r="R118" s="145" t="n"/>
      <c r="S118" s="145" t="n"/>
      <c r="T118" s="143" t="n"/>
      <c r="U118" s="143" t="n"/>
      <c r="V118" s="143" t="n"/>
      <c r="W118" s="143" t="n"/>
      <c r="X118" s="143" t="n"/>
      <c r="Y118" s="143" t="n"/>
      <c r="Z118" s="143" t="n"/>
      <c r="AA118" s="143" t="n"/>
      <c r="AB118" s="143" t="n"/>
      <c r="AC118" s="143" t="n"/>
      <c r="AD118" s="143" t="n"/>
      <c r="AE118" s="143" t="n"/>
      <c r="AF118" s="143" t="n"/>
    </row>
    <row r="119">
      <c r="D119" s="143" t="n"/>
      <c r="E119" s="145" t="n"/>
      <c r="F119" s="143" t="n"/>
      <c r="G119" s="145" t="n"/>
      <c r="H119" s="143" t="n"/>
      <c r="I119" s="145" t="n"/>
      <c r="J119" s="143" t="n"/>
      <c r="K119" s="143" t="n"/>
      <c r="M119" s="88" t="n"/>
      <c r="N119" s="143" t="n"/>
      <c r="O119" s="88" t="n"/>
      <c r="P119" s="143" t="n"/>
      <c r="Q119" s="143" t="n"/>
      <c r="R119" s="143" t="n"/>
      <c r="S119" s="88" t="n"/>
      <c r="T119" s="143" t="n"/>
      <c r="U119" s="143" t="n"/>
      <c r="V119" s="143" t="n"/>
      <c r="W119" s="143" t="n"/>
      <c r="X119" s="143" t="n"/>
      <c r="Y119" s="143" t="n"/>
      <c r="Z119" s="143" t="n"/>
      <c r="AA119" s="143" t="n"/>
      <c r="AB119" s="143" t="n"/>
      <c r="AC119" s="143" t="n"/>
      <c r="AD119" s="143" t="n"/>
      <c r="AE119" s="143" t="n"/>
      <c r="AF119" s="143" t="n"/>
    </row>
    <row r="120">
      <c r="D120" s="142" t="n"/>
      <c r="E120" s="142" t="n"/>
      <c r="F120" s="142" t="n"/>
      <c r="G120" s="142" t="n"/>
      <c r="H120" s="142" t="n"/>
      <c r="I120" s="142" t="n"/>
      <c r="J120" s="142" t="n"/>
      <c r="K120" s="142" t="n"/>
      <c r="M120" s="142" t="n"/>
      <c r="N120" s="142" t="n"/>
      <c r="O120" s="142" t="n"/>
      <c r="P120" s="142" t="n"/>
      <c r="Q120" s="142" t="n"/>
      <c r="R120" s="142" t="n"/>
      <c r="S120" s="142" t="n"/>
      <c r="T120" s="142" t="n"/>
      <c r="U120" s="142" t="n"/>
      <c r="V120" s="142" t="n"/>
      <c r="W120" s="142" t="n"/>
      <c r="X120" s="142" t="n"/>
      <c r="Y120" s="142" t="n"/>
      <c r="Z120" s="142" t="n"/>
      <c r="AA120" s="142" t="n"/>
      <c r="AB120" s="142" t="n"/>
      <c r="AC120" s="142" t="n"/>
      <c r="AD120" s="142" t="n"/>
      <c r="AE120" s="142" t="n"/>
      <c r="AF120" s="142" t="n"/>
    </row>
    <row r="121">
      <c r="A121" s="169" t="n"/>
      <c r="B121" s="169" t="n"/>
      <c r="C121" s="169" t="n"/>
      <c r="D121" s="142" t="n"/>
      <c r="E121" s="142" t="n"/>
      <c r="F121" s="142" t="n"/>
      <c r="G121" s="142" t="n"/>
      <c r="H121" s="142" t="n"/>
      <c r="I121" s="142" t="n"/>
      <c r="J121" s="142" t="n"/>
      <c r="K121" s="142" t="n"/>
      <c r="M121" s="142" t="n"/>
      <c r="N121" s="142" t="n"/>
      <c r="O121" s="142" t="n"/>
      <c r="P121" s="142" t="n"/>
      <c r="Q121" s="142" t="n"/>
      <c r="R121" s="142" t="n"/>
      <c r="S121" s="142" t="n"/>
      <c r="T121" s="142" t="n"/>
      <c r="U121" s="142" t="n"/>
      <c r="V121" s="142" t="n"/>
      <c r="W121" s="142" t="n"/>
      <c r="X121" s="142" t="n"/>
      <c r="Y121" s="142" t="n"/>
      <c r="Z121" s="142" t="n"/>
      <c r="AA121" s="142" t="n"/>
      <c r="AB121" s="142" t="n"/>
      <c r="AC121" s="142" t="n"/>
      <c r="AD121" s="142" t="n"/>
      <c r="AE121" s="142" t="n"/>
      <c r="AF121" s="142" t="n"/>
    </row>
    <row r="122">
      <c r="D122" s="142" t="n"/>
      <c r="E122" s="142" t="n"/>
      <c r="F122" s="142" t="n"/>
      <c r="G122" s="142" t="n"/>
      <c r="H122" s="142" t="n"/>
      <c r="I122" s="142" t="n"/>
      <c r="J122" s="142" t="n"/>
      <c r="K122" s="142" t="n"/>
      <c r="M122" s="142" t="n"/>
      <c r="N122" s="142" t="n"/>
      <c r="O122" s="142" t="n"/>
      <c r="P122" s="142" t="n"/>
      <c r="Q122" s="142" t="n"/>
      <c r="R122" s="142" t="n"/>
      <c r="S122" s="142" t="n"/>
      <c r="T122" s="142" t="n"/>
      <c r="U122" s="142" t="n"/>
      <c r="V122" s="142" t="n"/>
      <c r="W122" s="142" t="n"/>
      <c r="X122" s="142" t="n"/>
      <c r="Y122" s="142" t="n"/>
      <c r="Z122" s="142" t="n"/>
      <c r="AA122" s="142" t="n"/>
      <c r="AB122" s="142" t="n"/>
      <c r="AC122" s="142" t="n"/>
      <c r="AD122" s="142" t="n"/>
      <c r="AE122" s="142" t="n"/>
      <c r="AF122" s="142" t="n"/>
    </row>
    <row r="123">
      <c r="A123" s="22" t="n"/>
      <c r="B123" s="22" t="n"/>
      <c r="C123" s="22" t="n"/>
      <c r="D123" s="108" t="n"/>
      <c r="E123" s="108" t="n"/>
      <c r="F123" s="108" t="n"/>
      <c r="G123" s="108" t="n"/>
      <c r="H123" s="108" t="n"/>
      <c r="I123" s="108" t="n"/>
      <c r="J123" s="108" t="n"/>
      <c r="K123" s="108" t="n"/>
      <c r="M123" s="108" t="n"/>
      <c r="N123" s="108" t="n"/>
      <c r="O123" s="108" t="n"/>
      <c r="P123" s="108" t="n"/>
      <c r="Q123" s="108" t="n"/>
      <c r="R123" s="108" t="n"/>
      <c r="S123" s="108" t="n"/>
      <c r="T123" s="108" t="n"/>
      <c r="U123" s="108" t="n"/>
      <c r="V123" s="108" t="n"/>
      <c r="W123" s="108" t="n"/>
      <c r="X123" s="108" t="n"/>
      <c r="Y123" s="108" t="n"/>
      <c r="Z123" s="108" t="n"/>
      <c r="AA123" s="108" t="n"/>
      <c r="AB123" s="108" t="n"/>
      <c r="AC123" s="108" t="n"/>
      <c r="AD123" s="108" t="n"/>
      <c r="AE123" s="108" t="n"/>
      <c r="AF123" s="108" t="n"/>
    </row>
    <row r="124">
      <c r="A124" s="74" t="n"/>
      <c r="B124" s="74" t="n"/>
      <c r="C124" s="74" t="n"/>
      <c r="D124" s="145" t="n"/>
      <c r="E124" s="145" t="n"/>
      <c r="F124" s="145" t="n"/>
      <c r="G124" s="145" t="n"/>
      <c r="H124" s="145" t="n"/>
      <c r="I124" s="145" t="n"/>
      <c r="J124" s="145" t="n"/>
      <c r="K124" s="145" t="n"/>
      <c r="M124" s="145" t="n"/>
      <c r="N124" s="145" t="n"/>
      <c r="O124" s="145" t="n"/>
      <c r="P124" s="145" t="n"/>
      <c r="Q124" s="145" t="n"/>
      <c r="R124" s="145" t="n"/>
      <c r="S124" s="145" t="n"/>
      <c r="T124" s="145" t="n"/>
      <c r="U124" s="145" t="n"/>
      <c r="V124" s="145" t="n"/>
      <c r="W124" s="145" t="n"/>
      <c r="X124" s="145" t="n"/>
      <c r="Y124" s="145" t="n"/>
      <c r="Z124" s="145" t="n"/>
      <c r="AA124" s="145" t="n"/>
      <c r="AB124" s="145" t="n"/>
      <c r="AC124" s="145" t="n"/>
      <c r="AD124" s="145" t="n"/>
      <c r="AE124" s="145" t="n"/>
      <c r="AF124" s="145" t="n"/>
    </row>
    <row r="125">
      <c r="A125" s="74" t="n"/>
      <c r="B125" s="74" t="n"/>
      <c r="C125" s="74" t="n"/>
      <c r="D125" s="145" t="n"/>
      <c r="E125" s="145" t="n"/>
      <c r="F125" s="145" t="n"/>
      <c r="G125" s="145" t="n"/>
      <c r="H125" s="145" t="n"/>
      <c r="I125" s="145" t="n"/>
      <c r="J125" s="145" t="n"/>
      <c r="K125" s="145" t="n"/>
      <c r="M125" s="145" t="n"/>
      <c r="N125" s="145" t="n"/>
      <c r="O125" s="145" t="n"/>
      <c r="P125" s="145" t="n"/>
      <c r="Q125" s="145" t="n"/>
      <c r="R125" s="145" t="n"/>
      <c r="S125" s="145" t="n"/>
      <c r="T125" s="145" t="n"/>
      <c r="U125" s="145" t="n"/>
      <c r="V125" s="145" t="n"/>
      <c r="W125" s="145" t="n"/>
      <c r="X125" s="145" t="n"/>
      <c r="Y125" s="145" t="n"/>
      <c r="Z125" s="145" t="n"/>
      <c r="AA125" s="145" t="n"/>
      <c r="AB125" s="145" t="n"/>
      <c r="AC125" s="145" t="n"/>
      <c r="AD125" s="145" t="n"/>
      <c r="AE125" s="145" t="n"/>
      <c r="AF125" s="145" t="n"/>
    </row>
    <row r="126">
      <c r="A126" s="74" t="n"/>
      <c r="B126" s="74" t="n"/>
      <c r="C126" s="74" t="n"/>
      <c r="D126" s="145" t="n"/>
      <c r="E126" s="145" t="n"/>
      <c r="F126" s="145" t="n"/>
      <c r="G126" s="145" t="n"/>
      <c r="H126" s="145" t="n"/>
      <c r="I126" s="145" t="n"/>
      <c r="J126" s="145" t="n"/>
      <c r="K126" s="145" t="n"/>
      <c r="M126" s="145" t="n"/>
      <c r="N126" s="145" t="n"/>
      <c r="O126" s="145" t="n"/>
      <c r="P126" s="145" t="n"/>
      <c r="Q126" s="145" t="n"/>
      <c r="R126" s="145" t="n"/>
      <c r="S126" s="145" t="n"/>
      <c r="T126" s="145" t="n"/>
      <c r="U126" s="145" t="n"/>
      <c r="V126" s="145" t="n"/>
      <c r="W126" s="145" t="n"/>
      <c r="X126" s="145" t="n"/>
      <c r="Y126" s="145" t="n"/>
      <c r="Z126" s="145" t="n"/>
      <c r="AA126" s="145" t="n"/>
      <c r="AB126" s="145" t="n"/>
      <c r="AC126" s="145" t="n"/>
      <c r="AD126" s="145" t="n"/>
      <c r="AE126" s="145" t="n"/>
      <c r="AF126" s="145" t="n"/>
    </row>
    <row r="127">
      <c r="A127" s="74" t="n"/>
      <c r="B127" s="74" t="n"/>
      <c r="C127" s="74" t="n"/>
      <c r="D127" s="145" t="n"/>
      <c r="E127" s="145" t="n"/>
      <c r="F127" s="145" t="n"/>
      <c r="G127" s="145" t="n"/>
      <c r="H127" s="145" t="n"/>
      <c r="I127" s="145" t="n"/>
      <c r="J127" s="145" t="n"/>
      <c r="K127" s="145" t="n"/>
      <c r="M127" s="145" t="n"/>
      <c r="N127" s="145" t="n"/>
      <c r="O127" s="145" t="n"/>
      <c r="P127" s="145" t="n"/>
      <c r="Q127" s="145" t="n"/>
      <c r="R127" s="145" t="n"/>
      <c r="S127" s="145" t="n"/>
      <c r="T127" s="145" t="n"/>
      <c r="U127" s="145" t="n"/>
      <c r="V127" s="145" t="n"/>
      <c r="W127" s="145" t="n"/>
      <c r="X127" s="145" t="n"/>
      <c r="Y127" s="145" t="n"/>
      <c r="Z127" s="145" t="n"/>
      <c r="AA127" s="145" t="n"/>
      <c r="AB127" s="145" t="n"/>
      <c r="AC127" s="145" t="n"/>
      <c r="AD127" s="145" t="n"/>
      <c r="AE127" s="145" t="n"/>
      <c r="AF127" s="145" t="n"/>
    </row>
    <row r="128">
      <c r="A128" s="74" t="n"/>
      <c r="B128" s="74" t="n"/>
      <c r="C128" s="74" t="n"/>
      <c r="D128" s="145" t="n"/>
      <c r="E128" s="145" t="n"/>
      <c r="F128" s="145" t="n"/>
      <c r="G128" s="145" t="n"/>
      <c r="H128" s="145" t="n"/>
      <c r="I128" s="145" t="n"/>
      <c r="J128" s="145" t="n"/>
      <c r="K128" s="145" t="n"/>
      <c r="M128" s="145" t="n"/>
      <c r="N128" s="145" t="n"/>
      <c r="O128" s="145" t="n"/>
      <c r="P128" s="145" t="n"/>
      <c r="Q128" s="145" t="n"/>
      <c r="R128" s="145" t="n"/>
      <c r="S128" s="145" t="n"/>
      <c r="T128" s="145" t="n"/>
      <c r="U128" s="145" t="n"/>
      <c r="V128" s="145" t="n"/>
      <c r="W128" s="145" t="n"/>
      <c r="X128" s="145" t="n"/>
      <c r="Y128" s="145" t="n"/>
      <c r="Z128" s="145" t="n"/>
      <c r="AA128" s="145" t="n"/>
      <c r="AB128" s="145" t="n"/>
      <c r="AC128" s="145" t="n"/>
      <c r="AD128" s="145" t="n"/>
      <c r="AE128" s="145" t="n"/>
      <c r="AF128" s="145" t="n"/>
    </row>
    <row r="129">
      <c r="A129" s="74" t="n"/>
      <c r="B129" s="74" t="n"/>
      <c r="C129" s="74" t="n"/>
      <c r="D129" s="145" t="n"/>
      <c r="E129" s="145" t="n"/>
      <c r="F129" s="145" t="n"/>
      <c r="G129" s="145" t="n"/>
      <c r="H129" s="145" t="n"/>
      <c r="I129" s="145" t="n"/>
      <c r="J129" s="145" t="n"/>
      <c r="K129" s="145" t="n"/>
      <c r="M129" s="145" t="n"/>
      <c r="N129" s="145" t="n"/>
      <c r="O129" s="145" t="n"/>
      <c r="P129" s="145" t="n"/>
      <c r="Q129" s="145" t="n"/>
      <c r="R129" s="145" t="n"/>
      <c r="S129" s="145" t="n"/>
      <c r="T129" s="145" t="n"/>
      <c r="U129" s="145" t="n"/>
      <c r="V129" s="145" t="n"/>
      <c r="W129" s="145" t="n"/>
      <c r="X129" s="145" t="n"/>
      <c r="Y129" s="145" t="n"/>
      <c r="Z129" s="145" t="n"/>
      <c r="AA129" s="145" t="n"/>
      <c r="AB129" s="145" t="n"/>
      <c r="AC129" s="145" t="n"/>
      <c r="AD129" s="145" t="n"/>
      <c r="AE129" s="145" t="n"/>
      <c r="AF129" s="145" t="n"/>
    </row>
    <row r="130">
      <c r="A130" s="74" t="n"/>
      <c r="B130" s="74" t="n"/>
      <c r="C130" s="74" t="n"/>
      <c r="D130" s="145" t="n"/>
      <c r="E130" s="145" t="n"/>
      <c r="F130" s="145" t="n"/>
      <c r="G130" s="145" t="n"/>
      <c r="H130" s="145" t="n"/>
      <c r="I130" s="145" t="n"/>
      <c r="J130" s="145" t="n"/>
      <c r="K130" s="145" t="n"/>
      <c r="M130" s="145" t="n"/>
      <c r="N130" s="145" t="n"/>
      <c r="O130" s="145" t="n"/>
      <c r="P130" s="145" t="n"/>
      <c r="Q130" s="145" t="n"/>
      <c r="R130" s="145" t="n"/>
      <c r="S130" s="145" t="n"/>
      <c r="T130" s="145" t="n"/>
      <c r="U130" s="145" t="n"/>
      <c r="V130" s="145" t="n"/>
      <c r="W130" s="145" t="n"/>
      <c r="X130" s="145" t="n"/>
      <c r="Y130" s="145" t="n"/>
      <c r="Z130" s="145" t="n"/>
      <c r="AA130" s="145" t="n"/>
      <c r="AB130" s="145" t="n"/>
      <c r="AC130" s="145" t="n"/>
      <c r="AD130" s="145" t="n"/>
      <c r="AE130" s="145" t="n"/>
      <c r="AF130" s="145" t="n"/>
    </row>
    <row r="131">
      <c r="A131" s="74" t="n"/>
      <c r="B131" s="74" t="n"/>
      <c r="C131" s="74" t="n"/>
      <c r="D131" s="145" t="n"/>
      <c r="E131" s="145" t="n"/>
      <c r="F131" s="145" t="n"/>
      <c r="G131" s="145" t="n"/>
      <c r="H131" s="145" t="n"/>
      <c r="I131" s="145" t="n"/>
      <c r="J131" s="145" t="n"/>
      <c r="K131" s="145" t="n"/>
      <c r="M131" s="145" t="n"/>
      <c r="N131" s="145" t="n"/>
      <c r="O131" s="145" t="n"/>
      <c r="P131" s="145" t="n"/>
      <c r="Q131" s="145" t="n"/>
      <c r="R131" s="145" t="n"/>
      <c r="S131" s="145" t="n"/>
      <c r="T131" s="145" t="n"/>
      <c r="U131" s="145" t="n"/>
      <c r="V131" s="145" t="n"/>
      <c r="W131" s="145" t="n"/>
      <c r="X131" s="145" t="n"/>
      <c r="Y131" s="145" t="n"/>
      <c r="Z131" s="145" t="n"/>
      <c r="AA131" s="145" t="n"/>
      <c r="AB131" s="145" t="n"/>
      <c r="AC131" s="145" t="n"/>
      <c r="AD131" s="145" t="n"/>
      <c r="AE131" s="145" t="n"/>
      <c r="AF131" s="145" t="n"/>
    </row>
    <row r="132">
      <c r="A132" s="74" t="n"/>
      <c r="B132" s="74" t="n"/>
      <c r="C132" s="74" t="n"/>
      <c r="D132" s="145" t="n"/>
      <c r="E132" s="145" t="n"/>
      <c r="F132" s="145" t="n"/>
      <c r="G132" s="145" t="n"/>
      <c r="H132" s="145" t="n"/>
      <c r="I132" s="145" t="n"/>
      <c r="J132" s="145" t="n"/>
      <c r="K132" s="145" t="n"/>
      <c r="M132" s="145" t="n"/>
      <c r="N132" s="145" t="n"/>
      <c r="O132" s="145" t="n"/>
      <c r="P132" s="145" t="n"/>
      <c r="Q132" s="145" t="n"/>
      <c r="R132" s="145" t="n"/>
      <c r="S132" s="145" t="n"/>
      <c r="T132" s="145" t="n"/>
      <c r="U132" s="145" t="n"/>
      <c r="V132" s="145" t="n"/>
      <c r="W132" s="145" t="n"/>
      <c r="X132" s="145" t="n"/>
      <c r="Y132" s="145" t="n"/>
      <c r="Z132" s="145" t="n"/>
      <c r="AA132" s="145" t="n"/>
      <c r="AB132" s="145" t="n"/>
      <c r="AC132" s="145" t="n"/>
      <c r="AD132" s="145" t="n"/>
      <c r="AE132" s="145" t="n"/>
      <c r="AF132" s="145" t="n"/>
    </row>
    <row r="133">
      <c r="A133" s="74" t="n"/>
      <c r="B133" s="74" t="n"/>
      <c r="C133" s="74" t="n"/>
      <c r="D133" s="145" t="n"/>
      <c r="E133" s="145" t="n"/>
      <c r="F133" s="145" t="n"/>
      <c r="G133" s="145" t="n"/>
      <c r="H133" s="145" t="n"/>
      <c r="I133" s="145" t="n"/>
      <c r="J133" s="145" t="n"/>
      <c r="K133" s="145" t="n"/>
      <c r="M133" s="145" t="n"/>
      <c r="N133" s="145" t="n"/>
      <c r="O133" s="145" t="n"/>
      <c r="P133" s="145" t="n"/>
      <c r="Q133" s="145" t="n"/>
      <c r="R133" s="145" t="n"/>
      <c r="S133" s="145" t="n"/>
      <c r="T133" s="145" t="n"/>
      <c r="U133" s="145" t="n"/>
      <c r="V133" s="145" t="n"/>
      <c r="W133" s="145" t="n"/>
      <c r="X133" s="145" t="n"/>
      <c r="Y133" s="145" t="n"/>
      <c r="Z133" s="145" t="n"/>
      <c r="AA133" s="145" t="n"/>
      <c r="AB133" s="145" t="n"/>
      <c r="AC133" s="145" t="n"/>
      <c r="AD133" s="145" t="n"/>
      <c r="AE133" s="145" t="n"/>
      <c r="AF133" s="145" t="n"/>
    </row>
    <row r="134">
      <c r="A134" s="74" t="n"/>
      <c r="B134" s="74" t="n"/>
      <c r="C134" s="74" t="n"/>
      <c r="D134" s="145" t="n"/>
      <c r="E134" s="145" t="n"/>
      <c r="F134" s="145" t="n"/>
      <c r="G134" s="145" t="n"/>
      <c r="H134" s="145" t="n"/>
      <c r="I134" s="145" t="n"/>
      <c r="J134" s="145" t="n"/>
      <c r="K134" s="145" t="n"/>
      <c r="M134" s="145" t="n"/>
      <c r="N134" s="145" t="n"/>
      <c r="O134" s="145" t="n"/>
      <c r="P134" s="145" t="n"/>
      <c r="Q134" s="145" t="n"/>
      <c r="R134" s="145" t="n"/>
      <c r="S134" s="145" t="n"/>
      <c r="T134" s="145" t="n"/>
      <c r="U134" s="145" t="n"/>
      <c r="V134" s="145" t="n"/>
      <c r="W134" s="145" t="n"/>
      <c r="X134" s="145" t="n"/>
      <c r="Y134" s="145" t="n"/>
      <c r="Z134" s="145" t="n"/>
      <c r="AA134" s="145" t="n"/>
      <c r="AB134" s="145" t="n"/>
      <c r="AC134" s="145" t="n"/>
      <c r="AD134" s="145" t="n"/>
      <c r="AE134" s="145" t="n"/>
      <c r="AF134" s="145" t="n"/>
    </row>
    <row r="135">
      <c r="A135" s="74" t="n"/>
      <c r="B135" s="74" t="n"/>
      <c r="C135" s="74" t="n"/>
      <c r="D135" s="145" t="n"/>
      <c r="E135" s="145" t="n"/>
      <c r="F135" s="145" t="n"/>
      <c r="G135" s="145" t="n"/>
      <c r="H135" s="145" t="n"/>
      <c r="I135" s="145" t="n"/>
      <c r="J135" s="145" t="n"/>
      <c r="K135" s="145" t="n"/>
      <c r="M135" s="145" t="n"/>
      <c r="N135" s="145" t="n"/>
      <c r="O135" s="145" t="n"/>
      <c r="P135" s="145" t="n"/>
      <c r="Q135" s="145" t="n"/>
      <c r="R135" s="145" t="n"/>
      <c r="S135" s="145" t="n"/>
      <c r="T135" s="145" t="n"/>
      <c r="U135" s="145" t="n"/>
      <c r="V135" s="145" t="n"/>
      <c r="W135" s="145" t="n"/>
      <c r="X135" s="145" t="n"/>
      <c r="Y135" s="145" t="n"/>
      <c r="Z135" s="145" t="n"/>
      <c r="AA135" s="145" t="n"/>
      <c r="AB135" s="145" t="n"/>
      <c r="AC135" s="145" t="n"/>
      <c r="AD135" s="145" t="n"/>
      <c r="AE135" s="145" t="n"/>
      <c r="AF135" s="145" t="n"/>
    </row>
    <row r="136">
      <c r="A136" s="74" t="n"/>
      <c r="B136" s="74" t="n"/>
      <c r="C136" s="74" t="n"/>
      <c r="D136" s="145" t="n"/>
      <c r="E136" s="145" t="n"/>
      <c r="F136" s="145" t="n"/>
      <c r="G136" s="145" t="n"/>
      <c r="H136" s="145" t="n"/>
      <c r="I136" s="145" t="n"/>
      <c r="J136" s="108" t="n"/>
      <c r="K136" s="145" t="n"/>
      <c r="M136" s="145" t="n"/>
      <c r="N136" s="145" t="n"/>
      <c r="O136" s="145" t="n"/>
      <c r="P136" s="145" t="n"/>
      <c r="Q136" s="145" t="n"/>
      <c r="R136" s="145" t="n"/>
      <c r="S136" s="145" t="n"/>
      <c r="T136" s="145" t="n"/>
      <c r="U136" s="145" t="n"/>
      <c r="V136" s="145" t="n"/>
      <c r="W136" s="145" t="n"/>
      <c r="X136" s="145" t="n"/>
      <c r="Y136" s="145" t="n"/>
      <c r="Z136" s="145" t="n"/>
      <c r="AA136" s="145" t="n"/>
      <c r="AB136" s="145" t="n"/>
      <c r="AC136" s="145" t="n"/>
      <c r="AD136" s="145" t="n"/>
      <c r="AE136" s="145" t="n"/>
      <c r="AF136" s="145" t="n"/>
    </row>
    <row r="137" customFormat="1" s="22">
      <c r="A137" s="40" t="n"/>
      <c r="B137" s="40" t="n"/>
      <c r="C137" s="40" t="n"/>
      <c r="D137" s="128" t="n"/>
      <c r="E137" s="128" t="n"/>
      <c r="F137" s="128" t="n"/>
      <c r="G137" s="128" t="n"/>
      <c r="H137" s="128" t="n"/>
      <c r="I137" s="128" t="n"/>
      <c r="J137" s="128" t="n"/>
      <c r="K137" s="128" t="n"/>
      <c r="M137" s="128" t="n"/>
      <c r="N137" s="128" t="n"/>
      <c r="O137" s="128" t="n"/>
      <c r="P137" s="128" t="n"/>
      <c r="Q137" s="128" t="n"/>
      <c r="R137" s="128" t="n"/>
      <c r="S137" s="128" t="n"/>
      <c r="T137" s="128" t="n"/>
      <c r="U137" s="128" t="n"/>
      <c r="V137" s="128" t="n"/>
      <c r="W137" s="128" t="n"/>
      <c r="X137" s="128" t="n"/>
      <c r="Y137" s="128" t="n"/>
      <c r="Z137" s="128" t="n"/>
      <c r="AA137" s="128" t="n"/>
      <c r="AB137" s="128" t="n"/>
      <c r="AC137" s="128" t="n"/>
      <c r="AD137" s="128" t="n"/>
      <c r="AE137" s="128" t="n"/>
      <c r="AF137" s="128" t="n"/>
    </row>
    <row r="138">
      <c r="D138" s="108" t="n"/>
      <c r="E138" s="108" t="n"/>
      <c r="F138" s="108" t="n"/>
      <c r="G138" s="108" t="n"/>
      <c r="H138" s="108" t="n"/>
      <c r="I138" s="108" t="n"/>
      <c r="J138" s="108" t="n"/>
      <c r="K138" s="108" t="n"/>
      <c r="M138" s="108" t="n"/>
      <c r="N138" s="108" t="n"/>
      <c r="O138" s="108" t="n"/>
      <c r="P138" s="108" t="n"/>
      <c r="Q138" s="108" t="n"/>
      <c r="R138" s="108" t="n"/>
      <c r="S138" s="108" t="n"/>
      <c r="T138" s="108" t="n"/>
      <c r="U138" s="108" t="n"/>
      <c r="V138" s="108" t="n"/>
      <c r="W138" s="108" t="n"/>
      <c r="X138" s="108" t="n"/>
      <c r="Y138" s="108" t="n"/>
      <c r="Z138" s="108" t="n"/>
      <c r="AA138" s="108" t="n"/>
      <c r="AB138" s="108" t="n"/>
      <c r="AC138" s="108" t="n"/>
      <c r="AD138" s="108" t="n"/>
      <c r="AE138" s="108" t="n"/>
      <c r="AF138" s="108" t="n"/>
    </row>
    <row r="139">
      <c r="A139" s="22" t="n"/>
      <c r="B139" s="22" t="n"/>
      <c r="C139" s="22" t="n"/>
      <c r="D139" s="142" t="n"/>
      <c r="E139" s="142" t="n"/>
      <c r="F139" s="142" t="n"/>
      <c r="G139" s="142" t="n"/>
      <c r="H139" s="142" t="n"/>
      <c r="I139" s="142" t="n"/>
      <c r="J139" s="142" t="n"/>
      <c r="K139" s="142" t="n"/>
      <c r="M139" s="142" t="n"/>
      <c r="N139" s="142" t="n"/>
      <c r="O139" s="142" t="n"/>
      <c r="P139" s="142" t="n"/>
      <c r="Q139" s="142" t="n"/>
      <c r="R139" s="142" t="n"/>
      <c r="S139" s="142" t="n"/>
      <c r="T139" s="142" t="n"/>
      <c r="U139" s="142" t="n"/>
      <c r="V139" s="142" t="n"/>
      <c r="W139" s="142" t="n"/>
      <c r="X139" s="142" t="n"/>
      <c r="Y139" s="142" t="n"/>
      <c r="Z139" s="142" t="n"/>
      <c r="AA139" s="142" t="n"/>
      <c r="AB139" s="142" t="n"/>
      <c r="AC139" s="142" t="n"/>
      <c r="AD139" s="142" t="n"/>
      <c r="AE139" s="142" t="n"/>
      <c r="AF139" s="142" t="n"/>
    </row>
    <row r="140">
      <c r="A140" s="74" t="n"/>
      <c r="B140" s="74" t="n"/>
      <c r="C140" s="74" t="n"/>
      <c r="D140" s="145" t="n"/>
      <c r="E140" s="145" t="n"/>
      <c r="F140" s="145" t="n"/>
      <c r="G140" s="145" t="n"/>
      <c r="H140" s="145" t="n"/>
      <c r="I140" s="145" t="n"/>
      <c r="J140" s="145" t="n"/>
      <c r="K140" s="145" t="n"/>
      <c r="M140" s="145" t="n"/>
      <c r="N140" s="145" t="n"/>
      <c r="O140" s="145" t="n"/>
      <c r="P140" s="145" t="n"/>
      <c r="Q140" s="145" t="n"/>
      <c r="R140" s="145" t="n"/>
      <c r="S140" s="145" t="n"/>
      <c r="T140" s="145" t="n"/>
      <c r="U140" s="145" t="n"/>
      <c r="V140" s="145" t="n"/>
      <c r="W140" s="145" t="n"/>
      <c r="X140" s="145" t="n"/>
      <c r="Y140" s="145" t="n"/>
      <c r="Z140" s="145" t="n"/>
      <c r="AA140" s="145" t="n"/>
      <c r="AB140" s="145" t="n"/>
      <c r="AC140" s="145" t="n"/>
      <c r="AD140" s="145" t="n"/>
      <c r="AE140" s="145" t="n"/>
      <c r="AF140" s="145" t="n"/>
    </row>
    <row r="141">
      <c r="A141" s="74" t="n"/>
      <c r="B141" s="74" t="n"/>
      <c r="C141" s="74" t="n"/>
      <c r="D141" s="143" t="n"/>
      <c r="E141" s="145" t="n"/>
      <c r="F141" s="143" t="n"/>
      <c r="G141" s="143" t="n"/>
      <c r="H141" s="143" t="n"/>
      <c r="I141" s="145" t="n"/>
      <c r="J141" s="145" t="n"/>
      <c r="K141" s="145" t="n"/>
      <c r="M141" s="145" t="n"/>
      <c r="N141" s="145" t="n"/>
      <c r="O141" s="145" t="n"/>
      <c r="P141" s="145" t="n"/>
      <c r="Q141" s="145" t="n"/>
      <c r="R141" s="145" t="n"/>
      <c r="S141" s="145" t="n"/>
      <c r="T141" s="145" t="n"/>
      <c r="U141" s="145" t="n"/>
      <c r="V141" s="145" t="n"/>
      <c r="W141" s="145" t="n"/>
      <c r="X141" s="145" t="n"/>
      <c r="Y141" s="145" t="n"/>
      <c r="Z141" s="145" t="n"/>
      <c r="AA141" s="145" t="n"/>
      <c r="AB141" s="145" t="n"/>
      <c r="AC141" s="145" t="n"/>
      <c r="AD141" s="145" t="n"/>
      <c r="AE141" s="145" t="n"/>
      <c r="AF141" s="145" t="n"/>
    </row>
    <row r="142">
      <c r="A142" s="74" t="n"/>
      <c r="B142" s="74" t="n"/>
      <c r="C142" s="74" t="n"/>
      <c r="D142" s="145" t="n"/>
      <c r="E142" s="145" t="n"/>
      <c r="F142" s="145" t="n"/>
      <c r="G142" s="145" t="n"/>
      <c r="H142" s="145" t="n"/>
      <c r="I142" s="145" t="n"/>
      <c r="J142" s="145" t="n"/>
      <c r="K142" s="145" t="n"/>
      <c r="M142" s="145" t="n"/>
      <c r="N142" s="145" t="n"/>
      <c r="O142" s="145" t="n"/>
      <c r="P142" s="145" t="n"/>
      <c r="Q142" s="145" t="n"/>
      <c r="R142" s="145" t="n"/>
      <c r="S142" s="145" t="n"/>
      <c r="T142" s="145" t="n"/>
      <c r="U142" s="145" t="n"/>
      <c r="V142" s="145" t="n"/>
      <c r="W142" s="145" t="n"/>
      <c r="X142" s="145" t="n"/>
      <c r="Y142" s="145" t="n"/>
      <c r="Z142" s="145" t="n"/>
      <c r="AA142" s="145" t="n"/>
      <c r="AB142" s="145" t="n"/>
      <c r="AC142" s="145" t="n"/>
      <c r="AD142" s="145" t="n"/>
      <c r="AE142" s="145" t="n"/>
      <c r="AF142" s="145" t="n"/>
    </row>
    <row r="143">
      <c r="A143" s="74" t="n"/>
      <c r="B143" s="74" t="n"/>
      <c r="C143" s="74" t="n"/>
      <c r="D143" s="145" t="n"/>
      <c r="E143" s="145" t="n"/>
      <c r="F143" s="145" t="n"/>
      <c r="G143" s="145" t="n"/>
      <c r="H143" s="145" t="n"/>
      <c r="I143" s="145" t="n"/>
      <c r="J143" s="145" t="n"/>
      <c r="K143" s="145" t="n"/>
      <c r="M143" s="145" t="n"/>
      <c r="N143" s="145" t="n"/>
      <c r="O143" s="145" t="n"/>
      <c r="P143" s="145" t="n"/>
      <c r="Q143" s="145" t="n"/>
      <c r="R143" s="145" t="n"/>
      <c r="S143" s="145" t="n"/>
      <c r="T143" s="145" t="n"/>
      <c r="U143" s="145" t="n"/>
      <c r="V143" s="145" t="n"/>
      <c r="W143" s="145" t="n"/>
      <c r="X143" s="145" t="n"/>
      <c r="Y143" s="145" t="n"/>
      <c r="Z143" s="145" t="n"/>
      <c r="AA143" s="145" t="n"/>
      <c r="AB143" s="145" t="n"/>
      <c r="AC143" s="145" t="n"/>
      <c r="AD143" s="145" t="n"/>
      <c r="AE143" s="145" t="n"/>
      <c r="AF143" s="145" t="n"/>
    </row>
    <row r="144">
      <c r="A144" s="74" t="n"/>
      <c r="B144" s="74" t="n"/>
      <c r="C144" s="74" t="n"/>
      <c r="D144" s="145" t="n"/>
      <c r="E144" s="145" t="n"/>
      <c r="F144" s="145" t="n"/>
      <c r="G144" s="145" t="n"/>
      <c r="H144" s="145" t="n"/>
      <c r="I144" s="145" t="n"/>
      <c r="J144" s="145" t="n"/>
      <c r="K144" s="145" t="n"/>
      <c r="M144" s="145" t="n"/>
      <c r="N144" s="145" t="n"/>
      <c r="O144" s="145" t="n"/>
      <c r="P144" s="145" t="n"/>
      <c r="Q144" s="145" t="n"/>
      <c r="R144" s="145" t="n"/>
      <c r="S144" s="145" t="n"/>
      <c r="T144" s="145" t="n"/>
      <c r="U144" s="145" t="n"/>
      <c r="V144" s="145" t="n"/>
      <c r="W144" s="145" t="n"/>
      <c r="X144" s="145" t="n"/>
      <c r="Y144" s="145" t="n"/>
      <c r="Z144" s="145" t="n"/>
      <c r="AA144" s="145" t="n"/>
      <c r="AB144" s="145" t="n"/>
      <c r="AC144" s="145" t="n"/>
      <c r="AD144" s="145" t="n"/>
      <c r="AE144" s="145" t="n"/>
      <c r="AF144" s="145" t="n"/>
    </row>
    <row r="145">
      <c r="A145" s="74" t="n"/>
      <c r="B145" s="74" t="n"/>
      <c r="C145" s="74" t="n"/>
      <c r="D145" s="143" t="n"/>
      <c r="E145" s="145" t="n"/>
      <c r="F145" s="143" t="n"/>
      <c r="G145" s="145" t="n"/>
      <c r="H145" s="145" t="n"/>
      <c r="I145" s="145" t="n"/>
      <c r="J145" s="145" t="n"/>
      <c r="K145" s="145" t="n"/>
      <c r="M145" s="145" t="n"/>
      <c r="N145" s="145" t="n"/>
      <c r="O145" s="145" t="n"/>
      <c r="P145" s="145" t="n"/>
      <c r="Q145" s="145" t="n"/>
      <c r="R145" s="145" t="n"/>
      <c r="S145" s="145" t="n"/>
      <c r="T145" s="145" t="n"/>
      <c r="U145" s="145" t="n"/>
      <c r="V145" s="145" t="n"/>
      <c r="W145" s="145" t="n"/>
      <c r="X145" s="145" t="n"/>
      <c r="Y145" s="145" t="n"/>
      <c r="Z145" s="145" t="n"/>
      <c r="AA145" s="145" t="n"/>
      <c r="AB145" s="145" t="n"/>
      <c r="AC145" s="145" t="n"/>
      <c r="AD145" s="145" t="n"/>
      <c r="AE145" s="145" t="n"/>
      <c r="AF145" s="145" t="n"/>
    </row>
    <row r="146">
      <c r="A146" s="74" t="n"/>
      <c r="B146" s="74" t="n"/>
      <c r="C146" s="74" t="n"/>
      <c r="D146" s="145" t="n"/>
      <c r="E146" s="145" t="n"/>
      <c r="F146" s="145" t="n"/>
      <c r="G146" s="145" t="n"/>
      <c r="H146" s="145" t="n"/>
      <c r="I146" s="145" t="n"/>
      <c r="J146" s="145" t="n"/>
      <c r="K146" s="145" t="n"/>
      <c r="M146" s="145" t="n"/>
      <c r="N146" s="145" t="n"/>
      <c r="O146" s="145" t="n"/>
      <c r="P146" s="145" t="n"/>
      <c r="Q146" s="145" t="n"/>
      <c r="R146" s="145" t="n"/>
      <c r="S146" s="145" t="n"/>
      <c r="T146" s="145" t="n"/>
      <c r="U146" s="145" t="n"/>
      <c r="V146" s="145" t="n"/>
      <c r="W146" s="145" t="n"/>
      <c r="X146" s="145" t="n"/>
      <c r="Y146" s="145" t="n"/>
      <c r="Z146" s="145" t="n"/>
      <c r="AA146" s="145" t="n"/>
      <c r="AB146" s="145" t="n"/>
      <c r="AC146" s="145" t="n"/>
      <c r="AD146" s="145" t="n"/>
      <c r="AE146" s="145" t="n"/>
      <c r="AF146" s="145" t="n"/>
    </row>
    <row r="147">
      <c r="A147" s="74" t="n"/>
      <c r="B147" s="74" t="n"/>
      <c r="C147" s="74" t="n"/>
      <c r="D147" s="145" t="n"/>
      <c r="E147" s="145" t="n"/>
      <c r="F147" s="145" t="n"/>
      <c r="G147" s="145" t="n"/>
      <c r="H147" s="145" t="n"/>
      <c r="I147" s="145" t="n"/>
      <c r="J147" s="145" t="n"/>
      <c r="K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row>
    <row r="148">
      <c r="A148" s="74" t="n"/>
      <c r="B148" s="74" t="n"/>
      <c r="C148" s="74" t="n"/>
      <c r="D148" s="145" t="n"/>
      <c r="E148" s="145" t="n"/>
      <c r="F148" s="145" t="n"/>
      <c r="G148" s="145" t="n"/>
      <c r="H148" s="145" t="n"/>
      <c r="I148" s="145" t="n"/>
      <c r="J148" s="145" t="n"/>
      <c r="K148" s="145" t="n"/>
      <c r="M148" s="145" t="n"/>
      <c r="N148" s="145" t="n"/>
      <c r="O148" s="145" t="n"/>
      <c r="P148" s="145" t="n"/>
      <c r="Q148" s="145" t="n"/>
      <c r="R148" s="145" t="n"/>
      <c r="S148" s="145" t="n"/>
      <c r="T148" s="145" t="n"/>
      <c r="U148" s="145" t="n"/>
      <c r="V148" s="145" t="n"/>
      <c r="W148" s="145" t="n"/>
      <c r="X148" s="145" t="n"/>
      <c r="Y148" s="145" t="n"/>
      <c r="Z148" s="145" t="n"/>
      <c r="AA148" s="145" t="n"/>
      <c r="AB148" s="145" t="n"/>
      <c r="AC148" s="145" t="n"/>
      <c r="AD148" s="145" t="n"/>
      <c r="AE148" s="145" t="n"/>
      <c r="AF148" s="145" t="n"/>
    </row>
    <row r="149">
      <c r="A149" s="74" t="n"/>
      <c r="B149" s="74" t="n"/>
      <c r="C149" s="74" t="n"/>
      <c r="D149" s="143" t="n"/>
      <c r="E149" s="143" t="n"/>
      <c r="F149" s="143" t="n"/>
      <c r="G149" s="143" t="n"/>
      <c r="H149" s="143" t="n"/>
      <c r="I149" s="143" t="n"/>
      <c r="J149" s="143" t="n"/>
      <c r="K149" s="143" t="n"/>
      <c r="M149" s="145" t="n"/>
      <c r="N149" s="145" t="n"/>
      <c r="O149" s="145" t="n"/>
      <c r="P149" s="145" t="n"/>
      <c r="Q149" s="145" t="n"/>
      <c r="R149" s="145" t="n"/>
      <c r="S149" s="145" t="n"/>
      <c r="T149" s="145" t="n"/>
      <c r="U149" s="145" t="n"/>
      <c r="V149" s="145" t="n"/>
      <c r="W149" s="145" t="n"/>
      <c r="X149" s="145" t="n"/>
      <c r="Y149" s="145" t="n"/>
      <c r="Z149" s="145" t="n"/>
      <c r="AA149" s="145" t="n"/>
      <c r="AB149" s="145" t="n"/>
      <c r="AC149" s="145" t="n"/>
      <c r="AD149" s="145" t="n"/>
      <c r="AE149" s="145" t="n"/>
      <c r="AF149" s="145" t="n"/>
    </row>
    <row r="150">
      <c r="A150" s="74" t="n"/>
      <c r="B150" s="74" t="n"/>
      <c r="C150" s="74" t="n"/>
      <c r="D150" s="145" t="n"/>
      <c r="E150" s="145" t="n"/>
      <c r="F150" s="145" t="n"/>
      <c r="G150" s="145" t="n"/>
      <c r="H150" s="145" t="n"/>
      <c r="I150" s="145" t="n"/>
      <c r="J150" s="145" t="n"/>
      <c r="K150" s="145" t="n"/>
      <c r="M150" s="145" t="n"/>
      <c r="N150" s="145" t="n"/>
      <c r="O150" s="145" t="n"/>
      <c r="P150" s="145" t="n"/>
      <c r="Q150" s="145" t="n"/>
      <c r="R150" s="145" t="n"/>
      <c r="S150" s="145" t="n"/>
      <c r="T150" s="145" t="n"/>
      <c r="U150" s="145" t="n"/>
      <c r="V150" s="145" t="n"/>
      <c r="W150" s="145" t="n"/>
      <c r="X150" s="145" t="n"/>
      <c r="Y150" s="145" t="n"/>
      <c r="Z150" s="145" t="n"/>
      <c r="AA150" s="145" t="n"/>
      <c r="AB150" s="145" t="n"/>
      <c r="AC150" s="145" t="n"/>
      <c r="AD150" s="145" t="n"/>
      <c r="AE150" s="145" t="n"/>
      <c r="AF150" s="145" t="n"/>
    </row>
    <row r="151">
      <c r="A151" s="74" t="n"/>
      <c r="B151" s="74" t="n"/>
      <c r="C151" s="74" t="n"/>
      <c r="D151" s="145" t="n"/>
      <c r="E151" s="145" t="n"/>
      <c r="F151" s="145" t="n"/>
      <c r="G151" s="145" t="n"/>
      <c r="H151" s="145" t="n"/>
      <c r="I151" s="145" t="n"/>
      <c r="J151" s="145" t="n"/>
      <c r="K151" s="145" t="n"/>
      <c r="M151" s="145" t="n"/>
      <c r="N151" s="145" t="n"/>
      <c r="O151" s="145" t="n"/>
      <c r="P151" s="145" t="n"/>
      <c r="Q151" s="145" t="n"/>
      <c r="R151" s="145" t="n"/>
      <c r="S151" s="145" t="n"/>
      <c r="T151" s="145" t="n"/>
      <c r="U151" s="145" t="n"/>
      <c r="V151" s="145" t="n"/>
      <c r="W151" s="145" t="n"/>
      <c r="X151" s="145" t="n"/>
      <c r="Y151" s="145" t="n"/>
      <c r="Z151" s="145" t="n"/>
      <c r="AA151" s="145" t="n"/>
      <c r="AB151" s="145" t="n"/>
      <c r="AC151" s="145" t="n"/>
      <c r="AD151" s="145" t="n"/>
      <c r="AE151" s="145" t="n"/>
      <c r="AF151" s="145" t="n"/>
    </row>
    <row r="152" customFormat="1" s="22">
      <c r="D152" s="121" t="n"/>
      <c r="E152" s="121" t="n"/>
      <c r="F152" s="121" t="n"/>
      <c r="G152" s="121" t="n"/>
      <c r="H152" s="121" t="n"/>
      <c r="I152" s="121" t="n"/>
      <c r="J152" s="121" t="n"/>
      <c r="K152" s="121" t="n"/>
      <c r="M152" s="121" t="n"/>
      <c r="N152" s="121" t="n"/>
      <c r="O152" s="121" t="n"/>
      <c r="P152" s="121" t="n"/>
      <c r="Q152" s="121" t="n"/>
      <c r="R152" s="121" t="n"/>
      <c r="S152" s="121" t="n"/>
      <c r="T152" s="121" t="n"/>
      <c r="U152" s="121" t="n"/>
      <c r="V152" s="121" t="n"/>
      <c r="W152" s="121" t="n"/>
      <c r="X152" s="121" t="n"/>
      <c r="Y152" s="121" t="n"/>
      <c r="Z152" s="121" t="n"/>
      <c r="AA152" s="121" t="n"/>
      <c r="AB152" s="121" t="n"/>
      <c r="AC152" s="121" t="n"/>
      <c r="AD152" s="121" t="n"/>
      <c r="AE152" s="121" t="n"/>
      <c r="AF152" s="121" t="n"/>
    </row>
    <row r="153">
      <c r="D153" s="76" t="n"/>
      <c r="E153" s="76" t="n"/>
      <c r="F153" s="76" t="n"/>
      <c r="G153" s="76" t="n"/>
      <c r="H153" s="76" t="n"/>
      <c r="I153" s="76" t="n"/>
      <c r="J153" s="76" t="n"/>
      <c r="K153" s="76" t="n"/>
      <c r="M153" s="76" t="n"/>
      <c r="N153" s="76" t="n"/>
      <c r="O153" s="76" t="n"/>
      <c r="P153" s="76" t="n"/>
      <c r="Q153" s="76" t="n"/>
      <c r="R153" s="76" t="n"/>
      <c r="S153" s="76" t="n"/>
      <c r="T153" s="76" t="n"/>
      <c r="U153" s="76" t="n"/>
      <c r="V153" s="76" t="n"/>
      <c r="W153" s="76" t="n"/>
      <c r="X153" s="76" t="n"/>
      <c r="Y153" s="76" t="n"/>
      <c r="Z153" s="76" t="n"/>
      <c r="AA153" s="76" t="n"/>
      <c r="AB153" s="76" t="n"/>
      <c r="AC153" s="76" t="n"/>
      <c r="AD153" s="76" t="n"/>
      <c r="AE153" s="76" t="n"/>
      <c r="AF153" s="76" t="n"/>
    </row>
    <row r="154" customFormat="1" s="22">
      <c r="D154" s="121" t="n"/>
      <c r="E154" s="121" t="n"/>
      <c r="F154" s="121" t="n"/>
      <c r="G154" s="121" t="n"/>
      <c r="H154" s="121" t="n"/>
      <c r="I154" s="121" t="n"/>
      <c r="J154" s="121" t="n"/>
      <c r="K154" s="121" t="n"/>
      <c r="M154" s="121" t="n"/>
      <c r="N154" s="121" t="n"/>
      <c r="O154" s="121" t="n"/>
      <c r="P154" s="121" t="n"/>
      <c r="Q154" s="121" t="n"/>
      <c r="R154" s="121" t="n"/>
      <c r="S154" s="121" t="n"/>
      <c r="T154" s="121" t="n"/>
      <c r="U154" s="121" t="n"/>
      <c r="V154" s="121" t="n"/>
      <c r="W154" s="121" t="n"/>
      <c r="X154" s="121" t="n"/>
      <c r="Y154" s="121" t="n"/>
      <c r="Z154" s="121" t="n"/>
      <c r="AA154" s="121" t="n"/>
      <c r="AB154" s="121" t="n"/>
      <c r="AC154" s="121" t="n"/>
      <c r="AD154" s="121" t="n"/>
      <c r="AE154" s="121" t="n"/>
      <c r="AF154" s="121" t="n"/>
    </row>
    <row r="155">
      <c r="D155" s="76" t="n"/>
      <c r="E155" s="76" t="n"/>
      <c r="F155" s="76" t="n"/>
      <c r="G155" s="76" t="n"/>
      <c r="H155" s="76" t="n"/>
      <c r="I155" s="76" t="n"/>
      <c r="J155" s="76" t="n"/>
      <c r="K155" s="76" t="n"/>
      <c r="M155" s="76" t="n"/>
      <c r="N155" s="76" t="n"/>
      <c r="O155" s="76" t="n"/>
      <c r="P155" s="76" t="n"/>
      <c r="Q155" s="76" t="n"/>
      <c r="R155" s="76" t="n"/>
      <c r="S155" s="76" t="n"/>
      <c r="T155" s="76" t="n"/>
      <c r="U155" s="76" t="n"/>
      <c r="V155" s="76" t="n"/>
      <c r="W155" s="76" t="n"/>
      <c r="X155" s="76" t="n"/>
      <c r="Y155" s="76" t="n"/>
      <c r="Z155" s="76" t="n"/>
      <c r="AA155" s="76" t="n"/>
      <c r="AB155" s="76" t="n"/>
      <c r="AC155" s="76" t="n"/>
      <c r="AD155" s="76" t="n"/>
      <c r="AE155" s="76" t="n"/>
      <c r="AF155" s="76" t="n"/>
    </row>
    <row r="156">
      <c r="A156" s="22" t="n"/>
      <c r="B156" s="22" t="n"/>
      <c r="C156" s="22" t="n"/>
      <c r="D156" s="76" t="n"/>
      <c r="E156" s="76" t="n"/>
      <c r="F156" s="76" t="n"/>
      <c r="G156" s="76" t="n"/>
      <c r="H156" s="76" t="n"/>
      <c r="I156" s="76" t="n"/>
      <c r="J156" s="76" t="n"/>
      <c r="K156" s="76" t="n"/>
      <c r="M156" s="76" t="n"/>
      <c r="N156" s="76" t="n"/>
      <c r="O156" s="76" t="n"/>
      <c r="P156" s="76" t="n"/>
      <c r="Q156" s="76" t="n"/>
      <c r="R156" s="76" t="n"/>
      <c r="S156" s="76" t="n"/>
      <c r="T156" s="76" t="n"/>
      <c r="U156" s="76" t="n"/>
      <c r="V156" s="76" t="n"/>
      <c r="W156" s="76" t="n"/>
      <c r="X156" s="76" t="n"/>
      <c r="Y156" s="76" t="n"/>
      <c r="Z156" s="76" t="n"/>
      <c r="AA156" s="76" t="n"/>
      <c r="AB156" s="76" t="n"/>
      <c r="AC156" s="76" t="n"/>
      <c r="AD156" s="76" t="n"/>
      <c r="AE156" s="76" t="n"/>
      <c r="AF156" s="76" t="n"/>
    </row>
    <row r="157">
      <c r="A157" s="74" t="n"/>
      <c r="B157" s="74" t="n"/>
      <c r="C157" s="74" t="n"/>
      <c r="D157" s="145" t="n"/>
      <c r="E157" s="145" t="n"/>
      <c r="F157" s="145" t="n"/>
      <c r="G157" s="145" t="n"/>
      <c r="H157" s="145" t="n"/>
      <c r="I157" s="145" t="n"/>
      <c r="J157" s="145" t="n"/>
      <c r="K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row>
    <row r="158">
      <c r="A158" s="74" t="n"/>
      <c r="B158" s="74" t="n"/>
      <c r="C158" s="74" t="n"/>
      <c r="D158" s="145" t="n"/>
      <c r="E158" s="145" t="n"/>
      <c r="F158" s="145" t="n"/>
      <c r="G158" s="145" t="n"/>
      <c r="H158" s="145" t="n"/>
      <c r="I158" s="145" t="n"/>
      <c r="J158" s="145" t="n"/>
      <c r="K158" s="145" t="n"/>
      <c r="M158" s="145" t="n"/>
      <c r="N158" s="145" t="n"/>
      <c r="O158" s="145" t="n"/>
      <c r="P158" s="145" t="n"/>
      <c r="Q158" s="145" t="n"/>
      <c r="R158" s="145" t="n"/>
      <c r="S158" s="145" t="n"/>
      <c r="T158" s="145" t="n"/>
      <c r="U158" s="145" t="n"/>
      <c r="V158" s="145" t="n"/>
      <c r="W158" s="145" t="n"/>
      <c r="X158" s="145" t="n"/>
      <c r="Y158" s="145" t="n"/>
      <c r="Z158" s="145" t="n"/>
      <c r="AA158" s="145" t="n"/>
      <c r="AB158" s="145" t="n"/>
      <c r="AC158" s="145" t="n"/>
      <c r="AD158" s="145" t="n"/>
      <c r="AE158" s="145" t="n"/>
      <c r="AF158" s="145" t="n"/>
    </row>
    <row r="159">
      <c r="A159" s="74" t="n"/>
      <c r="B159" s="74" t="n"/>
      <c r="C159" s="74" t="n"/>
      <c r="D159" s="143" t="n"/>
      <c r="E159" s="143" t="n"/>
      <c r="F159" s="143" t="n"/>
      <c r="G159" s="145" t="n"/>
      <c r="H159" s="145" t="n"/>
      <c r="I159" s="145" t="n"/>
      <c r="J159" s="143" t="n"/>
      <c r="K159" s="143" t="n"/>
      <c r="M159" s="145" t="n"/>
      <c r="N159" s="145" t="n"/>
      <c r="O159" s="145" t="n"/>
      <c r="P159" s="143" t="n"/>
      <c r="Q159" s="143" t="n"/>
      <c r="R159" s="145" t="n"/>
      <c r="S159" s="145" t="n"/>
      <c r="T159" s="143" t="n"/>
      <c r="U159" s="143" t="n"/>
      <c r="V159" s="143" t="n"/>
      <c r="W159" s="143" t="n"/>
      <c r="X159" s="143" t="n"/>
      <c r="Y159" s="143" t="n"/>
      <c r="Z159" s="143" t="n"/>
      <c r="AA159" s="143" t="n"/>
      <c r="AB159" s="143" t="n"/>
      <c r="AC159" s="143" t="n"/>
      <c r="AD159" s="143" t="n"/>
      <c r="AE159" s="143" t="n"/>
      <c r="AF159" s="143" t="n"/>
    </row>
    <row r="160">
      <c r="A160" s="74" t="n"/>
      <c r="B160" s="74" t="n"/>
      <c r="C160" s="74" t="n"/>
      <c r="D160" s="145" t="n"/>
      <c r="E160" s="145" t="n"/>
      <c r="F160" s="145" t="n"/>
      <c r="G160" s="145" t="n"/>
      <c r="H160" s="145" t="n"/>
      <c r="I160" s="145" t="n"/>
      <c r="J160" s="145" t="n"/>
      <c r="K160" s="145" t="n"/>
      <c r="M160" s="145" t="n"/>
      <c r="N160" s="145" t="n"/>
      <c r="O160" s="145" t="n"/>
      <c r="P160" s="145" t="n"/>
      <c r="Q160" s="145" t="n"/>
      <c r="R160" s="145" t="n"/>
      <c r="S160" s="145" t="n"/>
      <c r="T160" s="145" t="n"/>
      <c r="U160" s="145" t="n"/>
      <c r="V160" s="145" t="n"/>
      <c r="W160" s="145" t="n"/>
      <c r="X160" s="145" t="n"/>
      <c r="Y160" s="145" t="n"/>
      <c r="Z160" s="145" t="n"/>
      <c r="AA160" s="145" t="n"/>
      <c r="AB160" s="145" t="n"/>
      <c r="AC160" s="145" t="n"/>
      <c r="AD160" s="145" t="n"/>
      <c r="AE160" s="145" t="n"/>
      <c r="AF160" s="145" t="n"/>
    </row>
    <row r="161">
      <c r="A161" s="74" t="n"/>
      <c r="B161" s="74" t="n"/>
      <c r="C161" s="74" t="n"/>
      <c r="D161" s="145" t="n"/>
      <c r="E161" s="145" t="n"/>
      <c r="F161" s="145" t="n"/>
      <c r="G161" s="145" t="n"/>
      <c r="H161" s="145" t="n"/>
      <c r="I161" s="145" t="n"/>
      <c r="J161" s="145" t="n"/>
      <c r="K161" s="143" t="n"/>
      <c r="M161" s="145" t="n"/>
      <c r="N161" s="145" t="n"/>
      <c r="O161" s="145" t="n"/>
      <c r="P161" s="145" t="n"/>
      <c r="Q161" s="145" t="n"/>
      <c r="R161" s="145" t="n"/>
      <c r="S161" s="145" t="n"/>
      <c r="T161" s="145" t="n"/>
      <c r="U161" s="145" t="n"/>
      <c r="V161" s="145" t="n"/>
      <c r="W161" s="145" t="n"/>
      <c r="X161" s="145" t="n"/>
      <c r="Y161" s="145" t="n"/>
      <c r="Z161" s="145" t="n"/>
      <c r="AA161" s="145" t="n"/>
      <c r="AB161" s="145" t="n"/>
      <c r="AC161" s="145" t="n"/>
      <c r="AD161" s="145" t="n"/>
      <c r="AE161" s="145" t="n"/>
      <c r="AF161" s="145" t="n"/>
    </row>
    <row r="162">
      <c r="A162" s="74" t="n"/>
      <c r="B162" s="74" t="n"/>
      <c r="C162" s="74" t="n"/>
      <c r="D162" s="145" t="n"/>
      <c r="E162" s="143" t="n"/>
      <c r="F162" s="143" t="n"/>
      <c r="G162" s="143" t="n"/>
      <c r="H162" s="143" t="n"/>
      <c r="I162" s="143" t="n"/>
      <c r="J162" s="143" t="n"/>
      <c r="K162" s="143" t="n"/>
      <c r="M162" s="143" t="n"/>
      <c r="N162" s="143" t="n"/>
      <c r="O162" s="143" t="n"/>
      <c r="P162" s="143" t="n"/>
      <c r="Q162" s="143" t="n"/>
      <c r="R162" s="143" t="n"/>
      <c r="S162" s="143" t="n"/>
      <c r="T162" s="143" t="n"/>
      <c r="U162" s="143" t="n"/>
      <c r="V162" s="143" t="n"/>
      <c r="W162" s="143" t="n"/>
      <c r="X162" s="143" t="n"/>
      <c r="Y162" s="143" t="n"/>
      <c r="Z162" s="143" t="n"/>
      <c r="AA162" s="143" t="n"/>
      <c r="AB162" s="143" t="n"/>
      <c r="AC162" s="143" t="n"/>
      <c r="AD162" s="143" t="n"/>
      <c r="AE162" s="143" t="n"/>
      <c r="AF162" s="143" t="n"/>
    </row>
    <row r="163">
      <c r="A163" s="74" t="n"/>
      <c r="B163" s="74" t="n"/>
      <c r="C163" s="74" t="n"/>
      <c r="D163" s="145" t="n"/>
      <c r="E163" s="145" t="n"/>
      <c r="F163" s="145" t="n"/>
      <c r="G163" s="145" t="n"/>
      <c r="H163" s="145" t="n"/>
      <c r="I163" s="145" t="n"/>
      <c r="J163" s="145" t="n"/>
      <c r="K163" s="145" t="n"/>
      <c r="M163" s="145" t="n"/>
      <c r="N163" s="145" t="n"/>
      <c r="O163" s="145" t="n"/>
      <c r="P163" s="145" t="n"/>
      <c r="Q163" s="145" t="n"/>
      <c r="R163" s="145" t="n"/>
      <c r="S163" s="145" t="n"/>
      <c r="T163" s="145" t="n"/>
      <c r="U163" s="145" t="n"/>
      <c r="V163" s="145" t="n"/>
      <c r="W163" s="145" t="n"/>
      <c r="X163" s="145" t="n"/>
      <c r="Y163" s="145" t="n"/>
      <c r="Z163" s="145" t="n"/>
      <c r="AA163" s="145" t="n"/>
      <c r="AB163" s="145" t="n"/>
      <c r="AC163" s="145" t="n"/>
      <c r="AD163" s="145" t="n"/>
      <c r="AE163" s="145" t="n"/>
      <c r="AF163" s="145" t="n"/>
    </row>
    <row r="164">
      <c r="A164" s="74" t="n"/>
      <c r="B164" s="74" t="n"/>
      <c r="C164" s="74" t="n"/>
      <c r="D164" s="145" t="n"/>
      <c r="E164" s="145" t="n"/>
      <c r="F164" s="145" t="n"/>
      <c r="G164" s="145" t="n"/>
      <c r="H164" s="145" t="n"/>
      <c r="I164" s="145" t="n"/>
      <c r="J164" s="145" t="n"/>
      <c r="K164" s="145" t="n"/>
      <c r="M164" s="145" t="n"/>
      <c r="N164" s="145" t="n"/>
      <c r="O164" s="145" t="n"/>
      <c r="P164" s="145" t="n"/>
      <c r="Q164" s="145" t="n"/>
      <c r="R164" s="145" t="n"/>
      <c r="S164" s="145" t="n"/>
      <c r="T164" s="145" t="n"/>
      <c r="U164" s="145" t="n"/>
      <c r="V164" s="145" t="n"/>
      <c r="W164" s="145" t="n"/>
      <c r="X164" s="145" t="n"/>
      <c r="Y164" s="145" t="n"/>
      <c r="Z164" s="145" t="n"/>
      <c r="AA164" s="145" t="n"/>
      <c r="AB164" s="145" t="n"/>
      <c r="AC164" s="145" t="n"/>
      <c r="AD164" s="145" t="n"/>
      <c r="AE164" s="145" t="n"/>
      <c r="AF164" s="145" t="n"/>
    </row>
    <row r="165">
      <c r="A165" s="74" t="n"/>
      <c r="B165" s="74" t="n"/>
      <c r="C165" s="74" t="n"/>
      <c r="D165" s="145" t="n"/>
      <c r="E165" s="145" t="n"/>
      <c r="F165" s="145" t="n"/>
      <c r="G165" s="145" t="n"/>
      <c r="H165" s="145" t="n"/>
      <c r="I165" s="145" t="n"/>
      <c r="J165" s="145" t="n"/>
      <c r="K165" s="145" t="n"/>
      <c r="M165" s="145" t="n"/>
      <c r="N165" s="145" t="n"/>
      <c r="O165" s="145" t="n"/>
      <c r="P165" s="145" t="n"/>
      <c r="Q165" s="145" t="n"/>
      <c r="R165" s="145" t="n"/>
      <c r="S165" s="145" t="n"/>
      <c r="T165" s="145" t="n"/>
      <c r="U165" s="145" t="n"/>
      <c r="V165" s="145" t="n"/>
      <c r="W165" s="145" t="n"/>
      <c r="X165" s="145" t="n"/>
      <c r="Y165" s="145" t="n"/>
      <c r="Z165" s="145" t="n"/>
      <c r="AA165" s="145" t="n"/>
      <c r="AB165" s="145" t="n"/>
      <c r="AC165" s="145" t="n"/>
      <c r="AD165" s="145" t="n"/>
      <c r="AE165" s="145" t="n"/>
      <c r="AF165" s="145" t="n"/>
    </row>
    <row r="166">
      <c r="A166" s="74" t="n"/>
      <c r="B166" s="74" t="n"/>
      <c r="C166" s="74" t="n"/>
      <c r="D166" s="145" t="n"/>
      <c r="E166" s="145" t="n"/>
      <c r="F166" s="145" t="n"/>
      <c r="G166" s="145" t="n"/>
      <c r="H166" s="145" t="n"/>
      <c r="I166" s="145" t="n"/>
      <c r="J166" s="145" t="n"/>
      <c r="K166" s="145" t="n"/>
      <c r="M166" s="145" t="n"/>
      <c r="N166" s="145" t="n"/>
      <c r="O166" s="145" t="n"/>
      <c r="P166" s="145" t="n"/>
      <c r="Q166" s="145" t="n"/>
      <c r="R166" s="145" t="n"/>
      <c r="S166" s="145" t="n"/>
      <c r="T166" s="145" t="n"/>
      <c r="U166" s="145" t="n"/>
      <c r="V166" s="145" t="n"/>
      <c r="W166" s="145" t="n"/>
      <c r="X166" s="145" t="n"/>
      <c r="Y166" s="145" t="n"/>
      <c r="Z166" s="145" t="n"/>
      <c r="AA166" s="145" t="n"/>
      <c r="AB166" s="145" t="n"/>
      <c r="AC166" s="145" t="n"/>
      <c r="AD166" s="145" t="n"/>
      <c r="AE166" s="145" t="n"/>
      <c r="AF166" s="145" t="n"/>
    </row>
    <row r="167">
      <c r="A167" s="74" t="n"/>
      <c r="B167" s="74" t="n"/>
      <c r="C167" s="74" t="n"/>
      <c r="D167" s="145" t="n"/>
      <c r="E167" s="143" t="n"/>
      <c r="F167" s="143" t="n"/>
      <c r="G167" s="143" t="n"/>
      <c r="H167" s="143" t="n"/>
      <c r="I167" s="143" t="n"/>
      <c r="J167" s="143" t="n"/>
      <c r="K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c r="AF167" s="145" t="n"/>
    </row>
    <row r="168" customFormat="1" s="22">
      <c r="D168" s="121" t="n"/>
      <c r="E168" s="121" t="n"/>
      <c r="F168" s="121" t="n"/>
      <c r="G168" s="121" t="n"/>
      <c r="H168" s="121" t="n"/>
      <c r="I168" s="121" t="n"/>
      <c r="J168" s="121" t="n"/>
      <c r="K168" s="121" t="n"/>
      <c r="M168" s="121" t="n"/>
      <c r="N168" s="121" t="n"/>
      <c r="O168" s="121" t="n"/>
      <c r="P168" s="121" t="n"/>
      <c r="Q168" s="121" t="n"/>
      <c r="R168" s="121" t="n"/>
      <c r="S168" s="121" t="n"/>
      <c r="T168" s="121" t="n"/>
      <c r="U168" s="121" t="n"/>
      <c r="V168" s="121" t="n"/>
      <c r="W168" s="121" t="n"/>
      <c r="X168" s="121" t="n"/>
      <c r="Y168" s="121" t="n"/>
      <c r="Z168" s="121" t="n"/>
      <c r="AA168" s="121" t="n"/>
      <c r="AB168" s="121" t="n"/>
      <c r="AC168" s="121" t="n"/>
      <c r="AD168" s="121" t="n"/>
      <c r="AE168" s="121" t="n"/>
      <c r="AF168" s="121" t="n"/>
    </row>
    <row r="169">
      <c r="D169" s="76" t="n"/>
      <c r="E169" s="76" t="n"/>
      <c r="F169" s="76" t="n"/>
      <c r="G169" s="76" t="n"/>
      <c r="H169" s="76" t="n"/>
      <c r="I169" s="76" t="n"/>
      <c r="J169" s="76" t="n"/>
      <c r="K169" s="76" t="n"/>
      <c r="M169" s="76" t="n"/>
      <c r="N169" s="76" t="n"/>
      <c r="O169" s="76" t="n"/>
      <c r="P169" s="76" t="n"/>
      <c r="Q169" s="76" t="n"/>
      <c r="R169" s="76" t="n"/>
      <c r="S169" s="76" t="n"/>
      <c r="T169" s="76" t="n"/>
      <c r="U169" s="76" t="n"/>
      <c r="V169" s="76" t="n"/>
      <c r="W169" s="76" t="n"/>
      <c r="X169" s="76" t="n"/>
      <c r="Y169" s="76" t="n"/>
      <c r="Z169" s="76" t="n"/>
      <c r="AA169" s="76" t="n"/>
      <c r="AB169" s="76" t="n"/>
      <c r="AC169" s="76" t="n"/>
      <c r="AD169" s="76" t="n"/>
      <c r="AE169" s="76" t="n"/>
      <c r="AF169" s="76" t="n"/>
    </row>
    <row r="170">
      <c r="D170" s="86" t="n"/>
      <c r="E170" s="86" t="n"/>
      <c r="F170" s="86" t="n"/>
      <c r="G170" s="86" t="n"/>
      <c r="H170" s="86" t="n"/>
      <c r="I170" s="86" t="n"/>
      <c r="J170" s="86" t="n"/>
      <c r="K170" s="86" t="n"/>
      <c r="M170" s="86" t="n"/>
      <c r="N170" s="86" t="n"/>
      <c r="O170" s="86" t="n"/>
      <c r="P170" s="86" t="n"/>
      <c r="Q170" s="86" t="n"/>
      <c r="R170" s="86" t="n"/>
      <c r="S170" s="86" t="n"/>
      <c r="T170" s="86" t="n"/>
      <c r="U170" s="86" t="n"/>
      <c r="V170" s="86" t="n"/>
      <c r="W170" s="86" t="n"/>
      <c r="X170" s="86" t="n"/>
      <c r="Y170" s="86" t="n"/>
      <c r="Z170" s="86" t="n"/>
      <c r="AA170" s="86" t="n"/>
      <c r="AB170" s="86" t="n"/>
      <c r="AC170" s="86" t="n"/>
      <c r="AD170" s="86" t="n"/>
      <c r="AE170" s="86" t="n"/>
      <c r="AF170" s="86" t="n"/>
    </row>
    <row r="171">
      <c r="D171" s="86" t="n"/>
      <c r="E171" s="86" t="n"/>
      <c r="F171" s="86" t="n"/>
      <c r="G171" s="86" t="n"/>
      <c r="H171" s="86" t="n"/>
      <c r="I171" s="86" t="n"/>
      <c r="J171" s="86" t="n"/>
      <c r="K171" s="86" t="n"/>
      <c r="M171" s="86" t="n"/>
      <c r="N171" s="86" t="n"/>
      <c r="O171" s="86" t="n"/>
      <c r="P171" s="86" t="n"/>
      <c r="Q171" s="86" t="n"/>
      <c r="R171" s="86" t="n"/>
      <c r="S171" s="86" t="n"/>
      <c r="T171" s="86" t="n"/>
      <c r="U171" s="86" t="n"/>
      <c r="V171" s="86" t="n"/>
      <c r="W171" s="86" t="n"/>
      <c r="X171" s="86" t="n"/>
      <c r="Y171" s="86" t="n"/>
      <c r="Z171" s="86" t="n"/>
      <c r="AA171" s="86" t="n"/>
      <c r="AB171" s="86" t="n"/>
      <c r="AC171" s="86" t="n"/>
      <c r="AD171" s="86" t="n"/>
      <c r="AE171" s="86" t="n"/>
      <c r="AF171" s="86" t="n"/>
    </row>
    <row r="172">
      <c r="D172" s="76" t="n"/>
      <c r="E172" s="76" t="n"/>
      <c r="F172" s="76" t="n"/>
      <c r="G172" s="76" t="n"/>
      <c r="H172" s="76" t="n"/>
      <c r="I172" s="76" t="n"/>
      <c r="J172" s="76" t="n"/>
      <c r="K172" s="76" t="n"/>
      <c r="M172" s="76" t="n"/>
      <c r="N172" s="76" t="n"/>
      <c r="O172" s="76" t="n"/>
      <c r="P172" s="76" t="n"/>
      <c r="Q172" s="76" t="n"/>
      <c r="R172" s="76" t="n"/>
      <c r="S172" s="76" t="n"/>
      <c r="T172" s="76" t="n"/>
      <c r="U172" s="76" t="n"/>
      <c r="V172" s="76" t="n"/>
      <c r="W172" s="76" t="n"/>
      <c r="X172" s="76" t="n"/>
      <c r="Y172" s="76" t="n"/>
      <c r="Z172" s="76" t="n"/>
      <c r="AA172" s="76" t="n"/>
      <c r="AB172" s="76" t="n"/>
      <c r="AC172" s="76" t="n"/>
      <c r="AD172" s="76" t="n"/>
      <c r="AE172" s="76" t="n"/>
      <c r="AF172" s="76" t="n"/>
    </row>
    <row r="173" customFormat="1" s="22">
      <c r="D173" s="122" t="n"/>
      <c r="E173" s="122" t="n"/>
      <c r="F173" s="122" t="n"/>
      <c r="G173" s="122" t="n"/>
      <c r="H173" s="122" t="n"/>
      <c r="I173" s="122" t="n"/>
      <c r="J173" s="122" t="n"/>
      <c r="K173" s="122" t="n"/>
      <c r="M173" s="122" t="n"/>
      <c r="N173" s="122" t="n"/>
      <c r="O173" s="122" t="n"/>
      <c r="P173" s="122" t="n"/>
      <c r="Q173" s="122" t="n"/>
      <c r="R173" s="122" t="n"/>
      <c r="S173" s="122" t="n"/>
      <c r="T173" s="122" t="n"/>
      <c r="U173" s="122" t="n"/>
      <c r="V173" s="122" t="n"/>
      <c r="W173" s="122" t="n"/>
      <c r="X173" s="122" t="n"/>
      <c r="Y173" s="122" t="n"/>
      <c r="Z173" s="122" t="n"/>
      <c r="AA173" s="122" t="n"/>
      <c r="AB173" s="122" t="n"/>
      <c r="AC173" s="122" t="n"/>
      <c r="AD173" s="122" t="n"/>
      <c r="AE173" s="122" t="n"/>
      <c r="AF173" s="122" t="n"/>
    </row>
    <row r="174">
      <c r="A174" s="74" t="n"/>
      <c r="B174" s="74" t="n"/>
      <c r="C174" s="74" t="n"/>
      <c r="D174" s="143" t="n"/>
      <c r="E174" s="145" t="n"/>
      <c r="F174" s="145" t="n"/>
      <c r="G174" s="145" t="n"/>
      <c r="H174" s="145" t="n"/>
      <c r="I174" s="145" t="n"/>
      <c r="J174" s="145" t="n"/>
      <c r="K174" s="145" t="n"/>
      <c r="M174" s="145" t="n"/>
      <c r="N174" s="143" t="n"/>
      <c r="O174" s="143" t="n"/>
      <c r="P174" s="145" t="n"/>
      <c r="Q174" s="145" t="n"/>
      <c r="R174" s="143" t="n"/>
      <c r="S174" s="143" t="n"/>
      <c r="T174" s="145" t="n"/>
      <c r="U174" s="145" t="n"/>
      <c r="V174" s="145" t="n"/>
      <c r="W174" s="145" t="n"/>
      <c r="X174" s="145" t="n"/>
      <c r="Y174" s="145" t="n"/>
      <c r="Z174" s="145" t="n"/>
      <c r="AA174" s="145" t="n"/>
      <c r="AB174" s="145" t="n"/>
      <c r="AC174" s="145" t="n"/>
      <c r="AD174" s="145" t="n"/>
      <c r="AE174" s="145" t="n"/>
      <c r="AF174" s="145" t="n"/>
    </row>
    <row r="175">
      <c r="A175" s="74" t="n"/>
      <c r="B175" s="74" t="n"/>
      <c r="C175" s="74" t="n"/>
      <c r="D175" s="145" t="n"/>
      <c r="E175" s="145" t="n"/>
      <c r="F175" s="145" t="n"/>
      <c r="G175" s="145" t="n"/>
      <c r="H175" s="145" t="n"/>
      <c r="I175" s="145" t="n"/>
      <c r="J175" s="145" t="n"/>
      <c r="K175" s="145" t="n"/>
      <c r="M175" s="145" t="n"/>
      <c r="N175" s="145" t="n"/>
      <c r="O175" s="145" t="n"/>
      <c r="P175" s="145" t="n"/>
      <c r="Q175" s="145" t="n"/>
      <c r="R175" s="145" t="n"/>
      <c r="S175" s="145" t="n"/>
      <c r="T175" s="145" t="n"/>
      <c r="U175" s="145" t="n"/>
      <c r="V175" s="145" t="n"/>
      <c r="W175" s="145" t="n"/>
      <c r="X175" s="145" t="n"/>
      <c r="Y175" s="145" t="n"/>
      <c r="Z175" s="145" t="n"/>
      <c r="AA175" s="145" t="n"/>
      <c r="AB175" s="145" t="n"/>
      <c r="AC175" s="145" t="n"/>
      <c r="AD175" s="145" t="n"/>
      <c r="AE175" s="145" t="n"/>
      <c r="AF175" s="145" t="n"/>
    </row>
    <row r="176">
      <c r="A176" s="74" t="n"/>
      <c r="B176" s="74" t="n"/>
      <c r="C176" s="74" t="n"/>
      <c r="D176" s="145" t="n"/>
      <c r="E176" s="145" t="n"/>
      <c r="F176" s="145" t="n"/>
      <c r="G176" s="145" t="n"/>
      <c r="H176" s="145" t="n"/>
      <c r="I176" s="145" t="n"/>
      <c r="J176" s="145" t="n"/>
      <c r="K176" s="145" t="n"/>
      <c r="M176" s="145" t="n"/>
      <c r="N176" s="145" t="n"/>
      <c r="O176" s="145" t="n"/>
      <c r="P176" s="145" t="n"/>
      <c r="Q176" s="145" t="n"/>
      <c r="R176" s="145" t="n"/>
      <c r="S176" s="145" t="n"/>
      <c r="T176" s="145" t="n"/>
      <c r="U176" s="145" t="n"/>
      <c r="V176" s="145" t="n"/>
      <c r="W176" s="145" t="n"/>
      <c r="X176" s="145" t="n"/>
      <c r="Y176" s="145" t="n"/>
      <c r="Z176" s="145" t="n"/>
      <c r="AA176" s="145" t="n"/>
      <c r="AB176" s="145" t="n"/>
      <c r="AC176" s="145" t="n"/>
      <c r="AD176" s="145" t="n"/>
      <c r="AE176" s="145" t="n"/>
      <c r="AF176" s="145" t="n"/>
    </row>
    <row r="177" customFormat="1" s="22">
      <c r="A177" s="74" t="n"/>
      <c r="B177" s="74" t="n"/>
      <c r="C177" s="74" t="n"/>
      <c r="D177" s="145" t="n"/>
      <c r="E177" s="145" t="n"/>
      <c r="F177" s="145" t="n"/>
      <c r="G177" s="145" t="n"/>
      <c r="H177" s="145" t="n"/>
      <c r="I177" s="145" t="n"/>
      <c r="J177" s="145" t="n"/>
      <c r="K177" s="145" t="n"/>
      <c r="M177" s="145" t="n"/>
      <c r="N177" s="145" t="n"/>
      <c r="O177" s="145" t="n"/>
      <c r="P177" s="145" t="n"/>
      <c r="Q177" s="145" t="n"/>
      <c r="R177" s="145" t="n"/>
      <c r="S177" s="145" t="n"/>
      <c r="T177" s="145" t="n"/>
      <c r="U177" s="145" t="n"/>
      <c r="V177" s="145" t="n"/>
      <c r="W177" s="145" t="n"/>
      <c r="X177" s="145" t="n"/>
      <c r="Y177" s="145" t="n"/>
      <c r="Z177" s="145" t="n"/>
      <c r="AA177" s="145" t="n"/>
      <c r="AB177" s="145" t="n"/>
      <c r="AC177" s="145" t="n"/>
      <c r="AD177" s="145" t="n"/>
      <c r="AE177" s="145" t="n"/>
      <c r="AF177" s="145" t="n"/>
    </row>
    <row r="178" customFormat="1" s="22">
      <c r="A178" s="74" t="n"/>
      <c r="B178" s="74" t="n"/>
      <c r="C178" s="74" t="n"/>
      <c r="D178" s="143" t="n"/>
      <c r="E178" s="145" t="n"/>
      <c r="F178" s="143" t="n"/>
      <c r="G178" s="143" t="n"/>
      <c r="H178" s="143" t="n"/>
      <c r="I178" s="143" t="n"/>
      <c r="J178" s="143" t="n"/>
      <c r="K178" s="143" t="n"/>
      <c r="M178" s="145" t="n"/>
      <c r="N178" s="145" t="n"/>
      <c r="O178" s="145" t="n"/>
      <c r="P178" s="145" t="n"/>
      <c r="Q178" s="145" t="n"/>
      <c r="R178" s="145" t="n"/>
      <c r="S178" s="145" t="n"/>
      <c r="T178" s="145" t="n"/>
      <c r="U178" s="145" t="n"/>
      <c r="V178" s="145" t="n"/>
      <c r="W178" s="145" t="n"/>
      <c r="X178" s="145" t="n"/>
      <c r="Y178" s="145" t="n"/>
      <c r="Z178" s="145" t="n"/>
      <c r="AA178" s="145" t="n"/>
      <c r="AB178" s="145" t="n"/>
      <c r="AC178" s="145" t="n"/>
      <c r="AD178" s="145" t="n"/>
      <c r="AE178" s="145" t="n"/>
      <c r="AF178" s="145" t="n"/>
    </row>
    <row r="179" customFormat="1" s="22">
      <c r="A179" s="74" t="n"/>
      <c r="B179" s="74" t="n"/>
      <c r="C179" s="74" t="n"/>
      <c r="D179" s="145" t="n"/>
      <c r="E179" s="145" t="n"/>
      <c r="F179" s="145" t="n"/>
      <c r="G179" s="145" t="n"/>
      <c r="H179" s="145" t="n"/>
      <c r="I179" s="145" t="n"/>
      <c r="J179" s="145" t="n"/>
      <c r="K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row>
    <row r="180">
      <c r="A180" s="74" t="n"/>
      <c r="B180" s="74" t="n"/>
      <c r="C180" s="74" t="n"/>
      <c r="D180" s="145" t="n"/>
      <c r="E180" s="145" t="n"/>
      <c r="F180" s="145" t="n"/>
      <c r="G180" s="145" t="n"/>
      <c r="H180" s="145" t="n"/>
      <c r="I180" s="145" t="n"/>
      <c r="J180" s="145" t="n"/>
      <c r="K180" s="145" t="n"/>
      <c r="M180" s="145" t="n"/>
      <c r="N180" s="145" t="n"/>
      <c r="O180" s="145" t="n"/>
      <c r="P180" s="145" t="n"/>
      <c r="Q180" s="145" t="n"/>
      <c r="R180" s="145" t="n"/>
      <c r="S180" s="145" t="n"/>
      <c r="T180" s="145" t="n"/>
      <c r="U180" s="145" t="n"/>
      <c r="V180" s="145" t="n"/>
      <c r="W180" s="145" t="n"/>
      <c r="X180" s="145" t="n"/>
      <c r="Y180" s="145" t="n"/>
      <c r="Z180" s="145" t="n"/>
      <c r="AA180" s="145" t="n"/>
      <c r="AB180" s="145" t="n"/>
      <c r="AC180" s="145" t="n"/>
      <c r="AD180" s="145" t="n"/>
      <c r="AE180" s="145" t="n"/>
      <c r="AF180" s="145" t="n"/>
    </row>
    <row r="181" customFormat="1" s="22">
      <c r="D181" s="121" t="n"/>
      <c r="E181" s="121" t="n"/>
      <c r="F181" s="121" t="n"/>
      <c r="G181" s="121" t="n"/>
      <c r="H181" s="121" t="n"/>
      <c r="I181" s="121" t="n"/>
      <c r="J181" s="121" t="n"/>
      <c r="K181" s="121" t="n"/>
      <c r="M181" s="121" t="n"/>
      <c r="N181" s="121" t="n"/>
      <c r="O181" s="121" t="n"/>
      <c r="P181" s="121" t="n"/>
      <c r="Q181" s="121" t="n"/>
      <c r="R181" s="121" t="n"/>
      <c r="S181" s="121" t="n"/>
      <c r="T181" s="121" t="n"/>
      <c r="U181" s="121" t="n"/>
      <c r="V181" s="121" t="n"/>
      <c r="W181" s="121" t="n"/>
      <c r="X181" s="121" t="n"/>
      <c r="Y181" s="121" t="n"/>
      <c r="Z181" s="121" t="n"/>
      <c r="AA181" s="121" t="n"/>
      <c r="AB181" s="121" t="n"/>
      <c r="AC181" s="121" t="n"/>
      <c r="AD181" s="121" t="n"/>
      <c r="AE181" s="121" t="n"/>
      <c r="AF181" s="121" t="n"/>
    </row>
    <row r="182">
      <c r="D182" s="76" t="n"/>
      <c r="E182" s="76" t="n"/>
      <c r="F182" s="76" t="n"/>
      <c r="G182" s="76" t="n"/>
      <c r="H182" s="76" t="n"/>
      <c r="I182" s="76" t="n"/>
      <c r="J182" s="76" t="n"/>
      <c r="K182" s="76" t="n"/>
      <c r="M182" s="76" t="n"/>
      <c r="N182" s="76" t="n"/>
      <c r="O182" s="76" t="n"/>
      <c r="P182" s="76" t="n"/>
      <c r="Q182" s="76" t="n"/>
      <c r="R182" s="76" t="n"/>
      <c r="S182" s="76" t="n"/>
      <c r="T182" s="76" t="n"/>
      <c r="U182" s="76" t="n"/>
      <c r="V182" s="76" t="n"/>
      <c r="W182" s="76" t="n"/>
      <c r="X182" s="76" t="n"/>
      <c r="Y182" s="76" t="n"/>
      <c r="Z182" s="76" t="n"/>
      <c r="AA182" s="76" t="n"/>
      <c r="AB182" s="76" t="n"/>
      <c r="AC182" s="76" t="n"/>
      <c r="AD182" s="76" t="n"/>
      <c r="AE182" s="76" t="n"/>
      <c r="AF182" s="76" t="n"/>
    </row>
    <row r="183" customFormat="1" s="22">
      <c r="D183" s="121" t="n"/>
      <c r="E183" s="121" t="n"/>
      <c r="F183" s="121" t="n"/>
      <c r="G183" s="121" t="n"/>
      <c r="H183" s="121" t="n"/>
      <c r="I183" s="121" t="n"/>
      <c r="J183" s="121" t="n"/>
      <c r="K183" s="121" t="n"/>
      <c r="M183" s="121" t="n"/>
      <c r="N183" s="121" t="n"/>
      <c r="O183" s="121" t="n"/>
      <c r="P183" s="121" t="n"/>
      <c r="Q183" s="121" t="n"/>
      <c r="R183" s="121" t="n"/>
      <c r="S183" s="121" t="n"/>
      <c r="T183" s="121" t="n"/>
      <c r="U183" s="121" t="n"/>
      <c r="V183" s="121" t="n"/>
      <c r="W183" s="121" t="n"/>
      <c r="X183" s="121" t="n"/>
      <c r="Y183" s="121" t="n"/>
      <c r="Z183" s="121" t="n"/>
      <c r="AA183" s="121" t="n"/>
      <c r="AB183" s="121" t="n"/>
      <c r="AC183" s="121" t="n"/>
      <c r="AD183" s="121" t="n"/>
      <c r="AE183" s="121" t="n"/>
      <c r="AF183" s="121" t="n"/>
    </row>
    <row r="184">
      <c r="D184" s="76" t="n"/>
      <c r="E184" s="76" t="n"/>
      <c r="F184" s="76" t="n"/>
      <c r="G184" s="76" t="n"/>
      <c r="H184" s="76" t="n"/>
      <c r="I184" s="76" t="n"/>
      <c r="J184" s="76" t="n"/>
      <c r="K184" s="76" t="n"/>
      <c r="M184" s="76" t="n"/>
      <c r="N184" s="76" t="n"/>
      <c r="O184" s="76" t="n"/>
      <c r="P184" s="76" t="n"/>
      <c r="Q184" s="76" t="n"/>
      <c r="R184" s="76" t="n"/>
      <c r="S184" s="76" t="n"/>
      <c r="T184" s="76" t="n"/>
      <c r="U184" s="76" t="n"/>
      <c r="V184" s="76" t="n"/>
      <c r="W184" s="76" t="n"/>
      <c r="X184" s="76" t="n"/>
      <c r="Y184" s="76" t="n"/>
      <c r="Z184" s="76" t="n"/>
      <c r="AA184" s="76" t="n"/>
      <c r="AB184" s="76" t="n"/>
      <c r="AC184" s="76" t="n"/>
      <c r="AD184" s="76" t="n"/>
      <c r="AE184" s="76" t="n"/>
      <c r="AF184" s="76" t="n"/>
    </row>
    <row r="185">
      <c r="D185" s="86" t="n"/>
      <c r="E185" s="86" t="n"/>
      <c r="F185" s="86" t="n"/>
      <c r="G185" s="86" t="n"/>
      <c r="H185" s="86" t="n"/>
      <c r="I185" s="86" t="n"/>
      <c r="J185" s="86" t="n"/>
      <c r="K185" s="86" t="n"/>
      <c r="M185" s="86" t="n"/>
      <c r="N185" s="86" t="n"/>
      <c r="O185" s="86" t="n"/>
      <c r="P185" s="86" t="n"/>
      <c r="Q185" s="86" t="n"/>
      <c r="R185" s="86" t="n"/>
      <c r="S185" s="86" t="n"/>
      <c r="T185" s="86" t="n"/>
      <c r="U185" s="86" t="n"/>
      <c r="V185" s="86" t="n"/>
      <c r="W185" s="86" t="n"/>
      <c r="X185" s="86" t="n"/>
      <c r="Y185" s="86" t="n"/>
      <c r="Z185" s="86" t="n"/>
      <c r="AA185" s="86" t="n"/>
      <c r="AB185" s="86" t="n"/>
      <c r="AC185" s="86" t="n"/>
      <c r="AD185" s="86" t="n"/>
      <c r="AE185" s="86" t="n"/>
      <c r="AF185" s="86" t="n"/>
    </row>
    <row r="186">
      <c r="D186" s="76" t="n"/>
      <c r="E186" s="76" t="n"/>
      <c r="F186" s="76" t="n"/>
      <c r="G186" s="76" t="n"/>
      <c r="H186" s="76" t="n"/>
      <c r="I186" s="76" t="n"/>
      <c r="J186" s="76" t="n"/>
      <c r="K186" s="76" t="n"/>
      <c r="M186" s="76" t="n"/>
      <c r="N186" s="76" t="n"/>
      <c r="O186" s="76" t="n"/>
      <c r="P186" s="76" t="n"/>
      <c r="Q186" s="76" t="n"/>
      <c r="R186" s="76" t="n"/>
      <c r="S186" s="76" t="n"/>
      <c r="T186" s="76" t="n"/>
      <c r="U186" s="76" t="n"/>
      <c r="V186" s="76" t="n"/>
      <c r="W186" s="76" t="n"/>
      <c r="X186" s="76" t="n"/>
      <c r="Y186" s="76" t="n"/>
      <c r="Z186" s="76" t="n"/>
      <c r="AA186" s="76" t="n"/>
      <c r="AB186" s="76" t="n"/>
      <c r="AC186" s="76" t="n"/>
      <c r="AD186" s="76" t="n"/>
      <c r="AE186" s="76" t="n"/>
      <c r="AF186" s="76" t="n"/>
    </row>
    <row r="187">
      <c r="A187" s="74" t="n"/>
      <c r="B187" s="74" t="n"/>
      <c r="C187" s="74" t="n"/>
      <c r="D187" s="145" t="n"/>
      <c r="E187" s="145" t="n"/>
      <c r="F187" s="145" t="n"/>
      <c r="G187" s="145" t="n"/>
      <c r="H187" s="145" t="n"/>
      <c r="I187" s="145" t="n"/>
      <c r="J187" s="145" t="n"/>
      <c r="K187" s="145" t="n"/>
      <c r="M187" s="145" t="n"/>
      <c r="N187" s="145" t="n"/>
      <c r="O187" s="145" t="n"/>
      <c r="P187" s="145" t="n"/>
      <c r="Q187" s="145" t="n"/>
      <c r="R187" s="145" t="n"/>
      <c r="S187" s="145" t="n"/>
      <c r="T187" s="145" t="n"/>
      <c r="U187" s="145" t="n"/>
      <c r="V187" s="145" t="n"/>
      <c r="W187" s="145" t="n"/>
      <c r="X187" s="145" t="n"/>
      <c r="Y187" s="145" t="n"/>
      <c r="Z187" s="145" t="n"/>
      <c r="AA187" s="145" t="n"/>
      <c r="AB187" s="145" t="n"/>
      <c r="AC187" s="145" t="n"/>
      <c r="AD187" s="145" t="n"/>
      <c r="AE187" s="145" t="n"/>
      <c r="AF187" s="145" t="n"/>
    </row>
    <row r="188">
      <c r="A188" s="74" t="n"/>
      <c r="B188" s="74" t="n"/>
      <c r="C188" s="74" t="n"/>
      <c r="D188" s="145" t="n"/>
      <c r="E188" s="145" t="n"/>
      <c r="F188" s="145" t="n"/>
      <c r="G188" s="145" t="n"/>
      <c r="H188" s="145" t="n"/>
      <c r="I188" s="134" t="n"/>
      <c r="J188" s="145" t="n"/>
      <c r="K188" s="134" t="n"/>
      <c r="M188" s="134" t="n"/>
      <c r="N188" s="134" t="n"/>
      <c r="O188" s="134" t="n"/>
      <c r="P188" s="134" t="n"/>
      <c r="Q188" s="134" t="n"/>
      <c r="R188" s="134" t="n"/>
      <c r="S188" s="134" t="n"/>
      <c r="T188" s="134" t="n"/>
      <c r="U188" s="134" t="n"/>
      <c r="V188" s="134" t="n"/>
      <c r="W188" s="134" t="n"/>
      <c r="X188" s="134" t="n"/>
      <c r="Y188" s="134" t="n"/>
      <c r="Z188" s="134" t="n"/>
      <c r="AA188" s="134" t="n"/>
      <c r="AB188" s="134" t="n"/>
      <c r="AC188" s="134" t="n"/>
      <c r="AD188" s="134" t="n"/>
      <c r="AE188" s="134" t="n"/>
      <c r="AF188" s="134" t="n"/>
    </row>
    <row r="189">
      <c r="A189" s="74" t="n"/>
      <c r="B189" s="74" t="n"/>
      <c r="C189" s="74" t="n"/>
      <c r="D189" s="145" t="n"/>
      <c r="E189" s="145" t="n"/>
      <c r="F189" s="143" t="n"/>
      <c r="G189" s="145" t="n"/>
      <c r="H189" s="145" t="n"/>
      <c r="I189" s="145" t="n"/>
      <c r="J189" s="145" t="n"/>
      <c r="K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row>
    <row r="190">
      <c r="A190" s="105" t="n"/>
      <c r="B190" s="105" t="n"/>
      <c r="C190" s="105" t="n"/>
      <c r="D190" s="86" t="n"/>
      <c r="E190" s="86" t="n"/>
      <c r="F190" s="86" t="n"/>
      <c r="G190" s="86" t="n"/>
      <c r="H190" s="86" t="n"/>
      <c r="I190" s="86" t="n"/>
      <c r="J190" s="86" t="n"/>
      <c r="K190" s="86" t="n"/>
      <c r="M190" s="86" t="n"/>
      <c r="N190" s="86" t="n"/>
      <c r="O190" s="86" t="n"/>
      <c r="P190" s="86" t="n"/>
      <c r="Q190" s="86" t="n"/>
      <c r="R190" s="86" t="n"/>
      <c r="S190" s="86" t="n"/>
      <c r="T190" s="86" t="n"/>
      <c r="U190" s="86" t="n"/>
      <c r="V190" s="86" t="n"/>
      <c r="W190" s="86" t="n"/>
      <c r="X190" s="86" t="n"/>
      <c r="Y190" s="86" t="n"/>
      <c r="Z190" s="86" t="n"/>
      <c r="AA190" s="86" t="n"/>
      <c r="AB190" s="86" t="n"/>
      <c r="AC190" s="86" t="n"/>
      <c r="AD190" s="86" t="n"/>
      <c r="AE190" s="86" t="n"/>
      <c r="AF190" s="86" t="n"/>
    </row>
    <row r="191">
      <c r="D191" s="145" t="n"/>
      <c r="E191" s="145" t="n"/>
      <c r="F191" s="145" t="n"/>
      <c r="G191" s="145" t="n"/>
      <c r="H191" s="145" t="n"/>
      <c r="I191" s="134" t="n"/>
      <c r="J191" s="145" t="n"/>
      <c r="K191" s="134" t="n"/>
      <c r="M191" s="134" t="n"/>
      <c r="N191" s="134" t="n"/>
      <c r="O191" s="134" t="n"/>
      <c r="P191" s="134" t="n"/>
      <c r="Q191" s="134" t="n"/>
      <c r="R191" s="134" t="n"/>
      <c r="S191" s="134" t="n"/>
      <c r="T191" s="134" t="n"/>
      <c r="U191" s="134" t="n"/>
      <c r="V191" s="134" t="n"/>
      <c r="W191" s="134" t="n"/>
      <c r="X191" s="134" t="n"/>
      <c r="Y191" s="134" t="n"/>
      <c r="Z191" s="134" t="n"/>
      <c r="AA191" s="134" t="n"/>
      <c r="AB191" s="134" t="n"/>
      <c r="AC191" s="134" t="n"/>
      <c r="AD191" s="134" t="n"/>
      <c r="AE191" s="134" t="n"/>
      <c r="AF191" s="134" t="n"/>
    </row>
    <row r="192" customFormat="1" s="22">
      <c r="D192" s="121" t="n"/>
      <c r="E192" s="121" t="n"/>
      <c r="F192" s="121" t="n"/>
      <c r="G192" s="121" t="n"/>
      <c r="H192" s="121" t="n"/>
      <c r="I192" s="121" t="n"/>
      <c r="J192" s="121" t="n"/>
      <c r="K192" s="121" t="n"/>
      <c r="M192" s="121" t="n"/>
      <c r="N192" s="121" t="n"/>
      <c r="O192" s="121" t="n"/>
      <c r="P192" s="121" t="n"/>
      <c r="Q192" s="121" t="n"/>
      <c r="R192" s="121" t="n"/>
      <c r="S192" s="121" t="n"/>
      <c r="T192" s="121" t="n"/>
      <c r="U192" s="121" t="n"/>
      <c r="V192" s="121" t="n"/>
      <c r="W192" s="121" t="n"/>
      <c r="X192" s="121" t="n"/>
      <c r="Y192" s="121" t="n"/>
      <c r="Z192" s="121" t="n"/>
      <c r="AA192" s="121" t="n"/>
      <c r="AB192" s="121" t="n"/>
      <c r="AC192" s="121" t="n"/>
      <c r="AD192" s="121" t="n"/>
      <c r="AE192" s="121" t="n"/>
      <c r="AF192" s="121" t="n"/>
    </row>
    <row r="193" customFormat="1" s="22">
      <c r="D193" s="121" t="n"/>
      <c r="E193" s="121" t="n"/>
      <c r="F193" s="121" t="n"/>
      <c r="G193" s="121" t="n"/>
      <c r="H193" s="121" t="n"/>
      <c r="I193" s="121" t="n"/>
      <c r="J193" s="121" t="n"/>
      <c r="K193" s="121" t="n"/>
      <c r="M193" s="121" t="n"/>
      <c r="N193" s="121" t="n"/>
      <c r="O193" s="121" t="n"/>
      <c r="P193" s="121" t="n"/>
      <c r="Q193" s="121" t="n"/>
      <c r="R193" s="121" t="n"/>
      <c r="S193" s="121" t="n"/>
      <c r="T193" s="121" t="n"/>
      <c r="U193" s="121" t="n"/>
      <c r="V193" s="121" t="n"/>
      <c r="W193" s="121" t="n"/>
      <c r="X193" s="121" t="n"/>
      <c r="Y193" s="121" t="n"/>
      <c r="Z193" s="121" t="n"/>
      <c r="AA193" s="121" t="n"/>
      <c r="AB193" s="121" t="n"/>
      <c r="AC193" s="121" t="n"/>
      <c r="AD193" s="121" t="n"/>
      <c r="AE193" s="121" t="n"/>
      <c r="AF193" s="121" t="n"/>
    </row>
    <row r="194">
      <c r="A194" s="136" t="n"/>
      <c r="B194" s="136" t="n"/>
      <c r="C194" s="136" t="n"/>
      <c r="D194" s="120" t="n"/>
      <c r="E194" s="120" t="n"/>
      <c r="F194" s="120" t="n"/>
      <c r="G194" s="120" t="n"/>
      <c r="H194" s="120" t="n"/>
      <c r="I194" s="120" t="n"/>
      <c r="J194" s="120" t="n"/>
      <c r="K194" s="120" t="n"/>
      <c r="M194" s="120" t="n"/>
      <c r="N194" s="120" t="n"/>
      <c r="O194" s="120" t="n"/>
      <c r="P194" s="120" t="n"/>
      <c r="Q194" s="120" t="n"/>
      <c r="R194" s="120" t="n"/>
      <c r="S194" s="120" t="n"/>
      <c r="T194" s="120" t="n"/>
      <c r="U194" s="120" t="n"/>
      <c r="V194" s="120" t="n"/>
      <c r="W194" s="120" t="n"/>
      <c r="X194" s="120" t="n"/>
      <c r="Y194" s="120" t="n"/>
      <c r="Z194" s="120" t="n"/>
      <c r="AA194" s="120" t="n"/>
      <c r="AB194" s="120" t="n"/>
      <c r="AC194" s="120" t="n"/>
      <c r="AD194" s="120" t="n"/>
      <c r="AE194" s="120" t="n"/>
      <c r="AF194" s="120" t="n"/>
    </row>
    <row r="195">
      <c r="D195" s="108" t="n"/>
      <c r="E195" s="108" t="n"/>
      <c r="F195" s="108" t="n"/>
      <c r="G195" s="108" t="n"/>
      <c r="H195" s="108" t="n"/>
      <c r="I195" s="108" t="n"/>
      <c r="J195" s="108" t="n"/>
      <c r="K195" s="108" t="n"/>
      <c r="M195" s="108" t="n"/>
      <c r="N195" s="108" t="n"/>
      <c r="O195" s="108" t="n"/>
      <c r="P195" s="108" t="n"/>
      <c r="Q195" s="108" t="n"/>
      <c r="R195" s="108" t="n"/>
      <c r="S195" s="108" t="n"/>
      <c r="T195" s="108" t="n"/>
      <c r="U195" s="108" t="n"/>
      <c r="V195" s="108" t="n"/>
      <c r="W195" s="108" t="n"/>
      <c r="X195" s="108" t="n"/>
      <c r="Y195" s="108" t="n"/>
      <c r="Z195" s="108" t="n"/>
      <c r="AA195" s="108" t="n"/>
      <c r="AB195" s="108" t="n"/>
      <c r="AC195" s="108" t="n"/>
      <c r="AD195" s="108" t="n"/>
      <c r="AE195" s="108" t="n"/>
      <c r="AF195" s="108" t="n"/>
    </row>
    <row r="196">
      <c r="D196" s="108" t="n"/>
      <c r="E196" s="108" t="n"/>
      <c r="F196" s="108" t="n"/>
      <c r="G196" s="108" t="n"/>
      <c r="H196" s="108" t="n"/>
      <c r="I196" s="108" t="n"/>
      <c r="J196" s="108" t="n"/>
      <c r="K196" s="108" t="n"/>
      <c r="M196" s="108" t="n"/>
      <c r="N196" s="108" t="n"/>
      <c r="O196" s="108" t="n"/>
      <c r="P196" s="108" t="n"/>
      <c r="Q196" s="108" t="n"/>
      <c r="R196" s="108" t="n"/>
      <c r="S196" s="108" t="n"/>
      <c r="T196" s="108" t="n"/>
      <c r="U196" s="108" t="n"/>
      <c r="V196" s="108" t="n"/>
      <c r="W196" s="108" t="n"/>
      <c r="X196" s="108" t="n"/>
      <c r="Y196" s="108" t="n"/>
      <c r="Z196" s="108" t="n"/>
      <c r="AA196" s="108" t="n"/>
      <c r="AB196" s="108" t="n"/>
      <c r="AC196" s="108" t="n"/>
      <c r="AD196" s="108" t="n"/>
      <c r="AE196" s="108" t="n"/>
      <c r="AF196" s="108" t="n"/>
    </row>
    <row r="197">
      <c r="A197" s="169" t="n"/>
      <c r="B197" s="169" t="n"/>
      <c r="C197" s="169" t="n"/>
      <c r="D197" s="108" t="n"/>
      <c r="E197" s="108" t="n"/>
      <c r="F197" s="108" t="n"/>
      <c r="G197" s="108" t="n"/>
      <c r="H197" s="108" t="n"/>
      <c r="I197" s="108" t="n"/>
      <c r="J197" s="108" t="n"/>
      <c r="K197" s="108" t="n"/>
      <c r="M197" s="108" t="n"/>
      <c r="N197" s="108" t="n"/>
      <c r="O197" s="108" t="n"/>
      <c r="P197" s="108" t="n"/>
      <c r="Q197" s="108" t="n"/>
      <c r="R197" s="108" t="n"/>
      <c r="S197" s="108" t="n"/>
      <c r="T197" s="108" t="n"/>
      <c r="U197" s="108" t="n"/>
      <c r="V197" s="108" t="n"/>
      <c r="W197" s="108" t="n"/>
      <c r="X197" s="108" t="n"/>
      <c r="Y197" s="108" t="n"/>
      <c r="Z197" s="108" t="n"/>
      <c r="AA197" s="108" t="n"/>
      <c r="AB197" s="108" t="n"/>
      <c r="AC197" s="108" t="n"/>
      <c r="AD197" s="108" t="n"/>
      <c r="AE197" s="108" t="n"/>
      <c r="AF197" s="108" t="n"/>
    </row>
    <row r="198">
      <c r="D198" s="108" t="n"/>
      <c r="E198" s="108" t="n"/>
      <c r="F198" s="108" t="n"/>
      <c r="G198" s="108" t="n"/>
      <c r="H198" s="108" t="n"/>
      <c r="I198" s="108" t="n"/>
      <c r="J198" s="108" t="n"/>
      <c r="K198" s="108" t="n"/>
      <c r="M198" s="108" t="n"/>
      <c r="N198" s="108" t="n"/>
      <c r="O198" s="108" t="n"/>
      <c r="P198" s="108" t="n"/>
      <c r="Q198" s="108" t="n"/>
      <c r="R198" s="108" t="n"/>
      <c r="S198" s="108" t="n"/>
      <c r="T198" s="108" t="n"/>
      <c r="U198" s="108" t="n"/>
      <c r="V198" s="108" t="n"/>
      <c r="W198" s="108" t="n"/>
      <c r="X198" s="108" t="n"/>
      <c r="Y198" s="108" t="n"/>
      <c r="Z198" s="108" t="n"/>
      <c r="AA198" s="108" t="n"/>
      <c r="AB198" s="108" t="n"/>
      <c r="AC198" s="108" t="n"/>
      <c r="AD198" s="108" t="n"/>
      <c r="AE198" s="108" t="n"/>
      <c r="AF198" s="108" t="n"/>
    </row>
    <row r="199">
      <c r="A199" s="22" t="n"/>
      <c r="B199" s="22" t="n"/>
      <c r="C199" s="22" t="n"/>
      <c r="D199" s="108" t="n"/>
      <c r="E199" s="108" t="n"/>
      <c r="F199" s="108" t="n"/>
      <c r="G199" s="108" t="n"/>
      <c r="H199" s="108" t="n"/>
      <c r="I199" s="108" t="n"/>
      <c r="J199" s="108" t="n"/>
      <c r="K199" s="108" t="n"/>
      <c r="M199" s="108" t="n"/>
      <c r="N199" s="108" t="n"/>
      <c r="O199" s="108" t="n"/>
      <c r="P199" s="108" t="n"/>
      <c r="Q199" s="108" t="n"/>
      <c r="R199" s="108" t="n"/>
      <c r="S199" s="108" t="n"/>
      <c r="T199" s="108" t="n"/>
      <c r="U199" s="108" t="n"/>
      <c r="V199" s="108" t="n"/>
      <c r="W199" s="108" t="n"/>
      <c r="X199" s="108" t="n"/>
      <c r="Y199" s="108" t="n"/>
      <c r="Z199" s="108" t="n"/>
      <c r="AA199" s="108" t="n"/>
      <c r="AB199" s="108" t="n"/>
      <c r="AC199" s="108" t="n"/>
      <c r="AD199" s="108" t="n"/>
      <c r="AE199" s="108" t="n"/>
      <c r="AF199" s="108" t="n"/>
    </row>
    <row r="200">
      <c r="A200" s="105" t="n"/>
      <c r="B200" s="105" t="n"/>
      <c r="C200" s="105" t="n"/>
      <c r="D200" s="143" t="n"/>
      <c r="E200" s="143" t="n"/>
      <c r="F200" s="143" t="n"/>
      <c r="G200" s="143" t="n"/>
      <c r="H200" s="143" t="n"/>
      <c r="I200" s="143" t="n"/>
      <c r="J200" s="143" t="n"/>
      <c r="K200" s="143" t="n"/>
      <c r="M200" s="143" t="n"/>
      <c r="N200" s="143" t="n"/>
      <c r="O200" s="143" t="n"/>
      <c r="P200" s="143" t="n"/>
      <c r="Q200" s="143" t="n"/>
      <c r="R200" s="143" t="n"/>
      <c r="S200" s="143" t="n"/>
      <c r="T200" s="143" t="n"/>
      <c r="U200" s="143" t="n"/>
      <c r="V200" s="143" t="n"/>
      <c r="W200" s="143" t="n"/>
      <c r="X200" s="143" t="n"/>
      <c r="Y200" s="143" t="n"/>
      <c r="Z200" s="143" t="n"/>
      <c r="AA200" s="143" t="n"/>
      <c r="AB200" s="143" t="n"/>
      <c r="AC200" s="143" t="n"/>
      <c r="AD200" s="143" t="n"/>
      <c r="AE200" s="143" t="n"/>
      <c r="AF200" s="143" t="n"/>
    </row>
    <row r="201">
      <c r="D201" s="145" t="n"/>
      <c r="E201" s="145" t="n"/>
      <c r="F201" s="145" t="n"/>
      <c r="G201" s="145" t="n"/>
      <c r="H201" s="108" t="n"/>
      <c r="I201" s="145" t="n"/>
      <c r="J201" s="108" t="n"/>
      <c r="K201" s="145" t="n"/>
      <c r="M201" s="145" t="n"/>
      <c r="N201" s="145" t="n"/>
      <c r="O201" s="145" t="n"/>
      <c r="P201" s="145" t="n"/>
      <c r="Q201" s="145" t="n"/>
      <c r="R201" s="145" t="n"/>
      <c r="S201" s="145" t="n"/>
      <c r="T201" s="145" t="n"/>
      <c r="U201" s="145" t="n"/>
      <c r="V201" s="145" t="n"/>
      <c r="W201" s="145" t="n"/>
      <c r="X201" s="145" t="n"/>
      <c r="Y201" s="145" t="n"/>
      <c r="Z201" s="145" t="n"/>
      <c r="AA201" s="145" t="n"/>
      <c r="AB201" s="145" t="n"/>
      <c r="AC201" s="145" t="n"/>
      <c r="AD201" s="145" t="n"/>
      <c r="AE201" s="145" t="n"/>
      <c r="AF201" s="145" t="n"/>
    </row>
    <row r="202">
      <c r="D202" s="145" t="n"/>
      <c r="E202" s="145" t="n"/>
      <c r="F202" s="145" t="n"/>
      <c r="G202" s="145" t="n"/>
      <c r="H202" s="108" t="n"/>
      <c r="I202" s="145" t="n"/>
      <c r="J202" s="108" t="n"/>
      <c r="K202" s="145" t="n"/>
      <c r="M202" s="145" t="n"/>
      <c r="N202" s="145" t="n"/>
      <c r="O202" s="145" t="n"/>
      <c r="P202" s="145" t="n"/>
      <c r="Q202" s="145" t="n"/>
      <c r="R202" s="145" t="n"/>
      <c r="S202" s="145" t="n"/>
      <c r="T202" s="145" t="n"/>
      <c r="U202" s="145" t="n"/>
      <c r="V202" s="145" t="n"/>
      <c r="W202" s="145" t="n"/>
      <c r="X202" s="145" t="n"/>
      <c r="Y202" s="145" t="n"/>
      <c r="Z202" s="145" t="n"/>
      <c r="AA202" s="145" t="n"/>
      <c r="AB202" s="145" t="n"/>
      <c r="AC202" s="145" t="n"/>
      <c r="AD202" s="145" t="n"/>
      <c r="AE202" s="145" t="n"/>
      <c r="AF202" s="145" t="n"/>
    </row>
    <row r="203">
      <c r="A203" s="74" t="n"/>
      <c r="B203" s="74" t="n"/>
      <c r="C203" s="74" t="n"/>
      <c r="D203" s="143" t="n"/>
      <c r="E203" s="145" t="n"/>
      <c r="F203" s="143" t="n"/>
      <c r="G203" s="145" t="n"/>
      <c r="H203" s="76" t="n"/>
      <c r="I203" s="145" t="n"/>
      <c r="J203" s="76" t="n"/>
      <c r="K203" s="143" t="n"/>
      <c r="M203" s="145" t="n"/>
      <c r="N203" s="143" t="n"/>
      <c r="O203" s="145" t="n"/>
      <c r="P203" s="143" t="n"/>
      <c r="Q203" s="145" t="n"/>
      <c r="R203" s="143" t="n"/>
      <c r="S203" s="145" t="n"/>
      <c r="T203" s="143" t="n"/>
      <c r="U203" s="143" t="n"/>
      <c r="V203" s="143" t="n"/>
      <c r="W203" s="143" t="n"/>
      <c r="X203" s="145" t="n"/>
      <c r="Y203" s="143" t="n"/>
      <c r="Z203" s="145" t="n"/>
      <c r="AA203" s="143" t="n"/>
      <c r="AB203" s="145" t="n"/>
      <c r="AC203" s="143" t="n"/>
      <c r="AD203" s="145" t="n"/>
      <c r="AE203" s="143" t="n"/>
      <c r="AF203" s="145" t="n"/>
    </row>
    <row r="204">
      <c r="A204" s="74" t="n"/>
      <c r="B204" s="74" t="n"/>
      <c r="C204" s="74" t="n"/>
      <c r="D204" s="143" t="n"/>
      <c r="E204" s="145" t="n"/>
      <c r="F204" s="143" t="n"/>
      <c r="G204" s="145" t="n"/>
      <c r="H204" s="76" t="n"/>
      <c r="I204" s="145" t="n"/>
      <c r="J204" s="76" t="n"/>
      <c r="K204" s="143" t="n"/>
      <c r="M204" s="145" t="n"/>
      <c r="N204" s="143" t="n"/>
      <c r="O204" s="145" t="n"/>
      <c r="P204" s="143" t="n"/>
      <c r="Q204" s="145" t="n"/>
      <c r="R204" s="143" t="n"/>
      <c r="S204" s="145" t="n"/>
      <c r="T204" s="143" t="n"/>
      <c r="U204" s="143" t="n"/>
      <c r="V204" s="143" t="n"/>
      <c r="W204" s="143" t="n"/>
      <c r="X204" s="145" t="n"/>
      <c r="Y204" s="143" t="n"/>
      <c r="Z204" s="145" t="n"/>
      <c r="AA204" s="143" t="n"/>
      <c r="AB204" s="145" t="n"/>
      <c r="AC204" s="143" t="n"/>
      <c r="AD204" s="145" t="n"/>
      <c r="AE204" s="143" t="n"/>
      <c r="AF204" s="145" t="n"/>
    </row>
    <row r="205">
      <c r="A205" s="105" t="n"/>
      <c r="B205" s="105" t="n"/>
      <c r="C205" s="105" t="n"/>
      <c r="D205" s="143" t="n"/>
      <c r="E205" s="143" t="n"/>
      <c r="F205" s="143" t="n"/>
      <c r="G205" s="143" t="n"/>
      <c r="H205" s="76" t="n"/>
      <c r="I205" s="143" t="n"/>
      <c r="J205" s="76" t="n"/>
      <c r="K205" s="143" t="n"/>
      <c r="M205" s="145" t="n"/>
      <c r="N205" s="143" t="n"/>
      <c r="O205" s="145" t="n"/>
      <c r="P205" s="143" t="n"/>
      <c r="Q205" s="145" t="n"/>
      <c r="R205" s="143" t="n"/>
      <c r="S205" s="145" t="n"/>
      <c r="T205" s="143" t="n"/>
      <c r="U205" s="143" t="n"/>
      <c r="V205" s="143" t="n"/>
      <c r="W205" s="143" t="n"/>
      <c r="X205" s="145" t="n"/>
      <c r="Y205" s="143" t="n"/>
      <c r="Z205" s="145" t="n"/>
      <c r="AA205" s="143" t="n"/>
      <c r="AB205" s="145" t="n"/>
      <c r="AC205" s="143" t="n"/>
      <c r="AD205" s="145" t="n"/>
      <c r="AE205" s="143" t="n"/>
      <c r="AF205" s="145" t="n"/>
    </row>
    <row r="206">
      <c r="D206" s="143" t="n"/>
      <c r="E206" s="145" t="n"/>
      <c r="F206" s="143" t="n"/>
      <c r="G206" s="145" t="n"/>
      <c r="H206" s="76" t="n"/>
      <c r="I206" s="145" t="n"/>
      <c r="J206" s="76" t="n"/>
      <c r="K206" s="143" t="n"/>
      <c r="M206" s="145" t="n"/>
      <c r="N206" s="143" t="n"/>
      <c r="O206" s="145" t="n"/>
      <c r="P206" s="143" t="n"/>
      <c r="Q206" s="145" t="n"/>
      <c r="R206" s="143" t="n"/>
      <c r="S206" s="145" t="n"/>
      <c r="T206" s="143" t="n"/>
      <c r="U206" s="143" t="n"/>
      <c r="V206" s="143" t="n"/>
      <c r="W206" s="143" t="n"/>
      <c r="X206" s="145" t="n"/>
      <c r="Y206" s="143" t="n"/>
      <c r="Z206" s="145" t="n"/>
      <c r="AA206" s="143" t="n"/>
      <c r="AB206" s="145" t="n"/>
      <c r="AC206" s="143" t="n"/>
      <c r="AD206" s="145" t="n"/>
      <c r="AE206" s="143" t="n"/>
      <c r="AF206" s="145" t="n"/>
    </row>
    <row r="207">
      <c r="D207" s="143" t="n"/>
      <c r="E207" s="145" t="n"/>
      <c r="F207" s="143" t="n"/>
      <c r="G207" s="145" t="n"/>
      <c r="H207" s="76" t="n"/>
      <c r="I207" s="145" t="n"/>
      <c r="J207" s="76" t="n"/>
      <c r="K207" s="143" t="n"/>
      <c r="M207" s="145" t="n"/>
      <c r="N207" s="143" t="n"/>
      <c r="O207" s="145" t="n"/>
      <c r="P207" s="143" t="n"/>
      <c r="Q207" s="145" t="n"/>
      <c r="R207" s="143" t="n"/>
      <c r="S207" s="145" t="n"/>
      <c r="T207" s="143" t="n"/>
      <c r="U207" s="143" t="n"/>
      <c r="V207" s="143" t="n"/>
      <c r="W207" s="143" t="n"/>
      <c r="X207" s="145" t="n"/>
      <c r="Y207" s="143" t="n"/>
      <c r="Z207" s="145" t="n"/>
      <c r="AA207" s="143" t="n"/>
      <c r="AB207" s="145" t="n"/>
      <c r="AC207" s="143" t="n"/>
      <c r="AD207" s="145" t="n"/>
      <c r="AE207" s="143" t="n"/>
      <c r="AF207" s="145" t="n"/>
    </row>
    <row r="208">
      <c r="D208" s="143" t="n"/>
      <c r="E208" s="145" t="n"/>
      <c r="F208" s="143" t="n"/>
      <c r="G208" s="145" t="n"/>
      <c r="H208" s="76" t="n"/>
      <c r="I208" s="145" t="n"/>
      <c r="J208" s="76" t="n"/>
      <c r="K208" s="143" t="n"/>
      <c r="M208" s="145" t="n"/>
      <c r="N208" s="143" t="n"/>
      <c r="O208" s="145" t="n"/>
      <c r="P208" s="143" t="n"/>
      <c r="Q208" s="145" t="n"/>
      <c r="R208" s="143" t="n"/>
      <c r="S208" s="145" t="n"/>
      <c r="T208" s="143" t="n"/>
      <c r="U208" s="143" t="n"/>
      <c r="V208" s="143" t="n"/>
      <c r="W208" s="143" t="n"/>
      <c r="X208" s="145" t="n"/>
      <c r="Y208" s="143" t="n"/>
      <c r="Z208" s="145" t="n"/>
      <c r="AA208" s="143" t="n"/>
      <c r="AB208" s="145" t="n"/>
      <c r="AC208" s="143" t="n"/>
      <c r="AD208" s="145" t="n"/>
      <c r="AE208" s="143" t="n"/>
      <c r="AF208" s="145" t="n"/>
    </row>
    <row r="209">
      <c r="D209" s="143" t="n"/>
      <c r="E209" s="145" t="n"/>
      <c r="F209" s="143" t="n"/>
      <c r="G209" s="145" t="n"/>
      <c r="H209" s="76" t="n"/>
      <c r="I209" s="145" t="n"/>
      <c r="J209" s="76" t="n"/>
      <c r="K209" s="143" t="n"/>
      <c r="M209" s="145" t="n"/>
      <c r="N209" s="143" t="n"/>
      <c r="O209" s="145" t="n"/>
      <c r="P209" s="143" t="n"/>
      <c r="Q209" s="145" t="n"/>
      <c r="R209" s="143" t="n"/>
      <c r="S209" s="145" t="n"/>
      <c r="T209" s="143" t="n"/>
      <c r="U209" s="143" t="n"/>
      <c r="V209" s="143" t="n"/>
      <c r="W209" s="143" t="n"/>
      <c r="X209" s="145" t="n"/>
      <c r="Y209" s="143" t="n"/>
      <c r="Z209" s="145" t="n"/>
      <c r="AA209" s="143" t="n"/>
      <c r="AB209" s="145" t="n"/>
      <c r="AC209" s="143" t="n"/>
      <c r="AD209" s="145" t="n"/>
      <c r="AE209" s="143" t="n"/>
      <c r="AF209" s="145" t="n"/>
    </row>
    <row r="210">
      <c r="D210" s="143" t="n"/>
      <c r="E210" s="143" t="n"/>
      <c r="F210" s="143" t="n"/>
      <c r="G210" s="143" t="n"/>
      <c r="H210" s="76" t="n"/>
      <c r="I210" s="145" t="n"/>
      <c r="J210" s="76" t="n"/>
      <c r="K210" s="143" t="n"/>
      <c r="M210" s="145" t="n"/>
      <c r="N210" s="143" t="n"/>
      <c r="O210" s="145" t="n"/>
      <c r="P210" s="143" t="n"/>
      <c r="Q210" s="145" t="n"/>
      <c r="R210" s="143" t="n"/>
      <c r="S210" s="145" t="n"/>
      <c r="T210" s="143" t="n"/>
      <c r="U210" s="143" t="n"/>
      <c r="V210" s="143" t="n"/>
      <c r="W210" s="143" t="n"/>
      <c r="X210" s="145" t="n"/>
      <c r="Y210" s="143" t="n"/>
      <c r="Z210" s="145" t="n"/>
      <c r="AA210" s="143" t="n"/>
      <c r="AB210" s="145" t="n"/>
      <c r="AC210" s="143" t="n"/>
      <c r="AD210" s="145" t="n"/>
      <c r="AE210" s="143" t="n"/>
      <c r="AF210" s="145" t="n"/>
    </row>
    <row r="211">
      <c r="D211" s="143" t="n"/>
      <c r="E211" s="143" t="n"/>
      <c r="F211" s="143" t="n"/>
      <c r="G211" s="143" t="n"/>
      <c r="H211" s="76" t="n"/>
      <c r="I211" s="143" t="n"/>
      <c r="J211" s="76" t="n"/>
      <c r="K211" s="143" t="n"/>
      <c r="M211" s="145" t="n"/>
      <c r="N211" s="143" t="n"/>
      <c r="O211" s="145" t="n"/>
      <c r="P211" s="143" t="n"/>
      <c r="Q211" s="145" t="n"/>
      <c r="R211" s="143" t="n"/>
      <c r="S211" s="145" t="n"/>
      <c r="T211" s="143" t="n"/>
      <c r="U211" s="143" t="n"/>
      <c r="V211" s="143" t="n"/>
      <c r="W211" s="143" t="n"/>
      <c r="X211" s="145" t="n"/>
      <c r="Y211" s="143" t="n"/>
      <c r="Z211" s="145" t="n"/>
      <c r="AA211" s="143" t="n"/>
      <c r="AB211" s="145" t="n"/>
      <c r="AC211" s="143" t="n"/>
      <c r="AD211" s="145" t="n"/>
      <c r="AE211" s="143" t="n"/>
      <c r="AF211" s="145" t="n"/>
    </row>
    <row r="212">
      <c r="D212" s="143" t="n"/>
      <c r="E212" s="143" t="n"/>
      <c r="F212" s="143" t="n"/>
      <c r="G212" s="143" t="n"/>
      <c r="H212" s="76" t="n"/>
      <c r="I212" s="143" t="n"/>
      <c r="J212" s="76" t="n"/>
      <c r="K212" s="143" t="n"/>
      <c r="M212" s="145" t="n"/>
      <c r="N212" s="143" t="n"/>
      <c r="O212" s="145" t="n"/>
      <c r="P212" s="143" t="n"/>
      <c r="Q212" s="145" t="n"/>
      <c r="R212" s="143" t="n"/>
      <c r="S212" s="145" t="n"/>
      <c r="T212" s="143" t="n"/>
      <c r="U212" s="143" t="n"/>
      <c r="V212" s="143" t="n"/>
      <c r="W212" s="143" t="n"/>
      <c r="X212" s="145" t="n"/>
      <c r="Y212" s="143" t="n"/>
      <c r="Z212" s="145" t="n"/>
      <c r="AA212" s="143" t="n"/>
      <c r="AB212" s="145" t="n"/>
      <c r="AC212" s="143" t="n"/>
      <c r="AD212" s="145" t="n"/>
      <c r="AE212" s="143" t="n"/>
      <c r="AF212" s="145" t="n"/>
    </row>
    <row r="213">
      <c r="D213" s="143" t="n"/>
      <c r="E213" s="145" t="n"/>
      <c r="F213" s="143" t="n"/>
      <c r="G213" s="145" t="n"/>
      <c r="H213" s="76" t="n"/>
      <c r="I213" s="145" t="n"/>
      <c r="J213" s="76" t="n"/>
      <c r="K213" s="143" t="n"/>
      <c r="M213" s="145" t="n"/>
      <c r="N213" s="143" t="n"/>
      <c r="O213" s="145" t="n"/>
      <c r="P213" s="143" t="n"/>
      <c r="Q213" s="145" t="n"/>
      <c r="R213" s="143" t="n"/>
      <c r="S213" s="145" t="n"/>
      <c r="T213" s="143" t="n"/>
      <c r="U213" s="143" t="n"/>
      <c r="V213" s="143" t="n"/>
      <c r="W213" s="143" t="n"/>
      <c r="X213" s="145" t="n"/>
      <c r="Y213" s="143" t="n"/>
      <c r="Z213" s="145" t="n"/>
      <c r="AA213" s="143" t="n"/>
      <c r="AB213" s="145" t="n"/>
      <c r="AC213" s="143" t="n"/>
      <c r="AD213" s="145" t="n"/>
      <c r="AE213" s="143" t="n"/>
      <c r="AF213" s="145" t="n"/>
    </row>
    <row r="214">
      <c r="D214" s="143" t="n"/>
      <c r="E214" s="145" t="n"/>
      <c r="F214" s="143" t="n"/>
      <c r="G214" s="145" t="n"/>
      <c r="H214" s="76" t="n"/>
      <c r="I214" s="143" t="n"/>
      <c r="J214" s="76" t="n"/>
      <c r="K214" s="143" t="n"/>
      <c r="M214" s="143" t="n"/>
      <c r="N214" s="143" t="n"/>
      <c r="O214" s="143" t="n"/>
      <c r="P214" s="143" t="n"/>
      <c r="Q214" s="143" t="n"/>
      <c r="R214" s="143" t="n"/>
      <c r="S214" s="143" t="n"/>
      <c r="T214" s="143" t="n"/>
      <c r="U214" s="143" t="n"/>
      <c r="V214" s="143" t="n"/>
      <c r="W214" s="143" t="n"/>
      <c r="X214" s="143" t="n"/>
      <c r="Y214" s="143" t="n"/>
      <c r="Z214" s="143" t="n"/>
      <c r="AA214" s="143" t="n"/>
      <c r="AB214" s="143" t="n"/>
      <c r="AC214" s="143" t="n"/>
      <c r="AD214" s="143" t="n"/>
      <c r="AE214" s="143" t="n"/>
      <c r="AF214" s="143" t="n"/>
    </row>
    <row r="215">
      <c r="D215" s="143" t="n"/>
      <c r="E215" s="145" t="n"/>
      <c r="F215" s="143" t="n"/>
      <c r="G215" s="145" t="n"/>
      <c r="H215" s="76" t="n"/>
      <c r="I215" s="145" t="n"/>
      <c r="J215" s="76" t="n"/>
      <c r="K215" s="143" t="n"/>
      <c r="M215" s="145" t="n"/>
      <c r="N215" s="143" t="n"/>
      <c r="O215" s="145" t="n"/>
      <c r="P215" s="143" t="n"/>
      <c r="Q215" s="145" t="n"/>
      <c r="R215" s="143" t="n"/>
      <c r="S215" s="145" t="n"/>
      <c r="T215" s="143" t="n"/>
      <c r="U215" s="143" t="n"/>
      <c r="V215" s="143" t="n"/>
      <c r="W215" s="143" t="n"/>
      <c r="X215" s="145" t="n"/>
      <c r="Y215" s="143" t="n"/>
      <c r="Z215" s="145" t="n"/>
      <c r="AA215" s="143" t="n"/>
      <c r="AB215" s="145" t="n"/>
      <c r="AC215" s="143" t="n"/>
      <c r="AD215" s="145" t="n"/>
      <c r="AE215" s="143" t="n"/>
      <c r="AF215" s="145" t="n"/>
    </row>
    <row r="216">
      <c r="D216" s="143" t="n"/>
      <c r="E216" s="143" t="n"/>
      <c r="F216" s="143" t="n"/>
      <c r="G216" s="143" t="n"/>
      <c r="H216" s="76" t="n"/>
      <c r="I216" s="143" t="n"/>
      <c r="J216" s="76" t="n"/>
      <c r="K216" s="143" t="n"/>
      <c r="M216" s="143" t="n"/>
      <c r="N216" s="143" t="n"/>
      <c r="O216" s="143" t="n"/>
      <c r="P216" s="143" t="n"/>
      <c r="Q216" s="143" t="n"/>
      <c r="R216" s="143" t="n"/>
      <c r="S216" s="143" t="n"/>
      <c r="T216" s="143" t="n"/>
      <c r="U216" s="143" t="n"/>
      <c r="V216" s="143" t="n"/>
      <c r="W216" s="143" t="n"/>
      <c r="X216" s="143" t="n"/>
      <c r="Y216" s="143" t="n"/>
      <c r="Z216" s="143" t="n"/>
      <c r="AA216" s="143" t="n"/>
      <c r="AB216" s="143" t="n"/>
      <c r="AC216" s="143" t="n"/>
      <c r="AD216" s="143" t="n"/>
      <c r="AE216" s="143" t="n"/>
      <c r="AF216" s="143" t="n"/>
    </row>
    <row r="217">
      <c r="D217" s="143" t="n"/>
      <c r="E217" s="143" t="n"/>
      <c r="F217" s="143" t="n"/>
      <c r="G217" s="143" t="n"/>
      <c r="H217" s="76" t="n"/>
      <c r="I217" s="143" t="n"/>
      <c r="J217" s="76" t="n"/>
      <c r="K217" s="143" t="n"/>
      <c r="M217" s="143" t="n"/>
      <c r="N217" s="143" t="n"/>
      <c r="O217" s="143" t="n"/>
      <c r="P217" s="143" t="n"/>
      <c r="Q217" s="143" t="n"/>
      <c r="R217" s="143" t="n"/>
      <c r="S217" s="143" t="n"/>
      <c r="T217" s="143" t="n"/>
      <c r="U217" s="143" t="n"/>
      <c r="V217" s="143" t="n"/>
      <c r="W217" s="143" t="n"/>
      <c r="X217" s="143" t="n"/>
      <c r="Y217" s="143" t="n"/>
      <c r="Z217" s="143" t="n"/>
      <c r="AA217" s="143" t="n"/>
      <c r="AB217" s="143" t="n"/>
      <c r="AC217" s="143" t="n"/>
      <c r="AD217" s="143" t="n"/>
      <c r="AE217" s="143" t="n"/>
      <c r="AF217" s="143" t="n"/>
    </row>
    <row r="218">
      <c r="A218" s="74" t="n"/>
      <c r="B218" s="74" t="n"/>
      <c r="C218" s="74" t="n"/>
      <c r="D218" s="143" t="n"/>
      <c r="E218" s="145" t="n"/>
      <c r="F218" s="143" t="n"/>
      <c r="G218" s="145" t="n"/>
      <c r="H218" s="76" t="n"/>
      <c r="I218" s="145" t="n"/>
      <c r="J218" s="76" t="n"/>
      <c r="K218" s="143" t="n"/>
      <c r="M218" s="145" t="n"/>
      <c r="N218" s="143" t="n"/>
      <c r="O218" s="145" t="n"/>
      <c r="P218" s="143" t="n"/>
      <c r="Q218" s="145" t="n"/>
      <c r="R218" s="143" t="n"/>
      <c r="S218" s="145" t="n"/>
      <c r="T218" s="143" t="n"/>
      <c r="U218" s="143" t="n"/>
      <c r="V218" s="143" t="n"/>
      <c r="W218" s="143" t="n"/>
      <c r="X218" s="145" t="n"/>
      <c r="Y218" s="143" t="n"/>
      <c r="Z218" s="145" t="n"/>
      <c r="AA218" s="143" t="n"/>
      <c r="AB218" s="145" t="n"/>
      <c r="AC218" s="143" t="n"/>
      <c r="AD218" s="145" t="n"/>
      <c r="AE218" s="143" t="n"/>
      <c r="AF218" s="145" t="n"/>
    </row>
    <row r="219">
      <c r="A219" s="74" t="n"/>
      <c r="B219" s="74" t="n"/>
      <c r="C219" s="74" t="n"/>
      <c r="D219" s="143" t="n"/>
      <c r="E219" s="145" t="n"/>
      <c r="F219" s="143" t="n"/>
      <c r="G219" s="145" t="n"/>
      <c r="H219" s="76" t="n"/>
      <c r="I219" s="145" t="n"/>
      <c r="J219" s="76" t="n"/>
      <c r="K219" s="143" t="n"/>
      <c r="M219" s="145" t="n"/>
      <c r="N219" s="143" t="n"/>
      <c r="O219" s="145" t="n"/>
      <c r="P219" s="143" t="n"/>
      <c r="Q219" s="145" t="n"/>
      <c r="R219" s="143" t="n"/>
      <c r="S219" s="145" t="n"/>
      <c r="T219" s="143" t="n"/>
      <c r="U219" s="143" t="n"/>
      <c r="V219" s="143" t="n"/>
      <c r="W219" s="143" t="n"/>
      <c r="X219" s="145" t="n"/>
      <c r="Y219" s="143" t="n"/>
      <c r="Z219" s="145" t="n"/>
      <c r="AA219" s="143" t="n"/>
      <c r="AB219" s="145" t="n"/>
      <c r="AC219" s="143" t="n"/>
      <c r="AD219" s="145" t="n"/>
      <c r="AE219" s="143" t="n"/>
      <c r="AF219" s="145" t="n"/>
    </row>
    <row r="220">
      <c r="D220" s="143" t="n"/>
      <c r="E220" s="143" t="n"/>
      <c r="F220" s="143" t="n"/>
      <c r="G220" s="143" t="n"/>
      <c r="H220" s="76" t="n"/>
      <c r="I220" s="143" t="n"/>
      <c r="J220" s="76" t="n"/>
      <c r="K220" s="143" t="n"/>
      <c r="M220" s="143" t="n"/>
      <c r="N220" s="143" t="n"/>
      <c r="O220" s="143" t="n"/>
      <c r="P220" s="143" t="n"/>
      <c r="Q220" s="143" t="n"/>
      <c r="R220" s="143" t="n"/>
      <c r="S220" s="143" t="n"/>
      <c r="T220" s="143" t="n"/>
      <c r="U220" s="143" t="n"/>
      <c r="V220" s="143" t="n"/>
      <c r="W220" s="143" t="n"/>
      <c r="X220" s="143" t="n"/>
      <c r="Y220" s="143" t="n"/>
      <c r="Z220" s="143" t="n"/>
      <c r="AA220" s="143" t="n"/>
      <c r="AB220" s="143" t="n"/>
      <c r="AC220" s="143" t="n"/>
      <c r="AD220" s="143" t="n"/>
      <c r="AE220" s="143" t="n"/>
      <c r="AF220" s="143" t="n"/>
    </row>
    <row r="221">
      <c r="A221" s="74" t="n"/>
      <c r="B221" s="74" t="n"/>
      <c r="C221" s="74" t="n"/>
      <c r="D221" s="143" t="n"/>
      <c r="E221" s="145" t="n"/>
      <c r="F221" s="143" t="n"/>
      <c r="G221" s="145" t="n"/>
      <c r="H221" s="76" t="n"/>
      <c r="I221" s="145" t="n"/>
      <c r="J221" s="76" t="n"/>
      <c r="K221" s="143" t="n"/>
      <c r="M221" s="145" t="n"/>
      <c r="N221" s="143" t="n"/>
      <c r="O221" s="145" t="n"/>
      <c r="P221" s="143" t="n"/>
      <c r="Q221" s="145" t="n"/>
      <c r="R221" s="143" t="n"/>
      <c r="S221" s="145" t="n"/>
      <c r="T221" s="143" t="n"/>
      <c r="U221" s="143" t="n"/>
      <c r="V221" s="143" t="n"/>
      <c r="W221" s="143" t="n"/>
      <c r="X221" s="145" t="n"/>
      <c r="Y221" s="143" t="n"/>
      <c r="Z221" s="145" t="n"/>
      <c r="AA221" s="143" t="n"/>
      <c r="AB221" s="145" t="n"/>
      <c r="AC221" s="143" t="n"/>
      <c r="AD221" s="145" t="n"/>
      <c r="AE221" s="143" t="n"/>
      <c r="AF221" s="145" t="n"/>
    </row>
    <row r="222">
      <c r="A222" s="74" t="n"/>
      <c r="B222" s="74" t="n"/>
      <c r="C222" s="74" t="n"/>
      <c r="D222" s="143" t="n"/>
      <c r="E222" s="145" t="n"/>
      <c r="F222" s="143" t="n"/>
      <c r="G222" s="145" t="n"/>
      <c r="H222" s="76" t="n"/>
      <c r="I222" s="145" t="n"/>
      <c r="J222" s="76" t="n"/>
      <c r="K222" s="143" t="n"/>
      <c r="M222" s="145" t="n"/>
      <c r="N222" s="143" t="n"/>
      <c r="O222" s="145" t="n"/>
      <c r="P222" s="143" t="n"/>
      <c r="Q222" s="145" t="n"/>
      <c r="R222" s="143" t="n"/>
      <c r="S222" s="145" t="n"/>
      <c r="T222" s="143" t="n"/>
      <c r="U222" s="143" t="n"/>
      <c r="V222" s="143" t="n"/>
      <c r="W222" s="143" t="n"/>
      <c r="X222" s="145" t="n"/>
      <c r="Y222" s="143" t="n"/>
      <c r="Z222" s="145" t="n"/>
      <c r="AA222" s="143" t="n"/>
      <c r="AB222" s="145" t="n"/>
      <c r="AC222" s="143" t="n"/>
      <c r="AD222" s="145" t="n"/>
      <c r="AE222" s="143" t="n"/>
      <c r="AF222" s="145" t="n"/>
    </row>
    <row r="223">
      <c r="D223" s="143" t="n"/>
      <c r="E223" s="145" t="n"/>
      <c r="F223" s="143" t="n"/>
      <c r="G223" s="145" t="n"/>
      <c r="H223" s="76" t="n"/>
      <c r="I223" s="145" t="n"/>
      <c r="J223" s="76" t="n"/>
      <c r="K223" s="143" t="n"/>
      <c r="M223" s="145" t="n"/>
      <c r="N223" s="143" t="n"/>
      <c r="O223" s="145" t="n"/>
      <c r="P223" s="143" t="n"/>
      <c r="Q223" s="145" t="n"/>
      <c r="R223" s="143" t="n"/>
      <c r="S223" s="145" t="n"/>
      <c r="T223" s="143" t="n"/>
      <c r="U223" s="143" t="n"/>
      <c r="V223" s="143" t="n"/>
      <c r="W223" s="143" t="n"/>
      <c r="X223" s="145" t="n"/>
      <c r="Y223" s="143" t="n"/>
      <c r="Z223" s="145" t="n"/>
      <c r="AA223" s="143" t="n"/>
      <c r="AB223" s="145" t="n"/>
      <c r="AC223" s="143" t="n"/>
      <c r="AD223" s="145" t="n"/>
      <c r="AE223" s="143" t="n"/>
      <c r="AF223" s="145" t="n"/>
    </row>
    <row r="224">
      <c r="D224" s="143" t="n"/>
      <c r="E224" s="145" t="n"/>
      <c r="F224" s="143" t="n"/>
      <c r="G224" s="145" t="n"/>
      <c r="H224" s="76" t="n"/>
      <c r="I224" s="145" t="n"/>
      <c r="J224" s="76" t="n"/>
      <c r="K224" s="143" t="n"/>
      <c r="M224" s="145" t="n"/>
      <c r="N224" s="143" t="n"/>
      <c r="O224" s="145" t="n"/>
      <c r="P224" s="143" t="n"/>
      <c r="Q224" s="145" t="n"/>
      <c r="R224" s="143" t="n"/>
      <c r="S224" s="145" t="n"/>
      <c r="T224" s="143" t="n"/>
      <c r="U224" s="143" t="n"/>
      <c r="V224" s="143" t="n"/>
      <c r="W224" s="143" t="n"/>
      <c r="X224" s="145" t="n"/>
      <c r="Y224" s="143" t="n"/>
      <c r="Z224" s="145" t="n"/>
      <c r="AA224" s="143" t="n"/>
      <c r="AB224" s="145" t="n"/>
      <c r="AC224" s="143" t="n"/>
      <c r="AD224" s="145" t="n"/>
      <c r="AE224" s="143" t="n"/>
      <c r="AF224" s="145" t="n"/>
    </row>
    <row r="225">
      <c r="D225" s="143" t="n"/>
      <c r="E225" s="143" t="n"/>
      <c r="F225" s="143" t="n"/>
      <c r="G225" s="143" t="n"/>
      <c r="H225" s="76" t="n"/>
      <c r="I225" s="143" t="n"/>
      <c r="J225" s="76" t="n"/>
      <c r="K225" s="143" t="n"/>
      <c r="M225" s="145" t="n"/>
      <c r="N225" s="143" t="n"/>
      <c r="O225" s="145" t="n"/>
      <c r="P225" s="143" t="n"/>
      <c r="Q225" s="145" t="n"/>
      <c r="R225" s="143" t="n"/>
      <c r="S225" s="145" t="n"/>
      <c r="T225" s="143" t="n"/>
      <c r="U225" s="143" t="n"/>
      <c r="V225" s="143" t="n"/>
      <c r="W225" s="143" t="n"/>
      <c r="X225" s="145" t="n"/>
      <c r="Y225" s="143" t="n"/>
      <c r="Z225" s="145" t="n"/>
      <c r="AA225" s="143" t="n"/>
      <c r="AB225" s="145" t="n"/>
      <c r="AC225" s="143" t="n"/>
      <c r="AD225" s="145" t="n"/>
      <c r="AE225" s="143" t="n"/>
      <c r="AF225" s="145" t="n"/>
    </row>
    <row r="226">
      <c r="D226" s="143" t="n"/>
      <c r="E226" s="145" t="n"/>
      <c r="F226" s="143" t="n"/>
      <c r="G226" s="143" t="n"/>
      <c r="H226" s="76" t="n"/>
      <c r="I226" s="143" t="n"/>
      <c r="J226" s="76" t="n"/>
      <c r="K226" s="143" t="n"/>
      <c r="M226" s="143" t="n"/>
      <c r="N226" s="143" t="n"/>
      <c r="O226" s="143" t="n"/>
      <c r="P226" s="143" t="n"/>
      <c r="Q226" s="143" t="n"/>
      <c r="R226" s="143" t="n"/>
      <c r="S226" s="143" t="n"/>
      <c r="T226" s="143" t="n"/>
      <c r="U226" s="143" t="n"/>
      <c r="V226" s="143" t="n"/>
      <c r="W226" s="143" t="n"/>
      <c r="X226" s="143" t="n"/>
      <c r="Y226" s="143" t="n"/>
      <c r="Z226" s="143" t="n"/>
      <c r="AA226" s="143" t="n"/>
      <c r="AB226" s="143" t="n"/>
      <c r="AC226" s="143" t="n"/>
      <c r="AD226" s="143" t="n"/>
      <c r="AE226" s="143" t="n"/>
      <c r="AF226" s="143" t="n"/>
    </row>
    <row r="227">
      <c r="D227" s="143" t="n"/>
      <c r="E227" s="145" t="n"/>
      <c r="F227" s="143" t="n"/>
      <c r="G227" s="145" t="n"/>
      <c r="H227" s="76" t="n"/>
      <c r="I227" s="145" t="n"/>
      <c r="J227" s="76" t="n"/>
      <c r="K227" s="143" t="n"/>
      <c r="M227" s="143" t="n"/>
      <c r="N227" s="143" t="n"/>
      <c r="O227" s="143" t="n"/>
      <c r="P227" s="143" t="n"/>
      <c r="Q227" s="143" t="n"/>
      <c r="R227" s="143" t="n"/>
      <c r="S227" s="143" t="n"/>
      <c r="T227" s="143" t="n"/>
      <c r="U227" s="143" t="n"/>
      <c r="V227" s="143" t="n"/>
      <c r="W227" s="143" t="n"/>
      <c r="X227" s="143" t="n"/>
      <c r="Y227" s="143" t="n"/>
      <c r="Z227" s="143" t="n"/>
      <c r="AA227" s="143" t="n"/>
      <c r="AB227" s="143" t="n"/>
      <c r="AC227" s="143" t="n"/>
      <c r="AD227" s="143" t="n"/>
      <c r="AE227" s="143" t="n"/>
      <c r="AF227" s="143" t="n"/>
    </row>
    <row r="228">
      <c r="D228" s="143" t="n"/>
      <c r="E228" s="143" t="n"/>
      <c r="F228" s="143" t="n"/>
      <c r="G228" s="143" t="n"/>
      <c r="H228" s="76" t="n"/>
      <c r="I228" s="143" t="n"/>
      <c r="J228" s="76" t="n"/>
      <c r="K228" s="143" t="n"/>
      <c r="M228" s="143" t="n"/>
      <c r="N228" s="143" t="n"/>
      <c r="O228" s="143" t="n"/>
      <c r="P228" s="143" t="n"/>
      <c r="Q228" s="143" t="n"/>
      <c r="R228" s="143" t="n"/>
      <c r="S228" s="143" t="n"/>
      <c r="T228" s="143" t="n"/>
      <c r="U228" s="143" t="n"/>
      <c r="V228" s="143" t="n"/>
      <c r="W228" s="143" t="n"/>
      <c r="X228" s="143" t="n"/>
      <c r="Y228" s="143" t="n"/>
      <c r="Z228" s="143" t="n"/>
      <c r="AA228" s="143" t="n"/>
      <c r="AB228" s="143" t="n"/>
      <c r="AC228" s="143" t="n"/>
      <c r="AD228" s="143" t="n"/>
      <c r="AE228" s="143" t="n"/>
      <c r="AF228" s="143" t="n"/>
    </row>
    <row r="229">
      <c r="A229" s="74" t="n"/>
      <c r="B229" s="74" t="n"/>
      <c r="C229" s="74" t="n"/>
      <c r="D229" s="143" t="n"/>
      <c r="E229" s="145" t="n"/>
      <c r="F229" s="143" t="n"/>
      <c r="G229" s="145" t="n"/>
      <c r="H229" s="76" t="n"/>
      <c r="I229" s="145" t="n"/>
      <c r="J229" s="76" t="n"/>
      <c r="K229" s="143" t="n"/>
      <c r="M229" s="145" t="n"/>
      <c r="N229" s="143" t="n"/>
      <c r="O229" s="145" t="n"/>
      <c r="P229" s="143" t="n"/>
      <c r="Q229" s="145" t="n"/>
      <c r="R229" s="143" t="n"/>
      <c r="S229" s="145" t="n"/>
      <c r="T229" s="143" t="n"/>
      <c r="U229" s="143" t="n"/>
      <c r="V229" s="143" t="n"/>
      <c r="W229" s="143" t="n"/>
      <c r="X229" s="145" t="n"/>
      <c r="Y229" s="143" t="n"/>
      <c r="Z229" s="145" t="n"/>
      <c r="AA229" s="143" t="n"/>
      <c r="AB229" s="145" t="n"/>
      <c r="AC229" s="143" t="n"/>
      <c r="AD229" s="145" t="n"/>
      <c r="AE229" s="143" t="n"/>
      <c r="AF229" s="145" t="n"/>
    </row>
    <row r="230">
      <c r="A230" s="74" t="n"/>
      <c r="B230" s="74" t="n"/>
      <c r="C230" s="74" t="n"/>
      <c r="D230" s="143" t="n"/>
      <c r="E230" s="145" t="n"/>
      <c r="F230" s="143" t="n"/>
      <c r="G230" s="145" t="n"/>
      <c r="H230" s="76" t="n"/>
      <c r="I230" s="145" t="n"/>
      <c r="J230" s="76" t="n"/>
      <c r="K230" s="143" t="n"/>
      <c r="M230" s="145" t="n"/>
      <c r="N230" s="143" t="n"/>
      <c r="O230" s="145" t="n"/>
      <c r="P230" s="143" t="n"/>
      <c r="Q230" s="145" t="n"/>
      <c r="R230" s="143" t="n"/>
      <c r="S230" s="145" t="n"/>
      <c r="T230" s="143" t="n"/>
      <c r="U230" s="143" t="n"/>
      <c r="V230" s="143" t="n"/>
      <c r="W230" s="143" t="n"/>
      <c r="X230" s="145" t="n"/>
      <c r="Y230" s="143" t="n"/>
      <c r="Z230" s="145" t="n"/>
      <c r="AA230" s="143" t="n"/>
      <c r="AB230" s="145" t="n"/>
      <c r="AC230" s="143" t="n"/>
      <c r="AD230" s="145" t="n"/>
      <c r="AE230" s="143" t="n"/>
      <c r="AF230" s="145" t="n"/>
    </row>
    <row r="231">
      <c r="A231" s="74" t="n"/>
      <c r="B231" s="74" t="n"/>
      <c r="C231" s="74" t="n"/>
      <c r="D231" s="143" t="n"/>
      <c r="E231" s="145" t="n"/>
      <c r="F231" s="143" t="n"/>
      <c r="G231" s="145" t="n"/>
      <c r="H231" s="76" t="n"/>
      <c r="I231" s="145" t="n"/>
      <c r="J231" s="76" t="n"/>
      <c r="K231" s="143" t="n"/>
      <c r="M231" s="145" t="n"/>
      <c r="N231" s="143" t="n"/>
      <c r="O231" s="145" t="n"/>
      <c r="P231" s="143" t="n"/>
      <c r="Q231" s="145" t="n"/>
      <c r="R231" s="143" t="n"/>
      <c r="S231" s="145" t="n"/>
      <c r="T231" s="143" t="n"/>
      <c r="U231" s="143" t="n"/>
      <c r="V231" s="143" t="n"/>
      <c r="W231" s="143" t="n"/>
      <c r="X231" s="145" t="n"/>
      <c r="Y231" s="143" t="n"/>
      <c r="Z231" s="145" t="n"/>
      <c r="AA231" s="143" t="n"/>
      <c r="AB231" s="145" t="n"/>
      <c r="AC231" s="143" t="n"/>
      <c r="AD231" s="145" t="n"/>
      <c r="AE231" s="143" t="n"/>
      <c r="AF231" s="145" t="n"/>
    </row>
    <row r="232">
      <c r="D232" s="143" t="n"/>
      <c r="E232" s="145" t="n"/>
      <c r="F232" s="145" t="n"/>
      <c r="G232" s="141" t="n"/>
      <c r="H232" s="145" t="n"/>
      <c r="I232" s="141" t="n"/>
      <c r="J232" s="145" t="n"/>
      <c r="K232" s="145" t="n"/>
      <c r="M232" s="141" t="n"/>
      <c r="N232" s="145" t="n"/>
      <c r="O232" s="141" t="n"/>
      <c r="P232" s="145" t="n"/>
      <c r="Q232" s="145" t="n"/>
      <c r="R232" s="145" t="n"/>
      <c r="S232" s="141" t="n"/>
      <c r="T232" s="145" t="n"/>
      <c r="U232" s="145" t="n"/>
      <c r="V232" s="143" t="n"/>
      <c r="W232" s="143" t="n"/>
      <c r="X232" s="145" t="n"/>
      <c r="Y232" s="143" t="n"/>
      <c r="Z232" s="145" t="n"/>
      <c r="AA232" s="143" t="n"/>
      <c r="AB232" s="145" t="n"/>
      <c r="AC232" s="143" t="n"/>
      <c r="AD232" s="145" t="n"/>
      <c r="AE232" s="143" t="n"/>
      <c r="AF232" s="145" t="n"/>
    </row>
    <row r="233">
      <c r="D233" s="143" t="n"/>
      <c r="E233" s="145" t="n"/>
      <c r="F233" s="143" t="n"/>
      <c r="G233" s="145" t="n"/>
      <c r="H233" s="76" t="n"/>
      <c r="I233" s="145" t="n"/>
      <c r="J233" s="76" t="n"/>
      <c r="K233" s="143" t="n"/>
      <c r="M233" s="145" t="n"/>
      <c r="N233" s="143" t="n"/>
      <c r="O233" s="145" t="n"/>
      <c r="P233" s="143" t="n"/>
      <c r="Q233" s="145" t="n"/>
      <c r="R233" s="143" t="n"/>
      <c r="S233" s="145" t="n"/>
      <c r="T233" s="143" t="n"/>
      <c r="U233" s="143" t="n"/>
      <c r="V233" s="143" t="n"/>
      <c r="W233" s="143" t="n"/>
      <c r="X233" s="145" t="n"/>
      <c r="Y233" s="143" t="n"/>
      <c r="Z233" s="145" t="n"/>
      <c r="AA233" s="143" t="n"/>
      <c r="AB233" s="145" t="n"/>
      <c r="AC233" s="143" t="n"/>
      <c r="AD233" s="145" t="n"/>
      <c r="AE233" s="143" t="n"/>
      <c r="AF233" s="145" t="n"/>
    </row>
    <row r="234">
      <c r="D234" s="143" t="n"/>
      <c r="E234" s="145" t="n"/>
      <c r="F234" s="143" t="n"/>
      <c r="G234" s="145" t="n"/>
      <c r="H234" s="76" t="n"/>
      <c r="I234" s="145" t="n"/>
      <c r="J234" s="76" t="n"/>
      <c r="K234" s="143" t="n"/>
      <c r="M234" s="145" t="n"/>
      <c r="N234" s="143" t="n"/>
      <c r="O234" s="145" t="n"/>
      <c r="P234" s="143" t="n"/>
      <c r="Q234" s="145" t="n"/>
      <c r="R234" s="143" t="n"/>
      <c r="S234" s="145" t="n"/>
      <c r="T234" s="143" t="n"/>
      <c r="U234" s="143" t="n"/>
      <c r="V234" s="143" t="n"/>
      <c r="W234" s="143" t="n"/>
      <c r="X234" s="145" t="n"/>
      <c r="Y234" s="143" t="n"/>
      <c r="Z234" s="145" t="n"/>
      <c r="AA234" s="143" t="n"/>
      <c r="AB234" s="145" t="n"/>
      <c r="AC234" s="143" t="n"/>
      <c r="AD234" s="145" t="n"/>
      <c r="AE234" s="143" t="n"/>
      <c r="AF234" s="145" t="n"/>
    </row>
    <row r="235">
      <c r="D235" s="143" t="n"/>
      <c r="E235" s="145" t="n"/>
      <c r="F235" s="143" t="n"/>
      <c r="G235" s="145" t="n"/>
      <c r="H235" s="76" t="n"/>
      <c r="I235" s="145" t="n"/>
      <c r="J235" s="76" t="n"/>
      <c r="K235" s="143" t="n"/>
      <c r="M235" s="145" t="n"/>
      <c r="N235" s="143" t="n"/>
      <c r="O235" s="145" t="n"/>
      <c r="P235" s="143" t="n"/>
      <c r="Q235" s="145" t="n"/>
      <c r="R235" s="143" t="n"/>
      <c r="S235" s="145" t="n"/>
      <c r="T235" s="143" t="n"/>
      <c r="U235" s="143" t="n"/>
      <c r="V235" s="143" t="n"/>
      <c r="W235" s="143" t="n"/>
      <c r="X235" s="145" t="n"/>
      <c r="Y235" s="143" t="n"/>
      <c r="Z235" s="145" t="n"/>
      <c r="AA235" s="143" t="n"/>
      <c r="AB235" s="145" t="n"/>
      <c r="AC235" s="143" t="n"/>
      <c r="AD235" s="145" t="n"/>
      <c r="AE235" s="143" t="n"/>
      <c r="AF235" s="145" t="n"/>
    </row>
    <row r="236">
      <c r="D236" s="143" t="n"/>
      <c r="E236" s="145" t="n"/>
      <c r="F236" s="143" t="n"/>
      <c r="G236" s="145" t="n"/>
      <c r="H236" s="76" t="n"/>
      <c r="I236" s="145" t="n"/>
      <c r="J236" s="76" t="n"/>
      <c r="K236" s="143" t="n"/>
      <c r="M236" s="145" t="n"/>
      <c r="N236" s="143" t="n"/>
      <c r="O236" s="145" t="n"/>
      <c r="P236" s="143" t="n"/>
      <c r="Q236" s="145" t="n"/>
      <c r="R236" s="143" t="n"/>
      <c r="S236" s="145" t="n"/>
      <c r="T236" s="143" t="n"/>
      <c r="U236" s="143" t="n"/>
      <c r="V236" s="143" t="n"/>
      <c r="W236" s="143" t="n"/>
      <c r="X236" s="145" t="n"/>
      <c r="Y236" s="143" t="n"/>
      <c r="Z236" s="145" t="n"/>
      <c r="AA236" s="143" t="n"/>
      <c r="AB236" s="145" t="n"/>
      <c r="AC236" s="143" t="n"/>
      <c r="AD236" s="145" t="n"/>
      <c r="AE236" s="143" t="n"/>
      <c r="AF236" s="145" t="n"/>
    </row>
    <row r="237">
      <c r="D237" s="143" t="n"/>
      <c r="E237" s="145" t="n"/>
      <c r="F237" s="143" t="n"/>
      <c r="G237" s="145" t="n"/>
      <c r="H237" s="76" t="n"/>
      <c r="I237" s="145" t="n"/>
      <c r="J237" s="76" t="n"/>
      <c r="K237" s="143" t="n"/>
      <c r="M237" s="145" t="n"/>
      <c r="N237" s="143" t="n"/>
      <c r="O237" s="145" t="n"/>
      <c r="P237" s="143" t="n"/>
      <c r="Q237" s="145" t="n"/>
      <c r="R237" s="143" t="n"/>
      <c r="S237" s="145" t="n"/>
      <c r="T237" s="143" t="n"/>
      <c r="U237" s="143" t="n"/>
      <c r="V237" s="143" t="n"/>
      <c r="W237" s="143" t="n"/>
      <c r="X237" s="145" t="n"/>
      <c r="Y237" s="143" t="n"/>
      <c r="Z237" s="145" t="n"/>
      <c r="AA237" s="143" t="n"/>
      <c r="AB237" s="145" t="n"/>
      <c r="AC237" s="143" t="n"/>
      <c r="AD237" s="145" t="n"/>
      <c r="AE237" s="143" t="n"/>
      <c r="AF237" s="145" t="n"/>
    </row>
    <row r="238">
      <c r="D238" s="143" t="n"/>
      <c r="E238" s="145" t="n"/>
      <c r="F238" s="143" t="n"/>
      <c r="G238" s="145" t="n"/>
      <c r="H238" s="76" t="n"/>
      <c r="I238" s="145" t="n"/>
      <c r="J238" s="76" t="n"/>
      <c r="K238" s="143" t="n"/>
      <c r="M238" s="145" t="n"/>
      <c r="N238" s="143" t="n"/>
      <c r="O238" s="145" t="n"/>
      <c r="P238" s="143" t="n"/>
      <c r="Q238" s="145" t="n"/>
      <c r="R238" s="143" t="n"/>
      <c r="S238" s="145" t="n"/>
      <c r="T238" s="143" t="n"/>
      <c r="U238" s="143" t="n"/>
      <c r="V238" s="143" t="n"/>
      <c r="W238" s="143" t="n"/>
      <c r="X238" s="145" t="n"/>
      <c r="Y238" s="143" t="n"/>
      <c r="Z238" s="145" t="n"/>
      <c r="AA238" s="143" t="n"/>
      <c r="AB238" s="145" t="n"/>
      <c r="AC238" s="143" t="n"/>
      <c r="AD238" s="145" t="n"/>
      <c r="AE238" s="143" t="n"/>
      <c r="AF238" s="145" t="n"/>
    </row>
    <row r="239">
      <c r="D239" s="143" t="n"/>
      <c r="E239" s="145" t="n"/>
      <c r="F239" s="143" t="n"/>
      <c r="G239" s="145" t="n"/>
      <c r="H239" s="76" t="n"/>
      <c r="I239" s="145" t="n"/>
      <c r="J239" s="76" t="n"/>
      <c r="K239" s="143" t="n"/>
      <c r="M239" s="145" t="n"/>
      <c r="N239" s="143" t="n"/>
      <c r="O239" s="145" t="n"/>
      <c r="P239" s="143" t="n"/>
      <c r="Q239" s="145" t="n"/>
      <c r="R239" s="143" t="n"/>
      <c r="S239" s="145" t="n"/>
      <c r="T239" s="143" t="n"/>
      <c r="U239" s="143" t="n"/>
      <c r="V239" s="143" t="n"/>
      <c r="W239" s="143" t="n"/>
      <c r="X239" s="145" t="n"/>
      <c r="Y239" s="143" t="n"/>
      <c r="Z239" s="145" t="n"/>
      <c r="AA239" s="143" t="n"/>
      <c r="AB239" s="145" t="n"/>
      <c r="AC239" s="143" t="n"/>
      <c r="AD239" s="145" t="n"/>
      <c r="AE239" s="143" t="n"/>
      <c r="AF239" s="145" t="n"/>
    </row>
    <row r="240">
      <c r="D240" s="143" t="n"/>
      <c r="E240" s="145" t="n"/>
      <c r="F240" s="143" t="n"/>
      <c r="G240" s="145" t="n"/>
      <c r="H240" s="76" t="n"/>
      <c r="I240" s="145" t="n"/>
      <c r="J240" s="76" t="n"/>
      <c r="K240" s="143" t="n"/>
      <c r="M240" s="145" t="n"/>
      <c r="N240" s="143" t="n"/>
      <c r="O240" s="145" t="n"/>
      <c r="P240" s="143" t="n"/>
      <c r="Q240" s="145" t="n"/>
      <c r="R240" s="143" t="n"/>
      <c r="S240" s="145" t="n"/>
      <c r="T240" s="143" t="n"/>
      <c r="U240" s="143" t="n"/>
      <c r="V240" s="143" t="n"/>
      <c r="W240" s="143" t="n"/>
      <c r="X240" s="145" t="n"/>
      <c r="Y240" s="143" t="n"/>
      <c r="Z240" s="145" t="n"/>
      <c r="AA240" s="143" t="n"/>
      <c r="AB240" s="145" t="n"/>
      <c r="AC240" s="143" t="n"/>
      <c r="AD240" s="145" t="n"/>
      <c r="AE240" s="143" t="n"/>
      <c r="AF240" s="145" t="n"/>
    </row>
    <row r="241">
      <c r="D241" s="143" t="n"/>
      <c r="E241" s="145" t="n"/>
      <c r="F241" s="143" t="n"/>
      <c r="G241" s="145" t="n"/>
      <c r="H241" s="76" t="n"/>
      <c r="I241" s="145" t="n"/>
      <c r="J241" s="76" t="n"/>
      <c r="K241" s="143" t="n"/>
      <c r="M241" s="145" t="n"/>
      <c r="N241" s="143" t="n"/>
      <c r="O241" s="145" t="n"/>
      <c r="P241" s="143" t="n"/>
      <c r="Q241" s="145" t="n"/>
      <c r="R241" s="143" t="n"/>
      <c r="S241" s="145" t="n"/>
      <c r="T241" s="143" t="n"/>
      <c r="U241" s="143" t="n"/>
      <c r="V241" s="143" t="n"/>
      <c r="W241" s="143" t="n"/>
      <c r="X241" s="145" t="n"/>
      <c r="Y241" s="143" t="n"/>
      <c r="Z241" s="145" t="n"/>
      <c r="AA241" s="143" t="n"/>
      <c r="AB241" s="145" t="n"/>
      <c r="AC241" s="143" t="n"/>
      <c r="AD241" s="145" t="n"/>
      <c r="AE241" s="143" t="n"/>
      <c r="AF241" s="145" t="n"/>
    </row>
    <row r="242">
      <c r="D242" s="143" t="n"/>
      <c r="E242" s="143" t="n"/>
      <c r="F242" s="143" t="n"/>
      <c r="G242" s="143" t="n"/>
      <c r="H242" s="76" t="n"/>
      <c r="I242" s="143" t="n"/>
      <c r="J242" s="76" t="n"/>
      <c r="K242" s="143" t="n"/>
      <c r="M242" s="145" t="n"/>
      <c r="N242" s="143" t="n"/>
      <c r="O242" s="145" t="n"/>
      <c r="P242" s="143" t="n"/>
      <c r="Q242" s="145" t="n"/>
      <c r="R242" s="143" t="n"/>
      <c r="S242" s="145" t="n"/>
      <c r="T242" s="143" t="n"/>
      <c r="U242" s="143" t="n"/>
      <c r="V242" s="143" t="n"/>
      <c r="W242" s="143" t="n"/>
      <c r="X242" s="145" t="n"/>
      <c r="Y242" s="143" t="n"/>
      <c r="Z242" s="145" t="n"/>
      <c r="AA242" s="143" t="n"/>
      <c r="AB242" s="145" t="n"/>
      <c r="AC242" s="143" t="n"/>
      <c r="AD242" s="145" t="n"/>
      <c r="AE242" s="143" t="n"/>
      <c r="AF242" s="145" t="n"/>
    </row>
    <row r="243">
      <c r="D243" s="143" t="n"/>
      <c r="E243" s="145" t="n"/>
      <c r="F243" s="143" t="n"/>
      <c r="G243" s="145" t="n"/>
      <c r="H243" s="76" t="n"/>
      <c r="I243" s="145" t="n"/>
      <c r="J243" s="76" t="n"/>
      <c r="K243" s="143" t="n"/>
      <c r="M243" s="145" t="n"/>
      <c r="N243" s="143" t="n"/>
      <c r="O243" s="145" t="n"/>
      <c r="P243" s="143" t="n"/>
      <c r="Q243" s="145" t="n"/>
      <c r="R243" s="143" t="n"/>
      <c r="S243" s="145" t="n"/>
      <c r="T243" s="143" t="n"/>
      <c r="U243" s="143" t="n"/>
      <c r="V243" s="143" t="n"/>
      <c r="W243" s="143" t="n"/>
      <c r="X243" s="145" t="n"/>
      <c r="Y243" s="143" t="n"/>
      <c r="Z243" s="145" t="n"/>
      <c r="AA243" s="143" t="n"/>
      <c r="AB243" s="145" t="n"/>
      <c r="AC243" s="143" t="n"/>
      <c r="AD243" s="145" t="n"/>
      <c r="AE243" s="143" t="n"/>
      <c r="AF243" s="145" t="n"/>
    </row>
    <row r="244">
      <c r="D244" s="143" t="n"/>
      <c r="E244" s="143" t="n"/>
      <c r="F244" s="143" t="n"/>
      <c r="G244" s="145" t="n"/>
      <c r="H244" s="76" t="n"/>
      <c r="I244" s="145" t="n"/>
      <c r="J244" s="76" t="n"/>
      <c r="K244" s="143" t="n"/>
      <c r="M244" s="145" t="n"/>
      <c r="N244" s="143" t="n"/>
      <c r="O244" s="145" t="n"/>
      <c r="P244" s="143" t="n"/>
      <c r="Q244" s="145" t="n"/>
      <c r="R244" s="143" t="n"/>
      <c r="S244" s="145" t="n"/>
      <c r="T244" s="143" t="n"/>
      <c r="U244" s="143" t="n"/>
      <c r="V244" s="143" t="n"/>
      <c r="W244" s="143" t="n"/>
      <c r="X244" s="145" t="n"/>
      <c r="Y244" s="143" t="n"/>
      <c r="Z244" s="145" t="n"/>
      <c r="AA244" s="143" t="n"/>
      <c r="AB244" s="145" t="n"/>
      <c r="AC244" s="143" t="n"/>
      <c r="AD244" s="145" t="n"/>
      <c r="AE244" s="143" t="n"/>
      <c r="AF244" s="145" t="n"/>
    </row>
    <row r="245">
      <c r="D245" s="143" t="n"/>
      <c r="E245" s="145" t="n"/>
      <c r="F245" s="143" t="n"/>
      <c r="G245" s="145" t="n"/>
      <c r="H245" s="76" t="n"/>
      <c r="I245" s="143" t="n"/>
      <c r="J245" s="76" t="n"/>
      <c r="K245" s="143" t="n"/>
      <c r="M245" s="143" t="n"/>
      <c r="N245" s="143" t="n"/>
      <c r="O245" s="145" t="n"/>
      <c r="P245" s="143" t="n"/>
      <c r="Q245" s="145" t="n"/>
      <c r="R245" s="143" t="n"/>
      <c r="S245" s="145" t="n"/>
      <c r="T245" s="143" t="n"/>
      <c r="U245" s="143" t="n"/>
      <c r="V245" s="143" t="n"/>
      <c r="W245" s="143" t="n"/>
      <c r="X245" s="145" t="n"/>
      <c r="Y245" s="143" t="n"/>
      <c r="Z245" s="145" t="n"/>
      <c r="AA245" s="143" t="n"/>
      <c r="AB245" s="145" t="n"/>
      <c r="AC245" s="143" t="n"/>
      <c r="AD245" s="145" t="n"/>
      <c r="AE245" s="143" t="n"/>
      <c r="AF245" s="145" t="n"/>
    </row>
    <row r="246">
      <c r="D246" s="143" t="n"/>
      <c r="E246" s="143" t="n"/>
      <c r="F246" s="143" t="n"/>
      <c r="G246" s="143" t="n"/>
      <c r="H246" s="76" t="n"/>
      <c r="I246" s="143" t="n"/>
      <c r="J246" s="76" t="n"/>
      <c r="K246" s="143" t="n"/>
      <c r="M246" s="143" t="n"/>
      <c r="N246" s="143" t="n"/>
      <c r="O246" s="145" t="n"/>
      <c r="P246" s="143" t="n"/>
      <c r="Q246" s="145" t="n"/>
      <c r="R246" s="143" t="n"/>
      <c r="S246" s="145" t="n"/>
      <c r="T246" s="143" t="n"/>
      <c r="U246" s="143" t="n"/>
      <c r="V246" s="143" t="n"/>
      <c r="W246" s="143" t="n"/>
      <c r="X246" s="145" t="n"/>
      <c r="Y246" s="143" t="n"/>
      <c r="Z246" s="145" t="n"/>
      <c r="AA246" s="143" t="n"/>
      <c r="AB246" s="145" t="n"/>
      <c r="AC246" s="143" t="n"/>
      <c r="AD246" s="145" t="n"/>
      <c r="AE246" s="143" t="n"/>
      <c r="AF246" s="145" t="n"/>
    </row>
    <row r="247">
      <c r="D247" s="143" t="n"/>
      <c r="E247" s="145" t="n"/>
      <c r="F247" s="143" t="n"/>
      <c r="G247" s="145" t="n"/>
      <c r="H247" s="76" t="n"/>
      <c r="I247" s="145" t="n"/>
      <c r="J247" s="76" t="n"/>
      <c r="K247" s="143" t="n"/>
      <c r="M247" s="145" t="n"/>
      <c r="N247" s="143" t="n"/>
      <c r="O247" s="145" t="n"/>
      <c r="P247" s="143" t="n"/>
      <c r="Q247" s="145" t="n"/>
      <c r="R247" s="143" t="n"/>
      <c r="S247" s="145" t="n"/>
      <c r="T247" s="143" t="n"/>
      <c r="U247" s="143" t="n"/>
      <c r="V247" s="143" t="n"/>
      <c r="W247" s="143" t="n"/>
      <c r="X247" s="145" t="n"/>
      <c r="Y247" s="143" t="n"/>
      <c r="Z247" s="145" t="n"/>
      <c r="AA247" s="143" t="n"/>
      <c r="AB247" s="145" t="n"/>
      <c r="AC247" s="143" t="n"/>
      <c r="AD247" s="145" t="n"/>
      <c r="AE247" s="143" t="n"/>
      <c r="AF247" s="145" t="n"/>
    </row>
    <row r="248">
      <c r="D248" s="143" t="n"/>
      <c r="E248" s="145" t="n"/>
      <c r="F248" s="143" t="n"/>
      <c r="G248" s="145" t="n"/>
      <c r="H248" s="76" t="n"/>
      <c r="I248" s="145" t="n"/>
      <c r="J248" s="76" t="n"/>
      <c r="K248" s="143" t="n"/>
      <c r="M248" s="145" t="n"/>
      <c r="N248" s="143" t="n"/>
      <c r="O248" s="145" t="n"/>
      <c r="P248" s="143" t="n"/>
      <c r="Q248" s="145" t="n"/>
      <c r="R248" s="143" t="n"/>
      <c r="S248" s="145" t="n"/>
      <c r="T248" s="143" t="n"/>
      <c r="U248" s="143" t="n"/>
      <c r="V248" s="143" t="n"/>
      <c r="W248" s="143" t="n"/>
      <c r="X248" s="145" t="n"/>
      <c r="Y248" s="143" t="n"/>
      <c r="Z248" s="145" t="n"/>
      <c r="AA248" s="143" t="n"/>
      <c r="AB248" s="145" t="n"/>
      <c r="AC248" s="143" t="n"/>
      <c r="AD248" s="145" t="n"/>
      <c r="AE248" s="143" t="n"/>
      <c r="AF248" s="145" t="n"/>
    </row>
    <row r="249">
      <c r="D249" s="143" t="n"/>
      <c r="E249" s="145" t="n"/>
      <c r="F249" s="143" t="n"/>
      <c r="G249" s="143" t="n"/>
      <c r="H249" s="76" t="n"/>
      <c r="I249" s="143" t="n"/>
      <c r="J249" s="76" t="n"/>
      <c r="K249" s="143" t="n"/>
      <c r="M249" s="143" t="n"/>
      <c r="N249" s="143" t="n"/>
      <c r="O249" s="145" t="n"/>
      <c r="P249" s="143" t="n"/>
      <c r="Q249" s="145" t="n"/>
      <c r="R249" s="143" t="n"/>
      <c r="S249" s="145" t="n"/>
      <c r="T249" s="143" t="n"/>
      <c r="U249" s="143" t="n"/>
      <c r="V249" s="143" t="n"/>
      <c r="W249" s="143" t="n"/>
      <c r="X249" s="145" t="n"/>
      <c r="Y249" s="143" t="n"/>
      <c r="Z249" s="145" t="n"/>
      <c r="AA249" s="143" t="n"/>
      <c r="AB249" s="145" t="n"/>
      <c r="AC249" s="143" t="n"/>
      <c r="AD249" s="145" t="n"/>
      <c r="AE249" s="143" t="n"/>
      <c r="AF249" s="145" t="n"/>
    </row>
    <row r="250">
      <c r="D250" s="143" t="n"/>
      <c r="E250" s="145" t="n"/>
      <c r="F250" s="143" t="n"/>
      <c r="G250" s="145" t="n"/>
      <c r="H250" s="76" t="n"/>
      <c r="I250" s="145" t="n"/>
      <c r="J250" s="76" t="n"/>
      <c r="K250" s="143" t="n"/>
      <c r="M250" s="145" t="n"/>
      <c r="N250" s="143" t="n"/>
      <c r="O250" s="145" t="n"/>
      <c r="P250" s="143" t="n"/>
      <c r="Q250" s="145" t="n"/>
      <c r="R250" s="143" t="n"/>
      <c r="S250" s="145" t="n"/>
      <c r="T250" s="143" t="n"/>
      <c r="U250" s="143" t="n"/>
      <c r="V250" s="143" t="n"/>
      <c r="W250" s="143" t="n"/>
      <c r="X250" s="145" t="n"/>
      <c r="Y250" s="143" t="n"/>
      <c r="Z250" s="145" t="n"/>
      <c r="AA250" s="143" t="n"/>
      <c r="AB250" s="145" t="n"/>
      <c r="AC250" s="143" t="n"/>
      <c r="AD250" s="145" t="n"/>
      <c r="AE250" s="143" t="n"/>
      <c r="AF250" s="145" t="n"/>
    </row>
    <row r="251">
      <c r="D251" s="143" t="n"/>
      <c r="E251" s="145" t="n"/>
      <c r="F251" s="143" t="n"/>
      <c r="G251" s="145" t="n"/>
      <c r="H251" s="76" t="n"/>
      <c r="I251" s="145" t="n"/>
      <c r="J251" s="76" t="n"/>
      <c r="K251" s="143" t="n"/>
      <c r="M251" s="145" t="n"/>
      <c r="N251" s="143" t="n"/>
      <c r="O251" s="143" t="n"/>
      <c r="P251" s="143" t="n"/>
      <c r="Q251" s="143" t="n"/>
      <c r="R251" s="143" t="n"/>
      <c r="S251" s="143" t="n"/>
      <c r="T251" s="143" t="n"/>
      <c r="U251" s="143" t="n"/>
      <c r="V251" s="143" t="n"/>
      <c r="W251" s="143" t="n"/>
      <c r="X251" s="143" t="n"/>
      <c r="Y251" s="143" t="n"/>
      <c r="Z251" s="143" t="n"/>
      <c r="AA251" s="143" t="n"/>
      <c r="AB251" s="143" t="n"/>
      <c r="AC251" s="143" t="n"/>
      <c r="AD251" s="143" t="n"/>
      <c r="AE251" s="143" t="n"/>
      <c r="AF251" s="143" t="n"/>
    </row>
    <row r="252">
      <c r="D252" s="143" t="n"/>
      <c r="E252" s="145" t="n"/>
      <c r="F252" s="143" t="n"/>
      <c r="G252" s="145" t="n"/>
      <c r="H252" s="76" t="n"/>
      <c r="I252" s="145" t="n"/>
      <c r="J252" s="76" t="n"/>
      <c r="K252" s="143" t="n"/>
      <c r="M252" s="145" t="n"/>
      <c r="N252" s="143" t="n"/>
      <c r="O252" s="145" t="n"/>
      <c r="P252" s="143" t="n"/>
      <c r="Q252" s="145" t="n"/>
      <c r="R252" s="143" t="n"/>
      <c r="S252" s="145" t="n"/>
      <c r="T252" s="143" t="n"/>
      <c r="U252" s="143" t="n"/>
      <c r="V252" s="143" t="n"/>
      <c r="W252" s="143" t="n"/>
      <c r="X252" s="145" t="n"/>
      <c r="Y252" s="143" t="n"/>
      <c r="Z252" s="145" t="n"/>
      <c r="AA252" s="143" t="n"/>
      <c r="AB252" s="145" t="n"/>
      <c r="AC252" s="143" t="n"/>
      <c r="AD252" s="145" t="n"/>
      <c r="AE252" s="143" t="n"/>
      <c r="AF252" s="145" t="n"/>
    </row>
    <row r="253">
      <c r="D253" s="143" t="n"/>
      <c r="E253" s="145" t="n"/>
      <c r="F253" s="143" t="n"/>
      <c r="G253" s="145" t="n"/>
      <c r="H253" s="76" t="n"/>
      <c r="I253" s="145" t="n"/>
      <c r="J253" s="76" t="n"/>
      <c r="K253" s="143" t="n"/>
      <c r="M253" s="145" t="n"/>
      <c r="N253" s="143" t="n"/>
      <c r="O253" s="145" t="n"/>
      <c r="P253" s="143" t="n"/>
      <c r="Q253" s="145" t="n"/>
      <c r="R253" s="143" t="n"/>
      <c r="S253" s="145" t="n"/>
      <c r="T253" s="143" t="n"/>
      <c r="U253" s="143" t="n"/>
      <c r="V253" s="143" t="n"/>
      <c r="W253" s="143" t="n"/>
      <c r="X253" s="145" t="n"/>
      <c r="Y253" s="143" t="n"/>
      <c r="Z253" s="145" t="n"/>
      <c r="AA253" s="143" t="n"/>
      <c r="AB253" s="145" t="n"/>
      <c r="AC253" s="143" t="n"/>
      <c r="AD253" s="145" t="n"/>
      <c r="AE253" s="143" t="n"/>
      <c r="AF253" s="145" t="n"/>
    </row>
    <row r="254">
      <c r="D254" s="143" t="n"/>
      <c r="E254" s="145" t="n"/>
      <c r="F254" s="143" t="n"/>
      <c r="G254" s="145" t="n"/>
      <c r="H254" s="76" t="n"/>
      <c r="I254" s="145" t="n"/>
      <c r="J254" s="76" t="n"/>
      <c r="K254" s="143" t="n"/>
      <c r="M254" s="145" t="n"/>
      <c r="N254" s="143" t="n"/>
      <c r="O254" s="145" t="n"/>
      <c r="P254" s="143" t="n"/>
      <c r="Q254" s="145" t="n"/>
      <c r="R254" s="143" t="n"/>
      <c r="S254" s="145" t="n"/>
      <c r="T254" s="143" t="n"/>
      <c r="U254" s="143" t="n"/>
      <c r="V254" s="143" t="n"/>
      <c r="W254" s="143" t="n"/>
      <c r="X254" s="145" t="n"/>
      <c r="Y254" s="143" t="n"/>
      <c r="Z254" s="145" t="n"/>
      <c r="AA254" s="143" t="n"/>
      <c r="AB254" s="145" t="n"/>
      <c r="AC254" s="143" t="n"/>
      <c r="AD254" s="145" t="n"/>
      <c r="AE254" s="143" t="n"/>
      <c r="AF254" s="145" t="n"/>
    </row>
    <row r="255">
      <c r="D255" s="143" t="n"/>
      <c r="E255" s="143" t="n"/>
      <c r="F255" s="143" t="n"/>
      <c r="G255" s="145" t="n"/>
      <c r="H255" s="76" t="n"/>
      <c r="I255" s="145" t="n"/>
      <c r="J255" s="76" t="n"/>
      <c r="K255" s="143" t="n"/>
      <c r="M255" s="145" t="n"/>
      <c r="N255" s="143" t="n"/>
      <c r="O255" s="145" t="n"/>
      <c r="P255" s="143" t="n"/>
      <c r="Q255" s="145" t="n"/>
      <c r="R255" s="143" t="n"/>
      <c r="S255" s="145" t="n"/>
      <c r="T255" s="143" t="n"/>
      <c r="U255" s="143" t="n"/>
      <c r="V255" s="143" t="n"/>
      <c r="W255" s="143" t="n"/>
      <c r="X255" s="145" t="n"/>
      <c r="Y255" s="143" t="n"/>
      <c r="Z255" s="145" t="n"/>
      <c r="AA255" s="143" t="n"/>
      <c r="AB255" s="145" t="n"/>
      <c r="AC255" s="143" t="n"/>
      <c r="AD255" s="145" t="n"/>
      <c r="AE255" s="143" t="n"/>
      <c r="AF255" s="145" t="n"/>
    </row>
    <row r="256">
      <c r="D256" s="143" t="n"/>
      <c r="E256" s="145" t="n"/>
      <c r="F256" s="143" t="n"/>
      <c r="G256" s="145" t="n"/>
      <c r="H256" s="76" t="n"/>
      <c r="I256" s="145" t="n"/>
      <c r="J256" s="76" t="n"/>
      <c r="K256" s="143" t="n"/>
      <c r="M256" s="145" t="n"/>
      <c r="N256" s="143" t="n"/>
      <c r="O256" s="145" t="n"/>
      <c r="P256" s="143" t="n"/>
      <c r="Q256" s="145" t="n"/>
      <c r="R256" s="143" t="n"/>
      <c r="S256" s="145" t="n"/>
      <c r="T256" s="143" t="n"/>
      <c r="U256" s="143" t="n"/>
      <c r="V256" s="143" t="n"/>
      <c r="W256" s="143" t="n"/>
      <c r="X256" s="145" t="n"/>
      <c r="Y256" s="143" t="n"/>
      <c r="Z256" s="145" t="n"/>
      <c r="AA256" s="143" t="n"/>
      <c r="AB256" s="145" t="n"/>
      <c r="AC256" s="143" t="n"/>
      <c r="AD256" s="145" t="n"/>
      <c r="AE256" s="143" t="n"/>
      <c r="AF256" s="145" t="n"/>
    </row>
    <row r="257">
      <c r="D257" s="143" t="n"/>
      <c r="E257" s="143" t="n"/>
      <c r="F257" s="143" t="n"/>
      <c r="G257" s="143" t="n"/>
      <c r="H257" s="76" t="n"/>
      <c r="I257" s="143" t="n"/>
      <c r="J257" s="76" t="n"/>
      <c r="K257" s="143" t="n"/>
      <c r="M257" s="145" t="n"/>
      <c r="N257" s="143" t="n"/>
      <c r="O257" s="145" t="n"/>
      <c r="P257" s="143" t="n"/>
      <c r="Q257" s="145" t="n"/>
      <c r="R257" s="143" t="n"/>
      <c r="S257" s="145" t="n"/>
      <c r="T257" s="143" t="n"/>
      <c r="U257" s="143" t="n"/>
      <c r="V257" s="143" t="n"/>
      <c r="W257" s="143" t="n"/>
      <c r="X257" s="145" t="n"/>
      <c r="Y257" s="143" t="n"/>
      <c r="Z257" s="145" t="n"/>
      <c r="AA257" s="143" t="n"/>
      <c r="AB257" s="145" t="n"/>
      <c r="AC257" s="143" t="n"/>
      <c r="AD257" s="145" t="n"/>
      <c r="AE257" s="143" t="n"/>
      <c r="AF257" s="145" t="n"/>
    </row>
    <row r="258">
      <c r="D258" s="143" t="n"/>
      <c r="E258" s="145" t="n"/>
      <c r="F258" s="143" t="n"/>
      <c r="G258" s="145" t="n"/>
      <c r="H258" s="76" t="n"/>
      <c r="I258" s="145" t="n"/>
      <c r="J258" s="76" t="n"/>
      <c r="K258" s="143" t="n"/>
      <c r="M258" s="145" t="n"/>
      <c r="N258" s="143" t="n"/>
      <c r="O258" s="145" t="n"/>
      <c r="P258" s="143" t="n"/>
      <c r="Q258" s="145" t="n"/>
      <c r="R258" s="143" t="n"/>
      <c r="S258" s="145" t="n"/>
      <c r="T258" s="143" t="n"/>
      <c r="U258" s="143" t="n"/>
      <c r="V258" s="143" t="n"/>
      <c r="W258" s="143" t="n"/>
      <c r="X258" s="145" t="n"/>
      <c r="Y258" s="143" t="n"/>
      <c r="Z258" s="145" t="n"/>
      <c r="AA258" s="143" t="n"/>
      <c r="AB258" s="145" t="n"/>
      <c r="AC258" s="143" t="n"/>
      <c r="AD258" s="145" t="n"/>
      <c r="AE258" s="143" t="n"/>
      <c r="AF258" s="145" t="n"/>
    </row>
    <row r="259">
      <c r="A259" s="22" t="n"/>
      <c r="B259" s="22" t="n"/>
      <c r="C259" s="22" t="n"/>
      <c r="D259" s="76" t="n"/>
      <c r="E259" s="88" t="n"/>
      <c r="F259" s="76" t="n"/>
      <c r="G259" s="88" t="n"/>
      <c r="H259" s="76" t="n"/>
      <c r="I259" s="88" t="n"/>
      <c r="J259" s="76" t="n"/>
      <c r="K259" s="76" t="n"/>
      <c r="M259" s="88" t="n"/>
      <c r="N259" s="76" t="n"/>
      <c r="O259" s="88" t="n"/>
      <c r="P259" s="76" t="n"/>
      <c r="Q259" s="88" t="n"/>
      <c r="R259" s="76" t="n"/>
      <c r="S259" s="88" t="n"/>
      <c r="T259" s="76" t="n"/>
      <c r="U259" s="76" t="n"/>
      <c r="V259" s="76" t="n"/>
      <c r="W259" s="76" t="n"/>
      <c r="X259" s="88" t="n"/>
      <c r="Y259" s="76" t="n"/>
      <c r="Z259" s="88" t="n"/>
      <c r="AA259" s="76" t="n"/>
      <c r="AB259" s="88" t="n"/>
      <c r="AC259" s="76" t="n"/>
      <c r="AD259" s="88" t="n"/>
      <c r="AE259" s="76" t="n"/>
      <c r="AF259" s="88" t="n"/>
    </row>
    <row r="260">
      <c r="A260" s="22" t="n"/>
      <c r="B260" s="22" t="n"/>
      <c r="C260" s="22" t="n"/>
      <c r="D260" s="76" t="n"/>
      <c r="E260" s="76" t="n"/>
      <c r="F260" s="76" t="n"/>
      <c r="G260" s="76" t="n"/>
      <c r="H260" s="76" t="n"/>
      <c r="I260" s="76" t="n"/>
      <c r="J260" s="76" t="n"/>
      <c r="K260" s="76" t="n"/>
      <c r="M260" s="76" t="n"/>
      <c r="N260" s="76" t="n"/>
      <c r="O260" s="76" t="n"/>
      <c r="P260" s="76" t="n"/>
      <c r="Q260" s="76" t="n"/>
      <c r="R260" s="76" t="n"/>
      <c r="S260" s="76" t="n"/>
      <c r="T260" s="76" t="n"/>
      <c r="U260" s="76" t="n"/>
      <c r="V260" s="76" t="n"/>
      <c r="W260" s="76" t="n"/>
      <c r="X260" s="76" t="n"/>
      <c r="Y260" s="76" t="n"/>
      <c r="Z260" s="76" t="n"/>
      <c r="AA260" s="76" t="n"/>
      <c r="AB260" s="76" t="n"/>
      <c r="AC260" s="76" t="n"/>
      <c r="AD260" s="76" t="n"/>
      <c r="AE260" s="76" t="n"/>
      <c r="AF260" s="76" t="n"/>
    </row>
    <row r="261">
      <c r="D261" s="143" t="n"/>
      <c r="E261" s="145" t="n"/>
      <c r="F261" s="143" t="n"/>
      <c r="G261" s="145" t="n"/>
      <c r="H261" s="76" t="n"/>
      <c r="I261" s="145" t="n"/>
      <c r="J261" s="76" t="n"/>
      <c r="K261" s="143" t="n"/>
      <c r="M261" s="145" t="n"/>
      <c r="N261" s="143" t="n"/>
      <c r="O261" s="145" t="n"/>
      <c r="P261" s="143" t="n"/>
      <c r="Q261" s="145" t="n"/>
      <c r="R261" s="143" t="n"/>
      <c r="S261" s="145" t="n"/>
      <c r="T261" s="143" t="n"/>
      <c r="U261" s="143" t="n"/>
      <c r="V261" s="143" t="n"/>
      <c r="W261" s="143" t="n"/>
      <c r="X261" s="145" t="n"/>
      <c r="Y261" s="143" t="n"/>
      <c r="Z261" s="145" t="n"/>
      <c r="AA261" s="143" t="n"/>
      <c r="AB261" s="145" t="n"/>
      <c r="AC261" s="143" t="n"/>
      <c r="AD261" s="145" t="n"/>
      <c r="AE261" s="143" t="n"/>
      <c r="AF261" s="145" t="n"/>
    </row>
    <row r="262">
      <c r="D262" s="143" t="n"/>
      <c r="E262" s="145" t="n"/>
      <c r="F262" s="143" t="n"/>
      <c r="G262" s="145" t="n"/>
      <c r="H262" s="76" t="n"/>
      <c r="I262" s="145" t="n"/>
      <c r="J262" s="76" t="n"/>
      <c r="K262" s="143" t="n"/>
      <c r="M262" s="145" t="n"/>
      <c r="N262" s="143" t="n"/>
      <c r="O262" s="145" t="n"/>
      <c r="P262" s="143" t="n"/>
      <c r="Q262" s="145" t="n"/>
      <c r="R262" s="143" t="n"/>
      <c r="S262" s="145" t="n"/>
      <c r="T262" s="143" t="n"/>
      <c r="U262" s="143" t="n"/>
      <c r="V262" s="143" t="n"/>
      <c r="W262" s="143" t="n"/>
      <c r="X262" s="145" t="n"/>
      <c r="Y262" s="143" t="n"/>
      <c r="Z262" s="145" t="n"/>
      <c r="AA262" s="143" t="n"/>
      <c r="AB262" s="145" t="n"/>
      <c r="AC262" s="143" t="n"/>
      <c r="AD262" s="145" t="n"/>
      <c r="AE262" s="143" t="n"/>
      <c r="AF262" s="145" t="n"/>
    </row>
    <row r="263">
      <c r="D263" s="76" t="n"/>
      <c r="E263" s="134" t="n"/>
      <c r="F263" s="76" t="n"/>
      <c r="G263" s="134" t="n"/>
      <c r="H263" s="76" t="n"/>
      <c r="I263" s="134" t="n"/>
      <c r="J263" s="76" t="n"/>
      <c r="K263" s="143" t="n"/>
      <c r="M263" s="145" t="n"/>
      <c r="N263" s="143" t="n"/>
      <c r="O263" s="145" t="n"/>
      <c r="P263" s="143" t="n"/>
      <c r="Q263" s="145" t="n"/>
      <c r="R263" s="143" t="n"/>
      <c r="S263" s="145" t="n"/>
      <c r="T263" s="143" t="n"/>
      <c r="U263" s="143" t="n"/>
      <c r="V263" s="143" t="n"/>
      <c r="W263" s="143" t="n"/>
      <c r="X263" s="145" t="n"/>
      <c r="Y263" s="143" t="n"/>
      <c r="Z263" s="145" t="n"/>
      <c r="AA263" s="143" t="n"/>
      <c r="AB263" s="145" t="n"/>
      <c r="AC263" s="143" t="n"/>
      <c r="AD263" s="145" t="n"/>
      <c r="AE263" s="143" t="n"/>
      <c r="AF263" s="145" t="n"/>
    </row>
    <row r="264">
      <c r="D264" s="143" t="n"/>
      <c r="E264" s="145" t="n"/>
      <c r="F264" s="143" t="n"/>
      <c r="G264" s="145" t="n"/>
      <c r="H264" s="76" t="n"/>
      <c r="I264" s="145" t="n"/>
      <c r="J264" s="76" t="n"/>
      <c r="K264" s="143" t="n"/>
      <c r="M264" s="145" t="n"/>
      <c r="N264" s="143" t="n"/>
      <c r="O264" s="145" t="n"/>
      <c r="P264" s="143" t="n"/>
      <c r="Q264" s="145" t="n"/>
      <c r="R264" s="143" t="n"/>
      <c r="S264" s="145" t="n"/>
      <c r="T264" s="143" t="n"/>
      <c r="U264" s="143" t="n"/>
      <c r="V264" s="143" t="n"/>
      <c r="W264" s="143" t="n"/>
      <c r="X264" s="145" t="n"/>
      <c r="Y264" s="143" t="n"/>
      <c r="Z264" s="145" t="n"/>
      <c r="AA264" s="143" t="n"/>
      <c r="AB264" s="145" t="n"/>
      <c r="AC264" s="143" t="n"/>
      <c r="AD264" s="145" t="n"/>
      <c r="AE264" s="143" t="n"/>
      <c r="AF264" s="145" t="n"/>
    </row>
    <row r="265">
      <c r="D265" s="143" t="n"/>
      <c r="E265" s="145" t="n"/>
      <c r="F265" s="143" t="n"/>
      <c r="G265" s="145" t="n"/>
      <c r="H265" s="76" t="n"/>
      <c r="I265" s="145" t="n"/>
      <c r="J265" s="76" t="n"/>
      <c r="K265" s="143" t="n"/>
      <c r="M265" s="145" t="n"/>
      <c r="N265" s="143" t="n"/>
      <c r="O265" s="145" t="n"/>
      <c r="P265" s="143" t="n"/>
      <c r="Q265" s="145" t="n"/>
      <c r="R265" s="143" t="n"/>
      <c r="S265" s="145" t="n"/>
      <c r="T265" s="143" t="n"/>
      <c r="U265" s="143" t="n"/>
      <c r="V265" s="143" t="n"/>
      <c r="W265" s="143" t="n"/>
      <c r="X265" s="145" t="n"/>
      <c r="Y265" s="143" t="n"/>
      <c r="Z265" s="145" t="n"/>
      <c r="AA265" s="143" t="n"/>
      <c r="AB265" s="145" t="n"/>
      <c r="AC265" s="143" t="n"/>
      <c r="AD265" s="145" t="n"/>
      <c r="AE265" s="143" t="n"/>
      <c r="AF265" s="145" t="n"/>
    </row>
    <row r="266">
      <c r="D266" s="143" t="n"/>
      <c r="E266" s="145" t="n"/>
      <c r="F266" s="143" t="n"/>
      <c r="G266" s="145" t="n"/>
      <c r="H266" s="76" t="n"/>
      <c r="I266" s="145" t="n"/>
      <c r="J266" s="76" t="n"/>
      <c r="K266" s="143" t="n"/>
      <c r="M266" s="145" t="n"/>
      <c r="N266" s="143" t="n"/>
      <c r="O266" s="145" t="n"/>
      <c r="P266" s="143" t="n"/>
      <c r="Q266" s="145" t="n"/>
      <c r="R266" s="143" t="n"/>
      <c r="S266" s="145" t="n"/>
      <c r="T266" s="143" t="n"/>
      <c r="U266" s="143" t="n"/>
      <c r="V266" s="143" t="n"/>
      <c r="W266" s="143" t="n"/>
      <c r="X266" s="145" t="n"/>
      <c r="Y266" s="143" t="n"/>
      <c r="Z266" s="145" t="n"/>
      <c r="AA266" s="143" t="n"/>
      <c r="AB266" s="145" t="n"/>
      <c r="AC266" s="143" t="n"/>
      <c r="AD266" s="145" t="n"/>
      <c r="AE266" s="143" t="n"/>
      <c r="AF266" s="145" t="n"/>
    </row>
    <row r="267">
      <c r="D267" s="143" t="n"/>
      <c r="E267" s="88" t="n"/>
      <c r="F267" s="143" t="n"/>
      <c r="G267" s="88" t="n"/>
      <c r="H267" s="76" t="n"/>
      <c r="I267" s="88" t="n"/>
      <c r="J267" s="76" t="n"/>
      <c r="K267" s="143" t="n"/>
      <c r="M267" s="88" t="n"/>
      <c r="N267" s="143" t="n"/>
      <c r="O267" s="88" t="n"/>
      <c r="P267" s="143" t="n"/>
      <c r="Q267" s="88" t="n"/>
      <c r="R267" s="143" t="n"/>
      <c r="S267" s="88" t="n"/>
      <c r="T267" s="143" t="n"/>
      <c r="U267" s="143" t="n"/>
      <c r="V267" s="143" t="n"/>
      <c r="W267" s="143" t="n"/>
      <c r="X267" s="88" t="n"/>
      <c r="Y267" s="143" t="n"/>
      <c r="Z267" s="88" t="n"/>
      <c r="AA267" s="143" t="n"/>
      <c r="AB267" s="88" t="n"/>
      <c r="AC267" s="143" t="n"/>
      <c r="AD267" s="88" t="n"/>
      <c r="AE267" s="143" t="n"/>
      <c r="AF267" s="88" t="n"/>
    </row>
    <row r="268">
      <c r="D268" s="76" t="n"/>
      <c r="E268" s="134" t="n"/>
      <c r="F268" s="76" t="n"/>
      <c r="G268" s="134" t="n"/>
      <c r="H268" s="76" t="n"/>
      <c r="I268" s="134" t="n"/>
      <c r="J268" s="76" t="n"/>
      <c r="K268" s="143" t="n"/>
      <c r="M268" s="145" t="n"/>
      <c r="N268" s="143" t="n"/>
      <c r="O268" s="145" t="n"/>
      <c r="P268" s="143" t="n"/>
      <c r="Q268" s="145" t="n"/>
      <c r="R268" s="143" t="n"/>
      <c r="S268" s="145" t="n"/>
      <c r="T268" s="143" t="n"/>
      <c r="U268" s="143" t="n"/>
      <c r="V268" s="143" t="n"/>
      <c r="W268" s="143" t="n"/>
      <c r="X268" s="145" t="n"/>
      <c r="Y268" s="143" t="n"/>
      <c r="Z268" s="145" t="n"/>
      <c r="AA268" s="143" t="n"/>
      <c r="AB268" s="145" t="n"/>
      <c r="AC268" s="143" t="n"/>
      <c r="AD268" s="145" t="n"/>
      <c r="AE268" s="143" t="n"/>
      <c r="AF268" s="145" t="n"/>
    </row>
    <row r="269">
      <c r="A269" s="22" t="n"/>
      <c r="B269" s="22" t="n"/>
      <c r="C269" s="22" t="n"/>
      <c r="D269" s="170" t="n"/>
      <c r="E269" s="121" t="n"/>
      <c r="F269" s="170" t="n"/>
      <c r="G269" s="121" t="n"/>
      <c r="H269" s="145" t="n"/>
      <c r="I269" s="128" t="n"/>
      <c r="J269" s="145" t="n"/>
      <c r="K269" s="133" t="n"/>
      <c r="M269" s="128" t="n"/>
      <c r="N269" s="145" t="n"/>
      <c r="O269" s="128" t="n"/>
      <c r="P269" s="145" t="n"/>
      <c r="Q269" s="128" t="n"/>
      <c r="R269" s="145" t="n"/>
      <c r="S269" s="128" t="n"/>
      <c r="T269" s="145" t="n"/>
      <c r="U269" s="145" t="n"/>
      <c r="V269" s="145" t="n"/>
      <c r="W269" s="145" t="n"/>
      <c r="X269" s="128" t="n"/>
      <c r="Y269" s="145" t="n"/>
      <c r="Z269" s="128" t="n"/>
      <c r="AA269" s="145" t="n"/>
      <c r="AB269" s="128" t="n"/>
      <c r="AC269" s="145" t="n"/>
      <c r="AD269" s="128" t="n"/>
      <c r="AE269" s="145" t="n"/>
      <c r="AF269" s="128" t="n"/>
    </row>
    <row r="270">
      <c r="D270" s="142" t="n"/>
      <c r="E270" s="142" t="n"/>
      <c r="F270" s="142" t="n"/>
      <c r="G270" s="142" t="n"/>
      <c r="H270" s="142" t="n"/>
      <c r="I270" s="142" t="n"/>
      <c r="J270" s="142" t="n"/>
      <c r="K270" s="142" t="n"/>
      <c r="M270" s="142" t="n"/>
      <c r="N270" s="142" t="n"/>
      <c r="O270" s="142" t="n"/>
      <c r="P270" s="142" t="n"/>
      <c r="Q270" s="142" t="n"/>
      <c r="R270" s="142" t="n"/>
      <c r="S270" s="142" t="n"/>
      <c r="T270" s="142" t="n"/>
      <c r="U270" s="142" t="n"/>
      <c r="V270" s="142" t="n"/>
      <c r="W270" s="142" t="n"/>
      <c r="X270" s="142" t="n"/>
      <c r="Y270" s="142" t="n"/>
      <c r="Z270" s="142" t="n"/>
      <c r="AA270" s="142" t="n"/>
      <c r="AB270" s="142" t="n"/>
      <c r="AC270" s="142" t="n"/>
      <c r="AD270" s="142" t="n"/>
      <c r="AE270" s="142" t="n"/>
      <c r="AF270" s="142" t="n"/>
    </row>
    <row r="271">
      <c r="A271" s="22" t="n"/>
      <c r="B271" s="22" t="n"/>
      <c r="C271" s="22" t="n"/>
      <c r="D271" s="142" t="n"/>
      <c r="E271" s="142" t="n"/>
      <c r="F271" s="142" t="n"/>
      <c r="G271" s="142" t="n"/>
      <c r="H271" s="142" t="n"/>
      <c r="I271" s="142" t="n"/>
      <c r="J271" s="142" t="n"/>
      <c r="K271" s="142" t="n"/>
      <c r="M271" s="142" t="n"/>
      <c r="N271" s="142" t="n"/>
      <c r="O271" s="142" t="n"/>
      <c r="P271" s="142" t="n"/>
      <c r="Q271" s="142" t="n"/>
      <c r="R271" s="142" t="n"/>
      <c r="S271" s="142" t="n"/>
      <c r="T271" s="142" t="n"/>
      <c r="U271" s="142" t="n"/>
      <c r="V271" s="142" t="n"/>
      <c r="W271" s="142" t="n"/>
      <c r="X271" s="142" t="n"/>
      <c r="Y271" s="142" t="n"/>
      <c r="Z271" s="142" t="n"/>
      <c r="AA271" s="142" t="n"/>
      <c r="AB271" s="142" t="n"/>
      <c r="AC271" s="142" t="n"/>
      <c r="AD271" s="142" t="n"/>
      <c r="AE271" s="142" t="n"/>
      <c r="AF271" s="142" t="n"/>
    </row>
    <row r="272">
      <c r="D272" s="145" t="n"/>
      <c r="E272" s="145" t="n"/>
      <c r="F272" s="145" t="n"/>
      <c r="G272" s="145" t="n"/>
      <c r="H272" s="108" t="n"/>
      <c r="I272" s="145" t="n"/>
      <c r="J272" s="108" t="n"/>
      <c r="K272" s="108" t="n"/>
      <c r="M272" s="145" t="n"/>
      <c r="N272" s="108" t="n"/>
      <c r="O272" s="145" t="n"/>
      <c r="P272" s="108" t="n"/>
      <c r="Q272" s="145" t="n"/>
      <c r="R272" s="108" t="n"/>
      <c r="S272" s="145" t="n"/>
      <c r="T272" s="108" t="n"/>
      <c r="U272" s="108" t="n"/>
      <c r="V272" s="108" t="n"/>
      <c r="W272" s="108" t="n"/>
      <c r="X272" s="145" t="n"/>
      <c r="Y272" s="108" t="n"/>
      <c r="Z272" s="145" t="n"/>
      <c r="AA272" s="108" t="n"/>
      <c r="AB272" s="145" t="n"/>
      <c r="AC272" s="108" t="n"/>
      <c r="AD272" s="145" t="n"/>
      <c r="AE272" s="108" t="n"/>
      <c r="AF272" s="145" t="n"/>
    </row>
    <row r="273">
      <c r="A273" s="31" t="n"/>
      <c r="B273" s="31" t="n"/>
      <c r="C273" s="31" t="n"/>
      <c r="D273" s="145" t="n"/>
      <c r="E273" s="145" t="n"/>
      <c r="F273" s="145" t="n"/>
      <c r="G273" s="145" t="n"/>
      <c r="H273" s="108" t="n"/>
      <c r="I273" s="145" t="n"/>
      <c r="J273" s="108" t="n"/>
      <c r="K273" s="108" t="n"/>
      <c r="M273" s="145" t="n"/>
      <c r="N273" s="108" t="n"/>
      <c r="O273" s="145" t="n"/>
      <c r="P273" s="108" t="n"/>
      <c r="Q273" s="145" t="n"/>
      <c r="R273" s="108" t="n"/>
      <c r="S273" s="145" t="n"/>
      <c r="T273" s="108" t="n"/>
      <c r="U273" s="108" t="n"/>
      <c r="V273" s="108" t="n"/>
      <c r="W273" s="108" t="n"/>
      <c r="X273" s="145" t="n"/>
      <c r="Y273" s="108" t="n"/>
      <c r="Z273" s="145" t="n"/>
      <c r="AA273" s="108" t="n"/>
      <c r="AB273" s="145" t="n"/>
      <c r="AC273" s="108" t="n"/>
      <c r="AD273" s="145" t="n"/>
      <c r="AE273" s="108" t="n"/>
      <c r="AF273" s="145" t="n"/>
    </row>
    <row r="274">
      <c r="D274" s="145" t="n"/>
      <c r="E274" s="145" t="n"/>
      <c r="F274" s="145" t="n"/>
      <c r="G274" s="145" t="n"/>
      <c r="H274" s="108" t="n"/>
      <c r="I274" s="145" t="n"/>
      <c r="J274" s="108" t="n"/>
      <c r="K274" s="108" t="n"/>
      <c r="M274" s="145" t="n"/>
      <c r="N274" s="108" t="n"/>
      <c r="O274" s="145" t="n"/>
      <c r="P274" s="108" t="n"/>
      <c r="Q274" s="145" t="n"/>
      <c r="R274" s="108" t="n"/>
      <c r="S274" s="145" t="n"/>
      <c r="T274" s="108" t="n"/>
      <c r="U274" s="108" t="n"/>
      <c r="V274" s="108" t="n"/>
      <c r="W274" s="108" t="n"/>
      <c r="X274" s="145" t="n"/>
      <c r="Y274" s="108" t="n"/>
      <c r="Z274" s="145" t="n"/>
      <c r="AA274" s="108" t="n"/>
      <c r="AB274" s="145" t="n"/>
      <c r="AC274" s="108" t="n"/>
      <c r="AD274" s="145" t="n"/>
      <c r="AE274" s="108" t="n"/>
      <c r="AF274" s="145" t="n"/>
    </row>
    <row r="275">
      <c r="D275" s="145" t="n"/>
      <c r="E275" s="145" t="n"/>
      <c r="F275" s="145" t="n"/>
      <c r="G275" s="145" t="n"/>
      <c r="H275" s="108" t="n"/>
      <c r="I275" s="145" t="n"/>
      <c r="J275" s="108" t="n"/>
      <c r="K275" s="108" t="n"/>
      <c r="M275" s="145" t="n"/>
      <c r="N275" s="108" t="n"/>
      <c r="O275" s="145" t="n"/>
      <c r="P275" s="108" t="n"/>
      <c r="Q275" s="145" t="n"/>
      <c r="R275" s="108" t="n"/>
      <c r="S275" s="145" t="n"/>
      <c r="T275" s="108" t="n"/>
      <c r="U275" s="108" t="n"/>
      <c r="V275" s="108" t="n"/>
      <c r="W275" s="108" t="n"/>
      <c r="X275" s="145" t="n"/>
      <c r="Y275" s="108" t="n"/>
      <c r="Z275" s="145" t="n"/>
      <c r="AA275" s="108" t="n"/>
      <c r="AB275" s="145" t="n"/>
      <c r="AC275" s="108" t="n"/>
      <c r="AD275" s="145" t="n"/>
      <c r="AE275" s="108" t="n"/>
      <c r="AF275" s="145" t="n"/>
    </row>
    <row r="276">
      <c r="D276" s="145" t="n"/>
      <c r="E276" s="145" t="n"/>
      <c r="F276" s="145" t="n"/>
      <c r="G276" s="145" t="n"/>
      <c r="H276" s="108" t="n"/>
      <c r="I276" s="145" t="n"/>
      <c r="J276" s="108" t="n"/>
      <c r="K276" s="108" t="n"/>
      <c r="M276" s="145" t="n"/>
      <c r="N276" s="108" t="n"/>
      <c r="O276" s="145" t="n"/>
      <c r="P276" s="108" t="n"/>
      <c r="Q276" s="145" t="n"/>
      <c r="R276" s="108" t="n"/>
      <c r="S276" s="145" t="n"/>
      <c r="T276" s="108" t="n"/>
      <c r="U276" s="108" t="n"/>
      <c r="V276" s="108" t="n"/>
      <c r="W276" s="108" t="n"/>
      <c r="X276" s="145" t="n"/>
      <c r="Y276" s="108" t="n"/>
      <c r="Z276" s="145" t="n"/>
      <c r="AA276" s="108" t="n"/>
      <c r="AB276" s="145" t="n"/>
      <c r="AC276" s="108" t="n"/>
      <c r="AD276" s="145" t="n"/>
      <c r="AE276" s="108" t="n"/>
      <c r="AF276" s="145" t="n"/>
    </row>
    <row r="277">
      <c r="D277" s="145" t="n"/>
      <c r="E277" s="145" t="n"/>
      <c r="F277" s="145" t="n"/>
      <c r="G277" s="145" t="n"/>
      <c r="H277" s="108" t="n"/>
      <c r="I277" s="145" t="n"/>
      <c r="J277" s="108" t="n"/>
      <c r="K277" s="108" t="n"/>
      <c r="M277" s="145" t="n"/>
      <c r="N277" s="108" t="n"/>
      <c r="O277" s="145" t="n"/>
      <c r="P277" s="108" t="n"/>
      <c r="Q277" s="145" t="n"/>
      <c r="R277" s="108" t="n"/>
      <c r="S277" s="145" t="n"/>
      <c r="T277" s="108" t="n"/>
      <c r="U277" s="108" t="n"/>
      <c r="V277" s="108" t="n"/>
      <c r="W277" s="108" t="n"/>
      <c r="X277" s="145" t="n"/>
      <c r="Y277" s="108" t="n"/>
      <c r="Z277" s="145" t="n"/>
      <c r="AA277" s="108" t="n"/>
      <c r="AB277" s="145" t="n"/>
      <c r="AC277" s="108" t="n"/>
      <c r="AD277" s="145" t="n"/>
      <c r="AE277" s="108" t="n"/>
      <c r="AF277" s="145" t="n"/>
    </row>
    <row r="278">
      <c r="D278" s="145" t="n"/>
      <c r="E278" s="145" t="n"/>
      <c r="F278" s="145" t="n"/>
      <c r="G278" s="145" t="n"/>
      <c r="H278" s="108" t="n"/>
      <c r="I278" s="145" t="n"/>
      <c r="J278" s="108" t="n"/>
      <c r="K278" s="108" t="n"/>
      <c r="M278" s="145" t="n"/>
      <c r="N278" s="108" t="n"/>
      <c r="O278" s="145" t="n"/>
      <c r="P278" s="108" t="n"/>
      <c r="Q278" s="145" t="n"/>
      <c r="R278" s="108" t="n"/>
      <c r="S278" s="145" t="n"/>
      <c r="T278" s="108" t="n"/>
      <c r="U278" s="108" t="n"/>
      <c r="V278" s="108" t="n"/>
      <c r="W278" s="108" t="n"/>
      <c r="X278" s="145" t="n"/>
      <c r="Y278" s="108" t="n"/>
      <c r="Z278" s="145" t="n"/>
      <c r="AA278" s="108" t="n"/>
      <c r="AB278" s="145" t="n"/>
      <c r="AC278" s="108" t="n"/>
      <c r="AD278" s="145" t="n"/>
      <c r="AE278" s="108" t="n"/>
      <c r="AF278" s="145" t="n"/>
    </row>
    <row r="279">
      <c r="D279" s="145" t="n"/>
      <c r="E279" s="145" t="n"/>
      <c r="F279" s="145" t="n"/>
      <c r="G279" s="145" t="n"/>
      <c r="H279" s="108" t="n"/>
      <c r="I279" s="145" t="n"/>
      <c r="J279" s="108" t="n"/>
      <c r="K279" s="108" t="n"/>
      <c r="M279" s="145" t="n"/>
      <c r="N279" s="108" t="n"/>
      <c r="O279" s="145" t="n"/>
      <c r="P279" s="108" t="n"/>
      <c r="Q279" s="145" t="n"/>
      <c r="R279" s="108" t="n"/>
      <c r="S279" s="145" t="n"/>
      <c r="T279" s="108" t="n"/>
      <c r="U279" s="108" t="n"/>
      <c r="V279" s="108" t="n"/>
      <c r="W279" s="108" t="n"/>
      <c r="X279" s="145" t="n"/>
      <c r="Y279" s="108" t="n"/>
      <c r="Z279" s="145" t="n"/>
      <c r="AA279" s="108" t="n"/>
      <c r="AB279" s="145" t="n"/>
      <c r="AC279" s="108" t="n"/>
      <c r="AD279" s="145" t="n"/>
      <c r="AE279" s="108" t="n"/>
      <c r="AF279" s="145" t="n"/>
    </row>
    <row r="280">
      <c r="D280" s="145" t="n"/>
      <c r="E280" s="145" t="n"/>
      <c r="F280" s="145" t="n"/>
      <c r="G280" s="145" t="n"/>
      <c r="H280" s="108" t="n"/>
      <c r="I280" s="145" t="n"/>
      <c r="J280" s="108" t="n"/>
      <c r="K280" s="108" t="n"/>
      <c r="M280" s="145" t="n"/>
      <c r="N280" s="108" t="n"/>
      <c r="O280" s="145" t="n"/>
      <c r="P280" s="108" t="n"/>
      <c r="Q280" s="145" t="n"/>
      <c r="R280" s="108" t="n"/>
      <c r="S280" s="145" t="n"/>
      <c r="T280" s="108" t="n"/>
      <c r="U280" s="108" t="n"/>
      <c r="V280" s="108" t="n"/>
      <c r="W280" s="108" t="n"/>
      <c r="X280" s="145" t="n"/>
      <c r="Y280" s="108" t="n"/>
      <c r="Z280" s="145" t="n"/>
      <c r="AA280" s="108" t="n"/>
      <c r="AB280" s="145" t="n"/>
      <c r="AC280" s="108" t="n"/>
      <c r="AD280" s="145" t="n"/>
      <c r="AE280" s="108" t="n"/>
      <c r="AF280" s="145" t="n"/>
    </row>
    <row r="281">
      <c r="D281" s="145" t="n"/>
      <c r="E281" s="145" t="n"/>
      <c r="F281" s="145" t="n"/>
      <c r="G281" s="145" t="n"/>
      <c r="H281" s="108" t="n"/>
      <c r="I281" s="145" t="n"/>
      <c r="J281" s="108" t="n"/>
      <c r="K281" s="108" t="n"/>
      <c r="M281" s="145" t="n"/>
      <c r="N281" s="108" t="n"/>
      <c r="O281" s="145" t="n"/>
      <c r="P281" s="108" t="n"/>
      <c r="Q281" s="145" t="n"/>
      <c r="R281" s="108" t="n"/>
      <c r="S281" s="145" t="n"/>
      <c r="T281" s="108" t="n"/>
      <c r="U281" s="108" t="n"/>
      <c r="V281" s="108" t="n"/>
      <c r="W281" s="108" t="n"/>
      <c r="X281" s="145" t="n"/>
      <c r="Y281" s="108" t="n"/>
      <c r="Z281" s="145" t="n"/>
      <c r="AA281" s="108" t="n"/>
      <c r="AB281" s="145" t="n"/>
      <c r="AC281" s="108" t="n"/>
      <c r="AD281" s="145" t="n"/>
      <c r="AE281" s="108" t="n"/>
      <c r="AF281" s="145" t="n"/>
    </row>
    <row r="282">
      <c r="D282" s="145" t="n"/>
      <c r="E282" s="145" t="n"/>
      <c r="F282" s="145" t="n"/>
      <c r="G282" s="145" t="n"/>
      <c r="H282" s="108" t="n"/>
      <c r="I282" s="145" t="n"/>
      <c r="J282" s="108" t="n"/>
      <c r="K282" s="108" t="n"/>
      <c r="M282" s="145" t="n"/>
      <c r="N282" s="108" t="n"/>
      <c r="O282" s="145" t="n"/>
      <c r="P282" s="108" t="n"/>
      <c r="Q282" s="145" t="n"/>
      <c r="R282" s="108" t="n"/>
      <c r="S282" s="145" t="n"/>
      <c r="T282" s="108" t="n"/>
      <c r="U282" s="108" t="n"/>
      <c r="V282" s="108" t="n"/>
      <c r="W282" s="108" t="n"/>
      <c r="X282" s="145" t="n"/>
      <c r="Y282" s="108" t="n"/>
      <c r="Z282" s="145" t="n"/>
      <c r="AA282" s="108" t="n"/>
      <c r="AB282" s="145" t="n"/>
      <c r="AC282" s="108" t="n"/>
      <c r="AD282" s="145" t="n"/>
      <c r="AE282" s="108" t="n"/>
      <c r="AF282" s="145" t="n"/>
    </row>
    <row r="283">
      <c r="D283" s="145" t="n"/>
      <c r="E283" s="145" t="n"/>
      <c r="F283" s="145" t="n"/>
      <c r="G283" s="145" t="n"/>
      <c r="H283" s="108" t="n"/>
      <c r="I283" s="145" t="n"/>
      <c r="J283" s="108" t="n"/>
      <c r="K283" s="108" t="n"/>
      <c r="M283" s="145" t="n"/>
      <c r="N283" s="108" t="n"/>
      <c r="O283" s="145" t="n"/>
      <c r="P283" s="108" t="n"/>
      <c r="Q283" s="145" t="n"/>
      <c r="R283" s="108" t="n"/>
      <c r="S283" s="145" t="n"/>
      <c r="T283" s="108" t="n"/>
      <c r="U283" s="108" t="n"/>
      <c r="V283" s="108" t="n"/>
      <c r="W283" s="108" t="n"/>
      <c r="X283" s="145" t="n"/>
      <c r="Y283" s="108" t="n"/>
      <c r="Z283" s="145" t="n"/>
      <c r="AA283" s="108" t="n"/>
      <c r="AB283" s="145" t="n"/>
      <c r="AC283" s="108" t="n"/>
      <c r="AD283" s="145" t="n"/>
      <c r="AE283" s="108" t="n"/>
      <c r="AF283" s="145" t="n"/>
    </row>
    <row r="284">
      <c r="D284" s="145" t="n"/>
      <c r="E284" s="145" t="n"/>
      <c r="F284" s="145" t="n"/>
      <c r="G284" s="145" t="n"/>
      <c r="H284" s="108" t="n"/>
      <c r="I284" s="145" t="n"/>
      <c r="J284" s="108" t="n"/>
      <c r="K284" s="108" t="n"/>
      <c r="M284" s="145" t="n"/>
      <c r="N284" s="108" t="n"/>
      <c r="O284" s="145" t="n"/>
      <c r="P284" s="108" t="n"/>
      <c r="Q284" s="145" t="n"/>
      <c r="R284" s="108" t="n"/>
      <c r="S284" s="145" t="n"/>
      <c r="T284" s="108" t="n"/>
      <c r="U284" s="108" t="n"/>
      <c r="V284" s="108" t="n"/>
      <c r="W284" s="108" t="n"/>
      <c r="X284" s="145" t="n"/>
      <c r="Y284" s="108" t="n"/>
      <c r="Z284" s="145" t="n"/>
      <c r="AA284" s="108" t="n"/>
      <c r="AB284" s="145" t="n"/>
      <c r="AC284" s="108" t="n"/>
      <c r="AD284" s="145" t="n"/>
      <c r="AE284" s="108" t="n"/>
      <c r="AF284" s="145" t="n"/>
    </row>
    <row r="285">
      <c r="D285" s="145" t="n"/>
      <c r="E285" s="145" t="n"/>
      <c r="F285" s="145" t="n"/>
      <c r="G285" s="145" t="n"/>
      <c r="H285" s="108" t="n"/>
      <c r="I285" s="145" t="n"/>
      <c r="J285" s="108" t="n"/>
      <c r="K285" s="108" t="n"/>
      <c r="M285" s="145" t="n"/>
      <c r="N285" s="108" t="n"/>
      <c r="O285" s="145" t="n"/>
      <c r="P285" s="108" t="n"/>
      <c r="Q285" s="145" t="n"/>
      <c r="R285" s="108" t="n"/>
      <c r="S285" s="145" t="n"/>
      <c r="T285" s="108" t="n"/>
      <c r="U285" s="108" t="n"/>
      <c r="V285" s="108" t="n"/>
      <c r="W285" s="108" t="n"/>
      <c r="X285" s="145" t="n"/>
      <c r="Y285" s="108" t="n"/>
      <c r="Z285" s="145" t="n"/>
      <c r="AA285" s="108" t="n"/>
      <c r="AB285" s="145" t="n"/>
      <c r="AC285" s="108" t="n"/>
      <c r="AD285" s="145" t="n"/>
      <c r="AE285" s="108" t="n"/>
      <c r="AF285" s="145" t="n"/>
    </row>
    <row r="286">
      <c r="D286" s="145" t="n"/>
      <c r="E286" s="145" t="n"/>
      <c r="F286" s="145" t="n"/>
      <c r="G286" s="145" t="n"/>
      <c r="H286" s="108" t="n"/>
      <c r="I286" s="145" t="n"/>
      <c r="J286" s="108" t="n"/>
      <c r="K286" s="108" t="n"/>
      <c r="M286" s="145" t="n"/>
      <c r="N286" s="108" t="n"/>
      <c r="O286" s="145" t="n"/>
      <c r="P286" s="108" t="n"/>
      <c r="Q286" s="145" t="n"/>
      <c r="R286" s="108" t="n"/>
      <c r="S286" s="145" t="n"/>
      <c r="T286" s="108" t="n"/>
      <c r="U286" s="108" t="n"/>
      <c r="V286" s="108" t="n"/>
      <c r="W286" s="108" t="n"/>
      <c r="X286" s="145" t="n"/>
      <c r="Y286" s="108" t="n"/>
      <c r="Z286" s="145" t="n"/>
      <c r="AA286" s="108" t="n"/>
      <c r="AB286" s="145" t="n"/>
      <c r="AC286" s="108" t="n"/>
      <c r="AD286" s="145" t="n"/>
      <c r="AE286" s="108" t="n"/>
      <c r="AF286" s="145" t="n"/>
    </row>
    <row r="287">
      <c r="D287" s="145" t="n"/>
      <c r="E287" s="145" t="n"/>
      <c r="F287" s="145" t="n"/>
      <c r="G287" s="145" t="n"/>
      <c r="H287" s="108" t="n"/>
      <c r="I287" s="145" t="n"/>
      <c r="J287" s="108" t="n"/>
      <c r="K287" s="108" t="n"/>
      <c r="M287" s="145" t="n"/>
      <c r="N287" s="108" t="n"/>
      <c r="O287" s="145" t="n"/>
      <c r="P287" s="108" t="n"/>
      <c r="Q287" s="145" t="n"/>
      <c r="R287" s="108" t="n"/>
      <c r="S287" s="145" t="n"/>
      <c r="T287" s="108" t="n"/>
      <c r="U287" s="108" t="n"/>
      <c r="V287" s="108" t="n"/>
      <c r="W287" s="108" t="n"/>
      <c r="X287" s="145" t="n"/>
      <c r="Y287" s="108" t="n"/>
      <c r="Z287" s="145" t="n"/>
      <c r="AA287" s="108" t="n"/>
      <c r="AB287" s="145" t="n"/>
      <c r="AC287" s="108" t="n"/>
      <c r="AD287" s="145" t="n"/>
      <c r="AE287" s="108" t="n"/>
      <c r="AF287" s="145" t="n"/>
    </row>
    <row r="288">
      <c r="D288" s="145" t="n"/>
      <c r="E288" s="145" t="n"/>
      <c r="F288" s="145" t="n"/>
      <c r="G288" s="145" t="n"/>
      <c r="H288" s="108" t="n"/>
      <c r="I288" s="145" t="n"/>
      <c r="J288" s="108" t="n"/>
      <c r="K288" s="108" t="n"/>
      <c r="M288" s="145" t="n"/>
      <c r="N288" s="108" t="n"/>
      <c r="O288" s="145" t="n"/>
      <c r="P288" s="108" t="n"/>
      <c r="Q288" s="145" t="n"/>
      <c r="R288" s="108" t="n"/>
      <c r="S288" s="145" t="n"/>
      <c r="T288" s="108" t="n"/>
      <c r="U288" s="108" t="n"/>
      <c r="V288" s="108" t="n"/>
      <c r="W288" s="108" t="n"/>
      <c r="X288" s="145" t="n"/>
      <c r="Y288" s="108" t="n"/>
      <c r="Z288" s="145" t="n"/>
      <c r="AA288" s="108" t="n"/>
      <c r="AB288" s="145" t="n"/>
      <c r="AC288" s="108" t="n"/>
      <c r="AD288" s="145" t="n"/>
      <c r="AE288" s="108" t="n"/>
      <c r="AF288" s="145" t="n"/>
    </row>
    <row r="289">
      <c r="D289" s="145" t="n"/>
      <c r="E289" s="145" t="n"/>
      <c r="F289" s="145" t="n"/>
      <c r="G289" s="145" t="n"/>
      <c r="H289" s="108" t="n"/>
      <c r="I289" s="145" t="n"/>
      <c r="J289" s="108" t="n"/>
      <c r="K289" s="108" t="n"/>
      <c r="M289" s="145" t="n"/>
      <c r="N289" s="108" t="n"/>
      <c r="O289" s="145" t="n"/>
      <c r="P289" s="108" t="n"/>
      <c r="Q289" s="145" t="n"/>
      <c r="R289" s="108" t="n"/>
      <c r="S289" s="145" t="n"/>
      <c r="T289" s="108" t="n"/>
      <c r="U289" s="108" t="n"/>
      <c r="V289" s="108" t="n"/>
      <c r="W289" s="108" t="n"/>
      <c r="X289" s="145" t="n"/>
      <c r="Y289" s="108" t="n"/>
      <c r="Z289" s="145" t="n"/>
      <c r="AA289" s="108" t="n"/>
      <c r="AB289" s="145" t="n"/>
      <c r="AC289" s="108" t="n"/>
      <c r="AD289" s="145" t="n"/>
      <c r="AE289" s="108" t="n"/>
      <c r="AF289" s="145" t="n"/>
    </row>
    <row r="290">
      <c r="D290" s="145" t="n"/>
      <c r="E290" s="145" t="n"/>
      <c r="F290" s="145" t="n"/>
      <c r="G290" s="145" t="n"/>
      <c r="H290" s="108" t="n"/>
      <c r="I290" s="145" t="n"/>
      <c r="J290" s="108" t="n"/>
      <c r="K290" s="108" t="n"/>
      <c r="M290" s="145" t="n"/>
      <c r="N290" s="108" t="n"/>
      <c r="O290" s="145" t="n"/>
      <c r="P290" s="108" t="n"/>
      <c r="Q290" s="145" t="n"/>
      <c r="R290" s="108" t="n"/>
      <c r="S290" s="145" t="n"/>
      <c r="T290" s="108" t="n"/>
      <c r="U290" s="108" t="n"/>
      <c r="V290" s="108" t="n"/>
      <c r="W290" s="108" t="n"/>
      <c r="X290" s="145" t="n"/>
      <c r="Y290" s="108" t="n"/>
      <c r="Z290" s="145" t="n"/>
      <c r="AA290" s="108" t="n"/>
      <c r="AB290" s="145" t="n"/>
      <c r="AC290" s="108" t="n"/>
      <c r="AD290" s="145" t="n"/>
      <c r="AE290" s="108" t="n"/>
      <c r="AF290" s="145" t="n"/>
    </row>
    <row r="291">
      <c r="D291" s="145" t="n"/>
      <c r="E291" s="145" t="n"/>
      <c r="F291" s="145" t="n"/>
      <c r="G291" s="145" t="n"/>
      <c r="H291" s="108" t="n"/>
      <c r="I291" s="145" t="n"/>
      <c r="J291" s="108" t="n"/>
      <c r="K291" s="108" t="n"/>
      <c r="M291" s="145" t="n"/>
      <c r="N291" s="108" t="n"/>
      <c r="O291" s="145" t="n"/>
      <c r="P291" s="108" t="n"/>
      <c r="Q291" s="145" t="n"/>
      <c r="R291" s="108" t="n"/>
      <c r="S291" s="145" t="n"/>
      <c r="T291" s="108" t="n"/>
      <c r="U291" s="108" t="n"/>
      <c r="V291" s="108" t="n"/>
      <c r="W291" s="108" t="n"/>
      <c r="X291" s="145" t="n"/>
      <c r="Y291" s="108" t="n"/>
      <c r="Z291" s="145" t="n"/>
      <c r="AA291" s="108" t="n"/>
      <c r="AB291" s="145" t="n"/>
      <c r="AC291" s="108" t="n"/>
      <c r="AD291" s="145" t="n"/>
      <c r="AE291" s="108" t="n"/>
      <c r="AF291" s="145" t="n"/>
    </row>
    <row r="292">
      <c r="D292" s="145" t="n"/>
      <c r="E292" s="145" t="n"/>
      <c r="F292" s="145" t="n"/>
      <c r="G292" s="145" t="n"/>
      <c r="H292" s="108" t="n"/>
      <c r="I292" s="145" t="n"/>
      <c r="J292" s="108" t="n"/>
      <c r="K292" s="108" t="n"/>
      <c r="M292" s="145" t="n"/>
      <c r="N292" s="108" t="n"/>
      <c r="O292" s="145" t="n"/>
      <c r="P292" s="108" t="n"/>
      <c r="Q292" s="145" t="n"/>
      <c r="R292" s="108" t="n"/>
      <c r="S292" s="145" t="n"/>
      <c r="T292" s="108" t="n"/>
      <c r="U292" s="108" t="n"/>
      <c r="V292" s="108" t="n"/>
      <c r="W292" s="108" t="n"/>
      <c r="X292" s="145" t="n"/>
      <c r="Y292" s="108" t="n"/>
      <c r="Z292" s="145" t="n"/>
      <c r="AA292" s="108" t="n"/>
      <c r="AB292" s="145" t="n"/>
      <c r="AC292" s="108" t="n"/>
      <c r="AD292" s="145" t="n"/>
      <c r="AE292" s="108" t="n"/>
      <c r="AF292" s="145" t="n"/>
    </row>
    <row r="293">
      <c r="D293" s="145" t="n"/>
      <c r="E293" s="145" t="n"/>
      <c r="F293" s="145" t="n"/>
      <c r="G293" s="145" t="n"/>
      <c r="H293" s="108" t="n"/>
      <c r="I293" s="145" t="n"/>
      <c r="J293" s="108" t="n"/>
      <c r="K293" s="108" t="n"/>
      <c r="M293" s="145" t="n"/>
      <c r="N293" s="108" t="n"/>
      <c r="O293" s="145" t="n"/>
      <c r="P293" s="108" t="n"/>
      <c r="Q293" s="145" t="n"/>
      <c r="R293" s="108" t="n"/>
      <c r="S293" s="145" t="n"/>
      <c r="T293" s="108" t="n"/>
      <c r="U293" s="108" t="n"/>
      <c r="V293" s="108" t="n"/>
      <c r="W293" s="108" t="n"/>
      <c r="X293" s="145" t="n"/>
      <c r="Y293" s="108" t="n"/>
      <c r="Z293" s="145" t="n"/>
      <c r="AA293" s="108" t="n"/>
      <c r="AB293" s="145" t="n"/>
      <c r="AC293" s="108" t="n"/>
      <c r="AD293" s="145" t="n"/>
      <c r="AE293" s="108" t="n"/>
      <c r="AF293" s="145" t="n"/>
    </row>
    <row r="294">
      <c r="D294" s="145" t="n"/>
      <c r="E294" s="145" t="n"/>
      <c r="F294" s="145" t="n"/>
      <c r="G294" s="145" t="n"/>
      <c r="H294" s="108" t="n"/>
      <c r="I294" s="145" t="n"/>
      <c r="J294" s="108" t="n"/>
      <c r="K294" s="108" t="n"/>
      <c r="M294" s="145" t="n"/>
      <c r="N294" s="108" t="n"/>
      <c r="O294" s="145" t="n"/>
      <c r="P294" s="108" t="n"/>
      <c r="Q294" s="145" t="n"/>
      <c r="R294" s="108" t="n"/>
      <c r="S294" s="145" t="n"/>
      <c r="T294" s="108" t="n"/>
      <c r="U294" s="108" t="n"/>
      <c r="V294" s="108" t="n"/>
      <c r="W294" s="108" t="n"/>
      <c r="X294" s="145" t="n"/>
      <c r="Y294" s="108" t="n"/>
      <c r="Z294" s="145" t="n"/>
      <c r="AA294" s="108" t="n"/>
      <c r="AB294" s="145" t="n"/>
      <c r="AC294" s="108" t="n"/>
      <c r="AD294" s="145" t="n"/>
      <c r="AE294" s="108" t="n"/>
      <c r="AF294" s="145" t="n"/>
    </row>
    <row r="295">
      <c r="D295" s="145" t="n"/>
      <c r="E295" s="145" t="n"/>
      <c r="F295" s="145" t="n"/>
      <c r="G295" s="145" t="n"/>
      <c r="H295" s="108" t="n"/>
      <c r="I295" s="145" t="n"/>
      <c r="J295" s="108" t="n"/>
      <c r="K295" s="108" t="n"/>
      <c r="M295" s="145" t="n"/>
      <c r="N295" s="108" t="n"/>
      <c r="O295" s="145" t="n"/>
      <c r="P295" s="108" t="n"/>
      <c r="Q295" s="145" t="n"/>
      <c r="R295" s="108" t="n"/>
      <c r="S295" s="145" t="n"/>
      <c r="T295" s="108" t="n"/>
      <c r="U295" s="108" t="n"/>
      <c r="V295" s="108" t="n"/>
      <c r="W295" s="108" t="n"/>
      <c r="X295" s="145" t="n"/>
      <c r="Y295" s="108" t="n"/>
      <c r="Z295" s="145" t="n"/>
      <c r="AA295" s="108" t="n"/>
      <c r="AB295" s="145" t="n"/>
      <c r="AC295" s="108" t="n"/>
      <c r="AD295" s="145" t="n"/>
      <c r="AE295" s="108" t="n"/>
      <c r="AF295" s="145" t="n"/>
    </row>
    <row r="296">
      <c r="D296" s="145" t="n"/>
      <c r="E296" s="145" t="n"/>
      <c r="F296" s="145" t="n"/>
      <c r="G296" s="145" t="n"/>
      <c r="H296" s="108" t="n"/>
      <c r="I296" s="145" t="n"/>
      <c r="J296" s="108" t="n"/>
      <c r="K296" s="108" t="n"/>
      <c r="M296" s="145" t="n"/>
      <c r="N296" s="108" t="n"/>
      <c r="O296" s="145" t="n"/>
      <c r="P296" s="108" t="n"/>
      <c r="Q296" s="145" t="n"/>
      <c r="R296" s="108" t="n"/>
      <c r="S296" s="145" t="n"/>
      <c r="T296" s="108" t="n"/>
      <c r="U296" s="108" t="n"/>
      <c r="V296" s="108" t="n"/>
      <c r="W296" s="108" t="n"/>
      <c r="X296" s="145" t="n"/>
      <c r="Y296" s="108" t="n"/>
      <c r="Z296" s="145" t="n"/>
      <c r="AA296" s="108" t="n"/>
      <c r="AB296" s="145" t="n"/>
      <c r="AC296" s="108" t="n"/>
      <c r="AD296" s="145" t="n"/>
      <c r="AE296" s="108" t="n"/>
      <c r="AF296" s="145" t="n"/>
    </row>
    <row r="297">
      <c r="D297" s="145" t="n"/>
      <c r="E297" s="145" t="n"/>
      <c r="F297" s="145" t="n"/>
      <c r="G297" s="145" t="n"/>
      <c r="H297" s="108" t="n"/>
      <c r="I297" s="145" t="n"/>
      <c r="J297" s="108" t="n"/>
      <c r="K297" s="108" t="n"/>
      <c r="M297" s="145" t="n"/>
      <c r="N297" s="108" t="n"/>
      <c r="O297" s="145" t="n"/>
      <c r="P297" s="108" t="n"/>
      <c r="Q297" s="145" t="n"/>
      <c r="R297" s="108" t="n"/>
      <c r="S297" s="145" t="n"/>
      <c r="T297" s="108" t="n"/>
      <c r="U297" s="108" t="n"/>
      <c r="V297" s="108" t="n"/>
      <c r="W297" s="108" t="n"/>
      <c r="X297" s="145" t="n"/>
      <c r="Y297" s="108" t="n"/>
      <c r="Z297" s="145" t="n"/>
      <c r="AA297" s="108" t="n"/>
      <c r="AB297" s="145" t="n"/>
      <c r="AC297" s="108" t="n"/>
      <c r="AD297" s="145" t="n"/>
      <c r="AE297" s="108" t="n"/>
      <c r="AF297" s="145" t="n"/>
    </row>
    <row r="298">
      <c r="D298" s="145" t="n"/>
      <c r="E298" s="145" t="n"/>
      <c r="F298" s="145" t="n"/>
      <c r="G298" s="145" t="n"/>
      <c r="H298" s="108" t="n"/>
      <c r="I298" s="145" t="n"/>
      <c r="J298" s="108" t="n"/>
      <c r="K298" s="108" t="n"/>
      <c r="M298" s="145" t="n"/>
      <c r="N298" s="108" t="n"/>
      <c r="O298" s="145" t="n"/>
      <c r="P298" s="108" t="n"/>
      <c r="Q298" s="145" t="n"/>
      <c r="R298" s="108" t="n"/>
      <c r="S298" s="145" t="n"/>
      <c r="T298" s="108" t="n"/>
      <c r="U298" s="108" t="n"/>
      <c r="V298" s="108" t="n"/>
      <c r="W298" s="108" t="n"/>
      <c r="X298" s="145" t="n"/>
      <c r="Y298" s="108" t="n"/>
      <c r="Z298" s="145" t="n"/>
      <c r="AA298" s="108" t="n"/>
      <c r="AB298" s="145" t="n"/>
      <c r="AC298" s="108" t="n"/>
      <c r="AD298" s="145" t="n"/>
      <c r="AE298" s="108" t="n"/>
      <c r="AF298" s="145" t="n"/>
    </row>
    <row r="299">
      <c r="D299" s="145" t="n"/>
      <c r="E299" s="145" t="n"/>
      <c r="F299" s="145" t="n"/>
      <c r="G299" s="145" t="n"/>
      <c r="H299" s="108" t="n"/>
      <c r="I299" s="145" t="n"/>
      <c r="J299" s="108" t="n"/>
      <c r="K299" s="108" t="n"/>
      <c r="M299" s="145" t="n"/>
      <c r="N299" s="108" t="n"/>
      <c r="O299" s="145" t="n"/>
      <c r="P299" s="108" t="n"/>
      <c r="Q299" s="145" t="n"/>
      <c r="R299" s="108" t="n"/>
      <c r="S299" s="145" t="n"/>
      <c r="T299" s="108" t="n"/>
      <c r="U299" s="108" t="n"/>
      <c r="V299" s="108" t="n"/>
      <c r="W299" s="108" t="n"/>
      <c r="X299" s="145" t="n"/>
      <c r="Y299" s="108" t="n"/>
      <c r="Z299" s="145" t="n"/>
      <c r="AA299" s="108" t="n"/>
      <c r="AB299" s="145" t="n"/>
      <c r="AC299" s="108" t="n"/>
      <c r="AD299" s="145" t="n"/>
      <c r="AE299" s="108" t="n"/>
      <c r="AF299" s="145" t="n"/>
    </row>
    <row r="300">
      <c r="D300" s="145" t="n"/>
      <c r="E300" s="145" t="n"/>
      <c r="F300" s="145" t="n"/>
      <c r="G300" s="145" t="n"/>
      <c r="H300" s="108" t="n"/>
      <c r="I300" s="145" t="n"/>
      <c r="J300" s="108" t="n"/>
      <c r="K300" s="108" t="n"/>
      <c r="M300" s="145" t="n"/>
      <c r="N300" s="108" t="n"/>
      <c r="O300" s="145" t="n"/>
      <c r="P300" s="108" t="n"/>
      <c r="Q300" s="145" t="n"/>
      <c r="R300" s="108" t="n"/>
      <c r="S300" s="145" t="n"/>
      <c r="T300" s="108" t="n"/>
      <c r="U300" s="108" t="n"/>
      <c r="V300" s="108" t="n"/>
      <c r="W300" s="108" t="n"/>
      <c r="X300" s="145" t="n"/>
      <c r="Y300" s="108" t="n"/>
      <c r="Z300" s="145" t="n"/>
      <c r="AA300" s="108" t="n"/>
      <c r="AB300" s="145" t="n"/>
      <c r="AC300" s="108" t="n"/>
      <c r="AD300" s="145" t="n"/>
      <c r="AE300" s="108" t="n"/>
      <c r="AF300" s="145" t="n"/>
    </row>
    <row r="301">
      <c r="D301" s="145" t="n"/>
      <c r="E301" s="145" t="n"/>
      <c r="F301" s="145" t="n"/>
      <c r="G301" s="145" t="n"/>
      <c r="H301" s="108" t="n"/>
      <c r="I301" s="145" t="n"/>
      <c r="J301" s="108" t="n"/>
      <c r="K301" s="108" t="n"/>
      <c r="M301" s="145" t="n"/>
      <c r="N301" s="108" t="n"/>
      <c r="O301" s="145" t="n"/>
      <c r="P301" s="108" t="n"/>
      <c r="Q301" s="145" t="n"/>
      <c r="R301" s="108" t="n"/>
      <c r="S301" s="145" t="n"/>
      <c r="T301" s="108" t="n"/>
      <c r="U301" s="108" t="n"/>
      <c r="V301" s="108" t="n"/>
      <c r="W301" s="108" t="n"/>
      <c r="X301" s="145" t="n"/>
      <c r="Y301" s="108" t="n"/>
      <c r="Z301" s="145" t="n"/>
      <c r="AA301" s="108" t="n"/>
      <c r="AB301" s="145" t="n"/>
      <c r="AC301" s="108" t="n"/>
      <c r="AD301" s="145" t="n"/>
      <c r="AE301" s="108" t="n"/>
      <c r="AF301" s="145" t="n"/>
    </row>
    <row r="302">
      <c r="D302" s="145" t="n"/>
      <c r="E302" s="145" t="n"/>
      <c r="F302" s="145" t="n"/>
      <c r="G302" s="145" t="n"/>
      <c r="H302" s="108" t="n"/>
      <c r="I302" s="145" t="n"/>
      <c r="J302" s="108" t="n"/>
      <c r="K302" s="108" t="n"/>
      <c r="M302" s="145" t="n"/>
      <c r="N302" s="108" t="n"/>
      <c r="O302" s="145" t="n"/>
      <c r="P302" s="108" t="n"/>
      <c r="Q302" s="145" t="n"/>
      <c r="R302" s="108" t="n"/>
      <c r="S302" s="145" t="n"/>
      <c r="T302" s="108" t="n"/>
      <c r="U302" s="108" t="n"/>
      <c r="V302" s="108" t="n"/>
      <c r="W302" s="108" t="n"/>
      <c r="X302" s="145" t="n"/>
      <c r="Y302" s="108" t="n"/>
      <c r="Z302" s="145" t="n"/>
      <c r="AA302" s="108" t="n"/>
      <c r="AB302" s="145" t="n"/>
      <c r="AC302" s="108" t="n"/>
      <c r="AD302" s="145" t="n"/>
      <c r="AE302" s="108" t="n"/>
      <c r="AF302" s="145" t="n"/>
    </row>
    <row r="303">
      <c r="D303" s="145" t="n"/>
      <c r="E303" s="145" t="n"/>
      <c r="F303" s="145" t="n"/>
      <c r="G303" s="145" t="n"/>
      <c r="H303" s="108" t="n"/>
      <c r="I303" s="145" t="n"/>
      <c r="J303" s="108" t="n"/>
      <c r="K303" s="108" t="n"/>
      <c r="M303" s="145" t="n"/>
      <c r="N303" s="108" t="n"/>
      <c r="O303" s="145" t="n"/>
      <c r="P303" s="108" t="n"/>
      <c r="Q303" s="145" t="n"/>
      <c r="R303" s="108" t="n"/>
      <c r="S303" s="145" t="n"/>
      <c r="T303" s="108" t="n"/>
      <c r="U303" s="108" t="n"/>
      <c r="V303" s="108" t="n"/>
      <c r="W303" s="108" t="n"/>
      <c r="X303" s="145" t="n"/>
      <c r="Y303" s="108" t="n"/>
      <c r="Z303" s="145" t="n"/>
      <c r="AA303" s="108" t="n"/>
      <c r="AB303" s="145" t="n"/>
      <c r="AC303" s="108" t="n"/>
      <c r="AD303" s="145" t="n"/>
      <c r="AE303" s="108" t="n"/>
      <c r="AF303" s="145" t="n"/>
    </row>
    <row r="304">
      <c r="D304" s="145" t="n"/>
      <c r="E304" s="145" t="n"/>
      <c r="F304" s="145" t="n"/>
      <c r="G304" s="145" t="n"/>
      <c r="H304" s="108" t="n"/>
      <c r="I304" s="145" t="n"/>
      <c r="J304" s="108" t="n"/>
      <c r="K304" s="108" t="n"/>
      <c r="M304" s="145" t="n"/>
      <c r="N304" s="108" t="n"/>
      <c r="O304" s="145" t="n"/>
      <c r="P304" s="108" t="n"/>
      <c r="Q304" s="145" t="n"/>
      <c r="R304" s="108" t="n"/>
      <c r="S304" s="145" t="n"/>
      <c r="T304" s="108" t="n"/>
      <c r="U304" s="108" t="n"/>
      <c r="V304" s="108" t="n"/>
      <c r="W304" s="108" t="n"/>
      <c r="X304" s="145" t="n"/>
      <c r="Y304" s="108" t="n"/>
      <c r="Z304" s="145" t="n"/>
      <c r="AA304" s="108" t="n"/>
      <c r="AB304" s="145" t="n"/>
      <c r="AC304" s="108" t="n"/>
      <c r="AD304" s="145" t="n"/>
      <c r="AE304" s="108" t="n"/>
      <c r="AF304" s="145" t="n"/>
    </row>
    <row r="305">
      <c r="D305" s="145" t="n"/>
      <c r="E305" s="145" t="n"/>
      <c r="F305" s="145" t="n"/>
      <c r="G305" s="145" t="n"/>
      <c r="H305" s="108" t="n"/>
      <c r="I305" s="145" t="n"/>
      <c r="J305" s="108" t="n"/>
      <c r="K305" s="108" t="n"/>
      <c r="M305" s="145" t="n"/>
      <c r="N305" s="108" t="n"/>
      <c r="O305" s="145" t="n"/>
      <c r="P305" s="108" t="n"/>
      <c r="Q305" s="145" t="n"/>
      <c r="R305" s="108" t="n"/>
      <c r="S305" s="145" t="n"/>
      <c r="T305" s="108" t="n"/>
      <c r="U305" s="108" t="n"/>
      <c r="V305" s="108" t="n"/>
      <c r="W305" s="108" t="n"/>
      <c r="X305" s="145" t="n"/>
      <c r="Y305" s="108" t="n"/>
      <c r="Z305" s="145" t="n"/>
      <c r="AA305" s="108" t="n"/>
      <c r="AB305" s="145" t="n"/>
      <c r="AC305" s="108" t="n"/>
      <c r="AD305" s="145" t="n"/>
      <c r="AE305" s="108" t="n"/>
      <c r="AF305" s="145" t="n"/>
    </row>
    <row r="306">
      <c r="D306" s="145" t="n"/>
      <c r="E306" s="145" t="n"/>
      <c r="F306" s="145" t="n"/>
      <c r="G306" s="145" t="n"/>
      <c r="H306" s="108" t="n"/>
      <c r="I306" s="145" t="n"/>
      <c r="J306" s="108" t="n"/>
      <c r="K306" s="108" t="n"/>
      <c r="M306" s="145" t="n"/>
      <c r="N306" s="108" t="n"/>
      <c r="O306" s="145" t="n"/>
      <c r="P306" s="108" t="n"/>
      <c r="Q306" s="145" t="n"/>
      <c r="R306" s="108" t="n"/>
      <c r="S306" s="145" t="n"/>
      <c r="T306" s="108" t="n"/>
      <c r="U306" s="108" t="n"/>
      <c r="V306" s="108" t="n"/>
      <c r="W306" s="108" t="n"/>
      <c r="X306" s="145" t="n"/>
      <c r="Y306" s="108" t="n"/>
      <c r="Z306" s="145" t="n"/>
      <c r="AA306" s="108" t="n"/>
      <c r="AB306" s="145" t="n"/>
      <c r="AC306" s="108" t="n"/>
      <c r="AD306" s="145" t="n"/>
      <c r="AE306" s="108" t="n"/>
      <c r="AF306" s="145" t="n"/>
    </row>
    <row r="307" customFormat="1" s="22">
      <c r="D307" s="131" t="n"/>
      <c r="E307" s="123" t="n"/>
      <c r="F307" s="131" t="n"/>
      <c r="G307" s="123" t="n"/>
      <c r="H307" s="133" t="n"/>
      <c r="I307" s="123" t="n"/>
      <c r="J307" s="133" t="n"/>
      <c r="K307" s="133" t="n"/>
      <c r="M307" s="123" t="n"/>
      <c r="N307" s="133" t="n"/>
      <c r="O307" s="123" t="n"/>
      <c r="P307" s="133" t="n"/>
      <c r="Q307" s="123" t="n"/>
      <c r="R307" s="133" t="n"/>
      <c r="S307" s="123" t="n"/>
      <c r="T307" s="133" t="n"/>
      <c r="U307" s="133" t="n"/>
      <c r="V307" s="133" t="n"/>
      <c r="W307" s="133" t="n"/>
      <c r="X307" s="123" t="n"/>
      <c r="Y307" s="133" t="n"/>
      <c r="Z307" s="123" t="n"/>
      <c r="AA307" s="133" t="n"/>
      <c r="AB307" s="123" t="n"/>
      <c r="AC307" s="133" t="n"/>
      <c r="AD307" s="123" t="n"/>
      <c r="AE307" s="133" t="n"/>
      <c r="AF307" s="123" t="n"/>
    </row>
    <row r="308">
      <c r="D308" s="142" t="n"/>
      <c r="E308" s="142" t="n"/>
      <c r="F308" s="142" t="n"/>
      <c r="G308" s="142" t="n"/>
      <c r="H308" s="142" t="n"/>
      <c r="I308" s="142" t="n"/>
      <c r="J308" s="142" t="n"/>
      <c r="K308" s="142" t="n"/>
      <c r="M308" s="142" t="n"/>
      <c r="N308" s="142" t="n"/>
      <c r="O308" s="142" t="n"/>
      <c r="P308" s="142" t="n"/>
      <c r="Q308" s="142" t="n"/>
      <c r="R308" s="142" t="n"/>
      <c r="S308" s="142" t="n"/>
      <c r="T308" s="142" t="n"/>
      <c r="U308" s="142" t="n"/>
      <c r="V308" s="142" t="n"/>
      <c r="W308" s="142" t="n"/>
      <c r="X308" s="142" t="n"/>
      <c r="Y308" s="142" t="n"/>
      <c r="Z308" s="142" t="n"/>
      <c r="AA308" s="142" t="n"/>
      <c r="AB308" s="142" t="n"/>
      <c r="AC308" s="142" t="n"/>
      <c r="AD308" s="142" t="n"/>
      <c r="AE308" s="142" t="n"/>
      <c r="AF308" s="142" t="n"/>
    </row>
    <row r="309">
      <c r="A309" s="22" t="n"/>
      <c r="B309" s="22" t="n"/>
      <c r="C309" s="22" t="n"/>
      <c r="D309" s="142" t="n"/>
      <c r="E309" s="142" t="n"/>
      <c r="F309" s="142" t="n"/>
      <c r="G309" s="142" t="n"/>
      <c r="H309" s="142" t="n"/>
      <c r="I309" s="142" t="n"/>
      <c r="J309" s="142" t="n"/>
      <c r="K309" s="142" t="n"/>
      <c r="M309" s="142" t="n"/>
      <c r="N309" s="142" t="n"/>
      <c r="O309" s="142" t="n"/>
      <c r="P309" s="142" t="n"/>
      <c r="Q309" s="142" t="n"/>
      <c r="R309" s="142" t="n"/>
      <c r="S309" s="142" t="n"/>
      <c r="T309" s="142" t="n"/>
      <c r="U309" s="142" t="n"/>
      <c r="V309" s="142" t="n"/>
      <c r="W309" s="142" t="n"/>
      <c r="X309" s="142" t="n"/>
      <c r="Y309" s="142" t="n"/>
      <c r="Z309" s="142" t="n"/>
      <c r="AA309" s="142" t="n"/>
      <c r="AB309" s="142" t="n"/>
      <c r="AC309" s="142" t="n"/>
      <c r="AD309" s="142" t="n"/>
      <c r="AE309" s="142" t="n"/>
      <c r="AF309" s="142" t="n"/>
    </row>
    <row r="310">
      <c r="D310" s="145" t="n"/>
      <c r="E310" s="145" t="n"/>
      <c r="F310" s="145" t="n"/>
      <c r="G310" s="145" t="n"/>
      <c r="H310" s="108" t="n"/>
      <c r="I310" s="145" t="n"/>
      <c r="J310" s="108" t="n"/>
      <c r="K310" s="145" t="n"/>
      <c r="M310" s="145" t="n"/>
      <c r="N310" s="108" t="n"/>
      <c r="O310" s="145" t="n"/>
      <c r="P310" s="108" t="n"/>
      <c r="Q310" s="145" t="n"/>
      <c r="R310" s="108" t="n"/>
      <c r="S310" s="145" t="n"/>
      <c r="T310" s="108" t="n"/>
      <c r="U310" s="108" t="n"/>
      <c r="V310" s="108" t="n"/>
      <c r="W310" s="108" t="n"/>
      <c r="X310" s="145" t="n"/>
      <c r="Y310" s="108" t="n"/>
      <c r="Z310" s="145" t="n"/>
      <c r="AA310" s="108" t="n"/>
      <c r="AB310" s="145" t="n"/>
      <c r="AC310" s="108" t="n"/>
      <c r="AD310" s="145" t="n"/>
      <c r="AE310" s="108" t="n"/>
      <c r="AF310" s="145" t="n"/>
    </row>
    <row r="311">
      <c r="D311" s="145" t="n"/>
      <c r="E311" s="145" t="n"/>
      <c r="F311" s="145" t="n"/>
      <c r="G311" s="145" t="n"/>
      <c r="H311" s="108" t="n"/>
      <c r="I311" s="145" t="n"/>
      <c r="J311" s="108" t="n"/>
      <c r="K311" s="145" t="n"/>
      <c r="M311" s="145" t="n"/>
      <c r="N311" s="108" t="n"/>
      <c r="O311" s="145" t="n"/>
      <c r="P311" s="108" t="n"/>
      <c r="Q311" s="145" t="n"/>
      <c r="R311" s="108" t="n"/>
      <c r="S311" s="145" t="n"/>
      <c r="T311" s="108" t="n"/>
      <c r="U311" s="108" t="n"/>
      <c r="V311" s="108" t="n"/>
      <c r="W311" s="108" t="n"/>
      <c r="X311" s="145" t="n"/>
      <c r="Y311" s="108" t="n"/>
      <c r="Z311" s="145" t="n"/>
      <c r="AA311" s="108" t="n"/>
      <c r="AB311" s="145" t="n"/>
      <c r="AC311" s="108" t="n"/>
      <c r="AD311" s="145" t="n"/>
      <c r="AE311" s="108" t="n"/>
      <c r="AF311" s="145" t="n"/>
    </row>
    <row r="312">
      <c r="D312" s="145" t="n"/>
      <c r="E312" s="145" t="n"/>
      <c r="F312" s="145" t="n"/>
      <c r="G312" s="145" t="n"/>
      <c r="H312" s="108" t="n"/>
      <c r="I312" s="145" t="n"/>
      <c r="J312" s="108" t="n"/>
      <c r="K312" s="145" t="n"/>
      <c r="M312" s="145" t="n"/>
      <c r="N312" s="108" t="n"/>
      <c r="O312" s="145" t="n"/>
      <c r="P312" s="108" t="n"/>
      <c r="Q312" s="145" t="n"/>
      <c r="R312" s="108" t="n"/>
      <c r="S312" s="145" t="n"/>
      <c r="T312" s="108" t="n"/>
      <c r="U312" s="108" t="n"/>
      <c r="V312" s="108" t="n"/>
      <c r="W312" s="108" t="n"/>
      <c r="X312" s="145" t="n"/>
      <c r="Y312" s="108" t="n"/>
      <c r="Z312" s="145" t="n"/>
      <c r="AA312" s="108" t="n"/>
      <c r="AB312" s="145" t="n"/>
      <c r="AC312" s="108" t="n"/>
      <c r="AD312" s="145" t="n"/>
      <c r="AE312" s="108" t="n"/>
      <c r="AF312" s="145" t="n"/>
    </row>
    <row r="313">
      <c r="D313" s="145" t="n"/>
      <c r="E313" s="145" t="n"/>
      <c r="F313" s="145" t="n"/>
      <c r="G313" s="145" t="n"/>
      <c r="H313" s="108" t="n"/>
      <c r="I313" s="145" t="n"/>
      <c r="J313" s="108" t="n"/>
      <c r="K313" s="145" t="n"/>
      <c r="M313" s="145" t="n"/>
      <c r="N313" s="108" t="n"/>
      <c r="O313" s="145" t="n"/>
      <c r="P313" s="108" t="n"/>
      <c r="Q313" s="145" t="n"/>
      <c r="R313" s="108" t="n"/>
      <c r="S313" s="145" t="n"/>
      <c r="T313" s="108" t="n"/>
      <c r="U313" s="108" t="n"/>
      <c r="V313" s="108" t="n"/>
      <c r="W313" s="108" t="n"/>
      <c r="X313" s="145" t="n"/>
      <c r="Y313" s="108" t="n"/>
      <c r="Z313" s="145" t="n"/>
      <c r="AA313" s="108" t="n"/>
      <c r="AB313" s="145" t="n"/>
      <c r="AC313" s="108" t="n"/>
      <c r="AD313" s="145" t="n"/>
      <c r="AE313" s="108" t="n"/>
      <c r="AF313" s="145" t="n"/>
    </row>
    <row r="314">
      <c r="D314" s="145" t="n"/>
      <c r="E314" s="145" t="n"/>
      <c r="F314" s="145" t="n"/>
      <c r="G314" s="145" t="n"/>
      <c r="H314" s="108" t="n"/>
      <c r="I314" s="145" t="n"/>
      <c r="J314" s="108" t="n"/>
      <c r="K314" s="145" t="n"/>
      <c r="M314" s="145" t="n"/>
      <c r="N314" s="108" t="n"/>
      <c r="O314" s="145" t="n"/>
      <c r="P314" s="108" t="n"/>
      <c r="Q314" s="145" t="n"/>
      <c r="R314" s="108" t="n"/>
      <c r="S314" s="145" t="n"/>
      <c r="T314" s="108" t="n"/>
      <c r="U314" s="108" t="n"/>
      <c r="V314" s="108" t="n"/>
      <c r="W314" s="108" t="n"/>
      <c r="X314" s="145" t="n"/>
      <c r="Y314" s="108" t="n"/>
      <c r="Z314" s="145" t="n"/>
      <c r="AA314" s="108" t="n"/>
      <c r="AB314" s="145" t="n"/>
      <c r="AC314" s="108" t="n"/>
      <c r="AD314" s="145" t="n"/>
      <c r="AE314" s="108" t="n"/>
      <c r="AF314" s="145" t="n"/>
    </row>
    <row r="315">
      <c r="D315" s="145" t="n"/>
      <c r="E315" s="145" t="n"/>
      <c r="F315" s="145" t="n"/>
      <c r="G315" s="145" t="n"/>
      <c r="H315" s="108" t="n"/>
      <c r="I315" s="145" t="n"/>
      <c r="J315" s="108" t="n"/>
      <c r="K315" s="145" t="n"/>
      <c r="M315" s="145" t="n"/>
      <c r="N315" s="108" t="n"/>
      <c r="O315" s="145" t="n"/>
      <c r="P315" s="108" t="n"/>
      <c r="Q315" s="145" t="n"/>
      <c r="R315" s="108" t="n"/>
      <c r="S315" s="145" t="n"/>
      <c r="T315" s="108" t="n"/>
      <c r="U315" s="108" t="n"/>
      <c r="V315" s="108" t="n"/>
      <c r="W315" s="108" t="n"/>
      <c r="X315" s="145" t="n"/>
      <c r="Y315" s="108" t="n"/>
      <c r="Z315" s="145" t="n"/>
      <c r="AA315" s="108" t="n"/>
      <c r="AB315" s="145" t="n"/>
      <c r="AC315" s="108" t="n"/>
      <c r="AD315" s="145" t="n"/>
      <c r="AE315" s="108" t="n"/>
      <c r="AF315" s="145" t="n"/>
    </row>
    <row r="316">
      <c r="D316" s="145" t="n"/>
      <c r="E316" s="145" t="n"/>
      <c r="F316" s="145" t="n"/>
      <c r="G316" s="145" t="n"/>
      <c r="H316" s="108" t="n"/>
      <c r="I316" s="145" t="n"/>
      <c r="J316" s="108" t="n"/>
      <c r="K316" s="145" t="n"/>
      <c r="M316" s="145" t="n"/>
      <c r="N316" s="108" t="n"/>
      <c r="O316" s="145" t="n"/>
      <c r="P316" s="108" t="n"/>
      <c r="Q316" s="145" t="n"/>
      <c r="R316" s="108" t="n"/>
      <c r="S316" s="145" t="n"/>
      <c r="T316" s="108" t="n"/>
      <c r="U316" s="108" t="n"/>
      <c r="V316" s="108" t="n"/>
      <c r="W316" s="108" t="n"/>
      <c r="X316" s="145" t="n"/>
      <c r="Y316" s="108" t="n"/>
      <c r="Z316" s="145" t="n"/>
      <c r="AA316" s="108" t="n"/>
      <c r="AB316" s="145" t="n"/>
      <c r="AC316" s="108" t="n"/>
      <c r="AD316" s="145" t="n"/>
      <c r="AE316" s="108" t="n"/>
      <c r="AF316" s="145" t="n"/>
    </row>
    <row r="317">
      <c r="D317" s="145" t="n"/>
      <c r="E317" s="145" t="n"/>
      <c r="F317" s="145" t="n"/>
      <c r="G317" s="145" t="n"/>
      <c r="H317" s="108" t="n"/>
      <c r="I317" s="145" t="n"/>
      <c r="J317" s="108" t="n"/>
      <c r="K317" s="145" t="n"/>
      <c r="M317" s="145" t="n"/>
      <c r="N317" s="108" t="n"/>
      <c r="O317" s="145" t="n"/>
      <c r="P317" s="108" t="n"/>
      <c r="Q317" s="145" t="n"/>
      <c r="R317" s="108" t="n"/>
      <c r="S317" s="145" t="n"/>
      <c r="T317" s="108" t="n"/>
      <c r="U317" s="108" t="n"/>
      <c r="V317" s="108" t="n"/>
      <c r="W317" s="108" t="n"/>
      <c r="X317" s="145" t="n"/>
      <c r="Y317" s="108" t="n"/>
      <c r="Z317" s="145" t="n"/>
      <c r="AA317" s="108" t="n"/>
      <c r="AB317" s="145" t="n"/>
      <c r="AC317" s="108" t="n"/>
      <c r="AD317" s="145" t="n"/>
      <c r="AE317" s="108" t="n"/>
      <c r="AF317" s="145" t="n"/>
    </row>
    <row r="318">
      <c r="D318" s="145" t="n"/>
      <c r="E318" s="145" t="n"/>
      <c r="F318" s="145" t="n"/>
      <c r="G318" s="145" t="n"/>
      <c r="H318" s="108" t="n"/>
      <c r="I318" s="145" t="n"/>
      <c r="J318" s="108" t="n"/>
      <c r="K318" s="145" t="n"/>
      <c r="M318" s="145" t="n"/>
      <c r="N318" s="108" t="n"/>
      <c r="O318" s="145" t="n"/>
      <c r="P318" s="108" t="n"/>
      <c r="Q318" s="145" t="n"/>
      <c r="R318" s="108" t="n"/>
      <c r="S318" s="145" t="n"/>
      <c r="T318" s="108" t="n"/>
      <c r="U318" s="108" t="n"/>
      <c r="V318" s="108" t="n"/>
      <c r="W318" s="108" t="n"/>
      <c r="X318" s="145" t="n"/>
      <c r="Y318" s="108" t="n"/>
      <c r="Z318" s="145" t="n"/>
      <c r="AA318" s="108" t="n"/>
      <c r="AB318" s="145" t="n"/>
      <c r="AC318" s="108" t="n"/>
      <c r="AD318" s="145" t="n"/>
      <c r="AE318" s="108" t="n"/>
      <c r="AF318" s="145" t="n"/>
    </row>
    <row r="319">
      <c r="D319" s="145" t="n"/>
      <c r="E319" s="145" t="n"/>
      <c r="F319" s="145" t="n"/>
      <c r="G319" s="145" t="n"/>
      <c r="H319" s="108" t="n"/>
      <c r="I319" s="145" t="n"/>
      <c r="J319" s="108" t="n"/>
      <c r="K319" s="145" t="n"/>
      <c r="M319" s="145" t="n"/>
      <c r="N319" s="108" t="n"/>
      <c r="O319" s="145" t="n"/>
      <c r="P319" s="108" t="n"/>
      <c r="Q319" s="145" t="n"/>
      <c r="R319" s="108" t="n"/>
      <c r="S319" s="145" t="n"/>
      <c r="T319" s="108" t="n"/>
      <c r="U319" s="108" t="n"/>
      <c r="V319" s="108" t="n"/>
      <c r="W319" s="108" t="n"/>
      <c r="X319" s="145" t="n"/>
      <c r="Y319" s="108" t="n"/>
      <c r="Z319" s="145" t="n"/>
      <c r="AA319" s="108" t="n"/>
      <c r="AB319" s="145" t="n"/>
      <c r="AC319" s="108" t="n"/>
      <c r="AD319" s="145" t="n"/>
      <c r="AE319" s="108" t="n"/>
      <c r="AF319" s="145" t="n"/>
    </row>
    <row r="320">
      <c r="D320" s="145" t="n"/>
      <c r="E320" s="145" t="n"/>
      <c r="F320" s="145" t="n"/>
      <c r="G320" s="145" t="n"/>
      <c r="H320" s="108" t="n"/>
      <c r="I320" s="145" t="n"/>
      <c r="J320" s="108" t="n"/>
      <c r="K320" s="145" t="n"/>
      <c r="M320" s="145" t="n"/>
      <c r="N320" s="108" t="n"/>
      <c r="O320" s="145" t="n"/>
      <c r="P320" s="108" t="n"/>
      <c r="Q320" s="145" t="n"/>
      <c r="R320" s="108" t="n"/>
      <c r="S320" s="145" t="n"/>
      <c r="T320" s="108" t="n"/>
      <c r="U320" s="108" t="n"/>
      <c r="V320" s="108" t="n"/>
      <c r="W320" s="108" t="n"/>
      <c r="X320" s="145" t="n"/>
      <c r="Y320" s="108" t="n"/>
      <c r="Z320" s="145" t="n"/>
      <c r="AA320" s="108" t="n"/>
      <c r="AB320" s="145" t="n"/>
      <c r="AC320" s="108" t="n"/>
      <c r="AD320" s="145" t="n"/>
      <c r="AE320" s="108" t="n"/>
      <c r="AF320" s="145" t="n"/>
    </row>
    <row r="321">
      <c r="D321" s="145" t="n"/>
      <c r="E321" s="145" t="n"/>
      <c r="F321" s="145" t="n"/>
      <c r="G321" s="145" t="n"/>
      <c r="H321" s="108" t="n"/>
      <c r="I321" s="145" t="n"/>
      <c r="J321" s="108" t="n"/>
      <c r="K321" s="145" t="n"/>
      <c r="M321" s="145" t="n"/>
      <c r="N321" s="108" t="n"/>
      <c r="O321" s="145" t="n"/>
      <c r="P321" s="108" t="n"/>
      <c r="Q321" s="145" t="n"/>
      <c r="R321" s="108" t="n"/>
      <c r="S321" s="145" t="n"/>
      <c r="T321" s="108" t="n"/>
      <c r="U321" s="108" t="n"/>
      <c r="V321" s="108" t="n"/>
      <c r="W321" s="108" t="n"/>
      <c r="X321" s="145" t="n"/>
      <c r="Y321" s="108" t="n"/>
      <c r="Z321" s="145" t="n"/>
      <c r="AA321" s="108" t="n"/>
      <c r="AB321" s="145" t="n"/>
      <c r="AC321" s="108" t="n"/>
      <c r="AD321" s="145" t="n"/>
      <c r="AE321" s="108" t="n"/>
      <c r="AF321" s="145" t="n"/>
    </row>
    <row r="322">
      <c r="D322" s="145" t="n"/>
      <c r="E322" s="145" t="n"/>
      <c r="F322" s="145" t="n"/>
      <c r="G322" s="145" t="n"/>
      <c r="H322" s="108" t="n"/>
      <c r="I322" s="145" t="n"/>
      <c r="J322" s="108" t="n"/>
      <c r="K322" s="145" t="n"/>
      <c r="M322" s="145" t="n"/>
      <c r="N322" s="108" t="n"/>
      <c r="O322" s="145" t="n"/>
      <c r="P322" s="108" t="n"/>
      <c r="Q322" s="145" t="n"/>
      <c r="R322" s="108" t="n"/>
      <c r="S322" s="145" t="n"/>
      <c r="T322" s="108" t="n"/>
      <c r="U322" s="108" t="n"/>
      <c r="V322" s="108" t="n"/>
      <c r="W322" s="108" t="n"/>
      <c r="X322" s="145" t="n"/>
      <c r="Y322" s="108" t="n"/>
      <c r="Z322" s="145" t="n"/>
      <c r="AA322" s="108" t="n"/>
      <c r="AB322" s="145" t="n"/>
      <c r="AC322" s="108" t="n"/>
      <c r="AD322" s="145" t="n"/>
      <c r="AE322" s="108" t="n"/>
      <c r="AF322" s="145" t="n"/>
    </row>
    <row r="323">
      <c r="D323" s="145" t="n"/>
      <c r="E323" s="145" t="n"/>
      <c r="F323" s="145" t="n"/>
      <c r="G323" s="145" t="n"/>
      <c r="H323" s="108" t="n"/>
      <c r="I323" s="145" t="n"/>
      <c r="J323" s="108" t="n"/>
      <c r="K323" s="145" t="n"/>
      <c r="M323" s="145" t="n"/>
      <c r="N323" s="108" t="n"/>
      <c r="O323" s="145" t="n"/>
      <c r="P323" s="108" t="n"/>
      <c r="Q323" s="145" t="n"/>
      <c r="R323" s="108" t="n"/>
      <c r="S323" s="145" t="n"/>
      <c r="T323" s="108" t="n"/>
      <c r="U323" s="108" t="n"/>
      <c r="V323" s="108" t="n"/>
      <c r="W323" s="108" t="n"/>
      <c r="X323" s="145" t="n"/>
      <c r="Y323" s="108" t="n"/>
      <c r="Z323" s="145" t="n"/>
      <c r="AA323" s="108" t="n"/>
      <c r="AB323" s="145" t="n"/>
      <c r="AC323" s="108" t="n"/>
      <c r="AD323" s="145" t="n"/>
      <c r="AE323" s="108" t="n"/>
      <c r="AF323" s="145" t="n"/>
    </row>
    <row r="324" customFormat="1" s="21">
      <c r="A324" s="22" t="n"/>
      <c r="B324" s="22" t="n"/>
      <c r="C324" s="22" t="n"/>
      <c r="D324" s="131" t="n"/>
      <c r="E324" s="128" t="n"/>
      <c r="F324" s="131" t="n"/>
      <c r="G324" s="128" t="n"/>
      <c r="H324" s="133" t="n"/>
      <c r="I324" s="128" t="n"/>
      <c r="J324" s="133" t="n"/>
      <c r="K324" s="133" t="n"/>
      <c r="M324" s="128" t="n"/>
      <c r="N324" s="133" t="n"/>
      <c r="O324" s="128" t="n"/>
      <c r="P324" s="133" t="n"/>
      <c r="Q324" s="128" t="n"/>
      <c r="R324" s="133" t="n"/>
      <c r="S324" s="128" t="n"/>
      <c r="T324" s="133" t="n"/>
      <c r="U324" s="133" t="n"/>
      <c r="V324" s="133" t="n"/>
      <c r="W324" s="133" t="n"/>
      <c r="X324" s="128" t="n"/>
      <c r="Y324" s="133" t="n"/>
      <c r="Z324" s="128" t="n"/>
      <c r="AA324" s="133" t="n"/>
      <c r="AB324" s="128" t="n"/>
      <c r="AC324" s="133" t="n"/>
      <c r="AD324" s="128" t="n"/>
      <c r="AE324" s="133" t="n"/>
      <c r="AF324" s="128" t="n"/>
    </row>
    <row r="325">
      <c r="D325" s="142" t="n"/>
      <c r="E325" s="142" t="n"/>
      <c r="F325" s="142" t="n"/>
      <c r="G325" s="142" t="n"/>
      <c r="H325" s="142" t="n"/>
      <c r="I325" s="142" t="n"/>
      <c r="J325" s="142" t="n"/>
      <c r="K325" s="142" t="n"/>
      <c r="M325" s="142" t="n"/>
      <c r="N325" s="142" t="n"/>
      <c r="O325" s="142" t="n"/>
      <c r="P325" s="142" t="n"/>
      <c r="Q325" s="142" t="n"/>
      <c r="R325" s="142" t="n"/>
      <c r="S325" s="142" t="n"/>
      <c r="T325" s="142" t="n"/>
      <c r="U325" s="142" t="n"/>
      <c r="V325" s="142" t="n"/>
      <c r="W325" s="142" t="n"/>
      <c r="X325" s="142" t="n"/>
      <c r="Y325" s="142" t="n"/>
      <c r="Z325" s="142" t="n"/>
      <c r="AA325" s="142" t="n"/>
      <c r="AB325" s="142" t="n"/>
      <c r="AC325" s="142" t="n"/>
      <c r="AD325" s="142" t="n"/>
      <c r="AE325" s="142" t="n"/>
      <c r="AF325" s="142" t="n"/>
    </row>
    <row r="326">
      <c r="D326" s="142" t="n"/>
      <c r="E326" s="142" t="n"/>
      <c r="F326" s="142" t="n"/>
      <c r="G326" s="142" t="n"/>
      <c r="H326" s="142" t="n"/>
      <c r="I326" s="142" t="n"/>
      <c r="J326" s="142" t="n"/>
      <c r="K326" s="142" t="n"/>
      <c r="M326" s="142" t="n"/>
      <c r="N326" s="142" t="n"/>
      <c r="O326" s="142" t="n"/>
      <c r="P326" s="142" t="n"/>
      <c r="Q326" s="142" t="n"/>
      <c r="R326" s="142" t="n"/>
      <c r="S326" s="142" t="n"/>
      <c r="T326" s="142" t="n"/>
      <c r="U326" s="142" t="n"/>
      <c r="V326" s="142" t="n"/>
      <c r="W326" s="142" t="n"/>
      <c r="X326" s="142" t="n"/>
      <c r="Y326" s="142" t="n"/>
      <c r="Z326" s="142" t="n"/>
      <c r="AA326" s="142" t="n"/>
      <c r="AB326" s="142" t="n"/>
      <c r="AC326" s="142" t="n"/>
      <c r="AD326" s="142" t="n"/>
      <c r="AE326" s="142" t="n"/>
      <c r="AF326" s="142" t="n"/>
    </row>
    <row r="327">
      <c r="D327" s="145" t="n"/>
      <c r="E327" s="145" t="n"/>
      <c r="F327" s="145" t="n"/>
      <c r="G327" s="145" t="n"/>
      <c r="H327" s="145" t="n"/>
      <c r="I327" s="145" t="n"/>
      <c r="J327" s="145" t="n"/>
      <c r="K327" s="145" t="n"/>
      <c r="M327" s="145" t="n"/>
      <c r="N327" s="145" t="n"/>
      <c r="O327" s="145" t="n"/>
      <c r="P327" s="145" t="n"/>
      <c r="Q327" s="145" t="n"/>
      <c r="R327" s="145" t="n"/>
      <c r="S327" s="145" t="n"/>
      <c r="T327" s="145" t="n"/>
      <c r="U327" s="145" t="n"/>
      <c r="V327" s="145" t="n"/>
      <c r="W327" s="145" t="n"/>
      <c r="X327" s="145" t="n"/>
      <c r="Y327" s="145" t="n"/>
      <c r="Z327" s="145" t="n"/>
      <c r="AA327" s="145" t="n"/>
      <c r="AB327" s="145" t="n"/>
      <c r="AC327" s="145" t="n"/>
      <c r="AD327" s="145" t="n"/>
      <c r="AE327" s="145" t="n"/>
      <c r="AF327" s="145" t="n"/>
    </row>
    <row r="328">
      <c r="D328" s="145" t="n"/>
      <c r="E328" s="145" t="n"/>
      <c r="F328" s="145" t="n"/>
      <c r="G328" s="145" t="n"/>
      <c r="H328" s="145" t="n"/>
      <c r="I328" s="145" t="n"/>
      <c r="J328" s="145" t="n"/>
      <c r="K328" s="145" t="n"/>
      <c r="M328" s="145" t="n"/>
      <c r="N328" s="145" t="n"/>
      <c r="O328" s="145" t="n"/>
      <c r="P328" s="145" t="n"/>
      <c r="Q328" s="145" t="n"/>
      <c r="R328" s="145" t="n"/>
      <c r="S328" s="145" t="n"/>
      <c r="T328" s="145" t="n"/>
      <c r="U328" s="145" t="n"/>
      <c r="V328" s="145" t="n"/>
      <c r="W328" s="145" t="n"/>
      <c r="X328" s="145" t="n"/>
      <c r="Y328" s="145" t="n"/>
      <c r="Z328" s="145" t="n"/>
      <c r="AA328" s="145" t="n"/>
      <c r="AB328" s="145" t="n"/>
      <c r="AC328" s="145" t="n"/>
      <c r="AD328" s="145" t="n"/>
      <c r="AE328" s="145" t="n"/>
      <c r="AF328" s="145" t="n"/>
    </row>
    <row r="329">
      <c r="D329" s="108" t="n"/>
      <c r="E329" s="108" t="n"/>
      <c r="F329" s="108" t="n"/>
      <c r="G329" s="108" t="n"/>
      <c r="H329" s="108" t="n"/>
      <c r="I329" s="108" t="n"/>
      <c r="J329" s="108" t="n"/>
      <c r="K329" s="108" t="n"/>
      <c r="M329" s="108" t="n"/>
      <c r="N329" s="108" t="n"/>
      <c r="O329" s="108" t="n"/>
      <c r="P329" s="108" t="n"/>
      <c r="Q329" s="108" t="n"/>
      <c r="R329" s="108" t="n"/>
      <c r="S329" s="108" t="n"/>
      <c r="T329" s="108" t="n"/>
      <c r="U329" s="108" t="n"/>
      <c r="V329" s="108" t="n"/>
      <c r="W329" s="108" t="n"/>
      <c r="X329" s="108" t="n"/>
      <c r="Y329" s="108" t="n"/>
      <c r="Z329" s="108" t="n"/>
      <c r="AA329" s="108" t="n"/>
      <c r="AB329" s="108" t="n"/>
      <c r="AC329" s="108" t="n"/>
      <c r="AD329" s="108" t="n"/>
      <c r="AE329" s="108" t="n"/>
      <c r="AF329" s="108" t="n"/>
    </row>
    <row r="330">
      <c r="A330" s="136" t="n"/>
      <c r="B330" s="136" t="n"/>
      <c r="C330" s="136" t="n"/>
      <c r="D330" s="137" t="n"/>
      <c r="E330" s="137" t="n"/>
      <c r="F330" s="137" t="n"/>
      <c r="G330" s="137" t="n"/>
      <c r="H330" s="137" t="n"/>
      <c r="I330" s="137" t="n"/>
      <c r="J330" s="137" t="n"/>
      <c r="K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row>
    <row r="331">
      <c r="D331" s="108" t="n"/>
      <c r="E331" s="108" t="n"/>
      <c r="F331" s="108" t="n"/>
      <c r="G331" s="108" t="n"/>
      <c r="H331" s="108" t="n"/>
      <c r="I331" s="108" t="n"/>
      <c r="J331" s="108" t="n"/>
      <c r="K331" s="108" t="n"/>
      <c r="M331" s="108" t="n"/>
      <c r="N331" s="108" t="n"/>
      <c r="O331" s="108" t="n"/>
      <c r="P331" s="108" t="n"/>
      <c r="Q331" s="108" t="n"/>
      <c r="R331" s="108" t="n"/>
      <c r="S331" s="108" t="n"/>
      <c r="T331" s="108" t="n"/>
      <c r="U331" s="108" t="n"/>
      <c r="V331" s="108" t="n"/>
      <c r="W331" s="108" t="n"/>
      <c r="X331" s="108" t="n"/>
      <c r="Y331" s="108" t="n"/>
      <c r="Z331" s="108" t="n"/>
      <c r="AA331" s="108" t="n"/>
      <c r="AB331" s="108" t="n"/>
      <c r="AC331" s="108" t="n"/>
      <c r="AD331" s="108" t="n"/>
      <c r="AE331" s="108" t="n"/>
      <c r="AF331" s="108" t="n"/>
    </row>
    <row r="333">
      <c r="A333" s="81" t="n"/>
      <c r="B333" s="81" t="n"/>
      <c r="C333" s="81" t="n"/>
    </row>
    <row r="334">
      <c r="A334" t="n"/>
      <c r="E334" s="145" t="n"/>
      <c r="F334" s="145" t="n"/>
      <c r="G334" s="145" t="n"/>
      <c r="H334" s="145" t="n"/>
      <c r="I334" s="145" t="n"/>
      <c r="J334" s="145" t="n"/>
      <c r="K334" s="145" t="n"/>
      <c r="M334" s="145" t="n"/>
      <c r="N334" s="145" t="n"/>
      <c r="O334" s="145" t="n"/>
      <c r="P334" s="145" t="n"/>
      <c r="R334" s="145" t="n"/>
      <c r="S334" s="145" t="n"/>
      <c r="T334" s="145" t="n"/>
      <c r="U334" s="145" t="n"/>
    </row>
    <row r="335"/>
    <row r="336"/>
  </sheetData>
  <mergeCells count="3">
    <mergeCell ref="Q84:Q85"/>
    <mergeCell ref="U84:U85"/>
    <mergeCell ref="V17:V19"/>
  </mergeCells>
  <pageMargins left="0.7" right="0.7" top="0.75" bottom="0.75" header="0.3" footer="0.3"/>
  <pageSetup orientation="landscape" paperSize="9" scale="12" horizontalDpi="300" verticalDpi="300"/>
  <legacyDrawing xmlns:r="http://schemas.openxmlformats.org/officeDocument/2006/relationships" r:id="anysvml"/>
</worksheet>
</file>

<file path=xl/worksheets/sheet15.xml><?xml version="1.0" encoding="utf-8"?>
<worksheet xmlns="http://schemas.openxmlformats.org/spreadsheetml/2006/main">
  <sheetPr codeName="Sheet15">
    <tabColor theme="3"/>
    <outlinePr summaryBelow="1" summaryRight="1"/>
    <pageSetUpPr fitToPage="1"/>
  </sheetPr>
  <dimension ref="A1:CP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row>
    <row r="35" hidden="1" ht="13.25" customHeight="1">
      <c r="B35" s="204" t="n"/>
      <c r="C35" s="204" t="n"/>
      <c r="D35" s="204" t="n"/>
      <c r="E35" s="203" t="n"/>
      <c r="F35" s="203" t="n"/>
      <c r="H35" s="360" t="n"/>
    </row>
    <row r="36" hidden="1" ht="13.25" customHeight="1">
      <c r="B36" s="204">
        <f>+C36-1</f>
        <v/>
      </c>
      <c r="C36" s="204">
        <f>IF(bands_A!$D$9+1&gt;MONTH(G36),YEAR(G36),YEAR(G36)+1)</f>
        <v/>
      </c>
      <c r="D36" s="204">
        <f>+C36+1</f>
        <v/>
      </c>
      <c r="E36" s="203">
        <f>IF(C36&gt;C35,1,E35+1)</f>
        <v/>
      </c>
      <c r="F36" s="203">
        <f>COUNTIF(C:C,C36)</f>
        <v/>
      </c>
      <c r="G36" s="198">
        <f>+G37-7</f>
        <v/>
      </c>
      <c r="H36" s="361" t="n"/>
      <c r="I36" s="968">
        <f>H36/M36</f>
        <v/>
      </c>
      <c r="J36" s="968">
        <f>H36/N36</f>
        <v/>
      </c>
      <c r="K36" s="968">
        <f>(H36+Q36)/O36</f>
        <v/>
      </c>
      <c r="L36" s="968">
        <f>(H36+Q36)/P36</f>
        <v/>
      </c>
      <c r="M36" s="199">
        <f>HLOOKUP(C:C,$4:$10,3,FALSE)+((HLOOKUP(D:D,$4:$10,3,FALSE)-HLOOKUP(C:C,$4:$10,3,FALSE))*E36/F36)</f>
        <v/>
      </c>
      <c r="N36" s="199">
        <f>HLOOKUP(C:C,$4:$10,2,FALSE)+((HLOOKUP(D:D,$4:$10,2,FALSE)-HLOOKUP(C:C,$4:$10,2,FALSE))*E36/F36)</f>
        <v/>
      </c>
      <c r="O36" s="199">
        <f>HLOOKUP(C:C,$4:$10,5,FALSE)+((HLOOKUP(D:D,$4:$10,5,FALSE)-HLOOKUP(C:C,$4:$10,5,FALSE))*E36/F36)</f>
        <v/>
      </c>
      <c r="P36" s="199">
        <f>HLOOKUP(C:C,$4:$10,4,FALSE)+((HLOOKUP(D:D,$4:$10,4,FALSE)-HLOOKUP(C:C,$4:$10,4,FALSE))*E36/F36)</f>
        <v/>
      </c>
      <c r="Q36" s="199">
        <f>HLOOKUP(B:B,$4:$10,6,FALSE)+((HLOOKUP(C:C,$4:$10,6,FALSE)-HLOOKUP(B:B,$4:$10,6,FALSE))*E36/F36)</f>
        <v/>
      </c>
      <c r="T36" s="198">
        <f>$G36</f>
        <v/>
      </c>
      <c r="U36" s="199">
        <f>H36/(HLOOKUP(B:B,$4:$10,3,FALSE)+((HLOOKUP(C:C,$4:$10,3,FALSE)-HLOOKUP(B:B,$4:$10,3,FALSE))*E36/F36))</f>
        <v/>
      </c>
      <c r="V36" s="969">
        <f>HLOOKUP(B:B,$4:$10,7,FALSE)+((HLOOKUP(C:C,$4:$10,7,FALSE)-HLOOKUP(B:B,$4:$10,7,FALSE))*E36/F36)</f>
        <v/>
      </c>
      <c r="AB36" s="198">
        <f>$G36</f>
        <v/>
      </c>
      <c r="AC36" s="199">
        <f>$H36</f>
        <v/>
      </c>
      <c r="AD36" s="199">
        <f>$M36*AD$34</f>
        <v/>
      </c>
      <c r="AE36" s="199">
        <f>$M36*AE$34</f>
        <v/>
      </c>
      <c r="AF36" s="199">
        <f>$M36*AF$34</f>
        <v/>
      </c>
      <c r="AG36" s="199">
        <f>$M36*AG$34</f>
        <v/>
      </c>
      <c r="AH36" s="199">
        <f>$M36*AH$34</f>
        <v/>
      </c>
      <c r="AJ36" s="198">
        <f>$G36</f>
        <v/>
      </c>
      <c r="AK36" s="199">
        <f>$H36</f>
        <v/>
      </c>
      <c r="AL36" s="199">
        <f>$N36*AL$34</f>
        <v/>
      </c>
      <c r="AM36" s="199">
        <f>$N36*AM$34</f>
        <v/>
      </c>
      <c r="AN36" s="199">
        <f>$N36*AN$34</f>
        <v/>
      </c>
      <c r="AO36" s="199">
        <f>$N36*AO$34</f>
        <v/>
      </c>
      <c r="AP36" s="199">
        <f>$N36*AP$34</f>
        <v/>
      </c>
      <c r="AR36" s="198">
        <f>$G36</f>
        <v/>
      </c>
      <c r="AS36" s="199">
        <f>$H36</f>
        <v/>
      </c>
      <c r="AT36" s="199">
        <f>$O36*AT$34-$Q36</f>
        <v/>
      </c>
      <c r="AU36" s="199">
        <f>$O36*AU$34-$Q36</f>
        <v/>
      </c>
      <c r="AV36" s="199">
        <f>$O36*AV$34-$Q36</f>
        <v/>
      </c>
      <c r="AW36" s="199">
        <f>$O36*AW$34-$Q36</f>
        <v/>
      </c>
      <c r="AX36" s="199">
        <f>$O36*AX$34-$Q36</f>
        <v/>
      </c>
      <c r="AZ36" s="198">
        <f>$G36</f>
        <v/>
      </c>
      <c r="BA36" s="199">
        <f>$H36</f>
        <v/>
      </c>
      <c r="BB36" s="199">
        <f>$P36*BB$34-$Q36</f>
        <v/>
      </c>
      <c r="BC36" s="199">
        <f>$P36*BC$34-$Q36</f>
        <v/>
      </c>
      <c r="BD36" s="199">
        <f>$P36*BD$34-$Q36</f>
        <v/>
      </c>
      <c r="BE36" s="199">
        <f>$P36*BE$34-$Q36</f>
        <v/>
      </c>
      <c r="BF36" s="199">
        <f>$P36*BF$34-$Q36</f>
        <v/>
      </c>
      <c r="BH36" s="198">
        <f>$G36</f>
        <v/>
      </c>
      <c r="BI36" s="197">
        <f>$I36</f>
        <v/>
      </c>
      <c r="BJ36" s="197">
        <f>+BJ37</f>
        <v/>
      </c>
      <c r="BK36" s="197">
        <f>+BK37</f>
        <v/>
      </c>
      <c r="BL36" s="197">
        <f>+BL37</f>
        <v/>
      </c>
      <c r="BM36" s="197">
        <f>+BM37</f>
        <v/>
      </c>
      <c r="BN36" s="197">
        <f>+BN37</f>
        <v/>
      </c>
      <c r="BP36" s="198">
        <f>$G36</f>
        <v/>
      </c>
      <c r="BQ36" s="197">
        <f>$J36</f>
        <v/>
      </c>
      <c r="BR36" s="197">
        <f>+BR37</f>
        <v/>
      </c>
      <c r="BS36" s="197">
        <f>+BS37</f>
        <v/>
      </c>
      <c r="BT36" s="197">
        <f>+BT37</f>
        <v/>
      </c>
      <c r="BU36" s="197">
        <f>+BU37</f>
        <v/>
      </c>
      <c r="BV36" s="197">
        <f>+BV37</f>
        <v/>
      </c>
      <c r="BX36" s="198">
        <f>$G36</f>
        <v/>
      </c>
      <c r="BY36" s="197">
        <f>$K36</f>
        <v/>
      </c>
      <c r="BZ36" s="197">
        <f>+BZ37</f>
        <v/>
      </c>
      <c r="CA36" s="197">
        <f>+CA37</f>
        <v/>
      </c>
      <c r="CB36" s="197">
        <f>+CB37</f>
        <v/>
      </c>
      <c r="CC36" s="197">
        <f>+CC37</f>
        <v/>
      </c>
      <c r="CD36" s="197">
        <f>+CD37</f>
        <v/>
      </c>
      <c r="CF36" s="198">
        <f>$G36</f>
        <v/>
      </c>
      <c r="CG36" s="197">
        <f>$L36</f>
        <v/>
      </c>
      <c r="CH36" s="197">
        <f>+CH37</f>
        <v/>
      </c>
      <c r="CI36" s="197">
        <f>+CI37</f>
        <v/>
      </c>
      <c r="CJ36" s="197">
        <f>+CJ37</f>
        <v/>
      </c>
      <c r="CK36" s="197">
        <f>+CK37</f>
        <v/>
      </c>
      <c r="CL36" s="197">
        <f>+CL37</f>
        <v/>
      </c>
      <c r="CO36" s="199" t="n">
        <v>6.8</v>
      </c>
      <c r="CP36" s="970" t="n">
        <v>0.8835499999999999</v>
      </c>
    </row>
    <row r="37" hidden="1" ht="13.25" customHeight="1">
      <c r="B37" s="204">
        <f>+C37-1</f>
        <v/>
      </c>
      <c r="C37" s="204">
        <f>IF(bands_A!$D$9+1&gt;MONTH(G37),YEAR(G37),YEAR(G37)+1)</f>
        <v/>
      </c>
      <c r="D37" s="204">
        <f>+C37+1</f>
        <v/>
      </c>
      <c r="E37" s="203">
        <f>IF(C37&gt;C36,1,E36+1)</f>
        <v/>
      </c>
      <c r="F37" s="203">
        <f>COUNTIF(C:C,C37)</f>
        <v/>
      </c>
      <c r="G37" s="198">
        <f>+G38-7</f>
        <v/>
      </c>
      <c r="H37" s="361" t="n"/>
      <c r="I37" s="968">
        <f>H37/M37</f>
        <v/>
      </c>
      <c r="J37" s="968">
        <f>H37/N37</f>
        <v/>
      </c>
      <c r="K37" s="968">
        <f>(H37+Q37)/O37</f>
        <v/>
      </c>
      <c r="L37" s="968">
        <f>(H37+Q37)/P37</f>
        <v/>
      </c>
      <c r="M37" s="199">
        <f>HLOOKUP(C:C,$4:$10,3,FALSE)+((HLOOKUP(D:D,$4:$10,3,FALSE)-HLOOKUP(C:C,$4:$10,3,FALSE))*E37/F37)</f>
        <v/>
      </c>
      <c r="N37" s="199">
        <f>HLOOKUP(C:C,$4:$10,2,FALSE)+((HLOOKUP(D:D,$4:$10,2,FALSE)-HLOOKUP(C:C,$4:$10,2,FALSE))*E37/F37)</f>
        <v/>
      </c>
      <c r="O37" s="199">
        <f>HLOOKUP(C:C,$4:$10,5,FALSE)+((HLOOKUP(D:D,$4:$10,5,FALSE)-HLOOKUP(C:C,$4:$10,5,FALSE))*E37/F37)</f>
        <v/>
      </c>
      <c r="P37" s="199">
        <f>HLOOKUP(C:C,$4:$10,4,FALSE)+((HLOOKUP(D:D,$4:$10,4,FALSE)-HLOOKUP(C:C,$4:$10,4,FALSE))*E37/F37)</f>
        <v/>
      </c>
      <c r="Q37" s="199">
        <f>HLOOKUP(B:B,$4:$10,6,FALSE)+((HLOOKUP(C:C,$4:$10,6,FALSE)-HLOOKUP(B:B,$4:$10,6,FALSE))*E37/F37)</f>
        <v/>
      </c>
      <c r="T37" s="198">
        <f>$G37</f>
        <v/>
      </c>
      <c r="U37" s="199">
        <f>H37/(HLOOKUP(B:B,$4:$10,3,FALSE)+((HLOOKUP(C:C,$4:$10,3,FALSE)-HLOOKUP(B:B,$4:$10,3,FALSE))*E37/F37))</f>
        <v/>
      </c>
      <c r="V37" s="969">
        <f>HLOOKUP(B:B,$4:$10,7,FALSE)+((HLOOKUP(C:C,$4:$10,7,FALSE)-HLOOKUP(B:B,$4:$10,7,FALSE))*E37/F37)</f>
        <v/>
      </c>
      <c r="AB37" s="198">
        <f>$G37</f>
        <v/>
      </c>
      <c r="AC37" s="199">
        <f>$H37</f>
        <v/>
      </c>
      <c r="AD37" s="199">
        <f>$M37*AD$34</f>
        <v/>
      </c>
      <c r="AE37" s="199">
        <f>$M37*AE$34</f>
        <v/>
      </c>
      <c r="AF37" s="199">
        <f>$M37*AF$34</f>
        <v/>
      </c>
      <c r="AG37" s="199">
        <f>$M37*AG$34</f>
        <v/>
      </c>
      <c r="AH37" s="199">
        <f>$M37*AH$34</f>
        <v/>
      </c>
      <c r="AJ37" s="198">
        <f>$G37</f>
        <v/>
      </c>
      <c r="AK37" s="199">
        <f>$H37</f>
        <v/>
      </c>
      <c r="AL37" s="199">
        <f>$N37*AL$34</f>
        <v/>
      </c>
      <c r="AM37" s="199">
        <f>$N37*AM$34</f>
        <v/>
      </c>
      <c r="AN37" s="199">
        <f>$N37*AN$34</f>
        <v/>
      </c>
      <c r="AO37" s="199">
        <f>$N37*AO$34</f>
        <v/>
      </c>
      <c r="AP37" s="199">
        <f>$N37*AP$34</f>
        <v/>
      </c>
      <c r="AR37" s="198">
        <f>$G37</f>
        <v/>
      </c>
      <c r="AS37" s="199">
        <f>$H37</f>
        <v/>
      </c>
      <c r="AT37" s="199">
        <f>$O37*AT$34-$Q37</f>
        <v/>
      </c>
      <c r="AU37" s="199">
        <f>$O37*AU$34-$Q37</f>
        <v/>
      </c>
      <c r="AV37" s="199">
        <f>$O37*AV$34-$Q37</f>
        <v/>
      </c>
      <c r="AW37" s="199">
        <f>$O37*AW$34-$Q37</f>
        <v/>
      </c>
      <c r="AX37" s="199">
        <f>$O37*AX$34-$Q37</f>
        <v/>
      </c>
      <c r="AZ37" s="198">
        <f>$G37</f>
        <v/>
      </c>
      <c r="BA37" s="199">
        <f>$H37</f>
        <v/>
      </c>
      <c r="BB37" s="199">
        <f>$P37*BB$34-$Q37</f>
        <v/>
      </c>
      <c r="BC37" s="199">
        <f>$P37*BC$34-$Q37</f>
        <v/>
      </c>
      <c r="BD37" s="199">
        <f>$P37*BD$34-$Q37</f>
        <v/>
      </c>
      <c r="BE37" s="199">
        <f>$P37*BE$34-$Q37</f>
        <v/>
      </c>
      <c r="BF37" s="199">
        <f>$P37*BF$34-$Q37</f>
        <v/>
      </c>
      <c r="BH37" s="198">
        <f>$G37</f>
        <v/>
      </c>
      <c r="BI37" s="197">
        <f>$I37</f>
        <v/>
      </c>
      <c r="BJ37" s="197">
        <f>+BJ38</f>
        <v/>
      </c>
      <c r="BK37" s="197">
        <f>+BK38</f>
        <v/>
      </c>
      <c r="BL37" s="197">
        <f>+BL38</f>
        <v/>
      </c>
      <c r="BM37" s="197">
        <f>+BM38</f>
        <v/>
      </c>
      <c r="BN37" s="197">
        <f>+BN38</f>
        <v/>
      </c>
      <c r="BP37" s="198">
        <f>$G37</f>
        <v/>
      </c>
      <c r="BQ37" s="197">
        <f>$J37</f>
        <v/>
      </c>
      <c r="BR37" s="197">
        <f>+BR38</f>
        <v/>
      </c>
      <c r="BS37" s="197">
        <f>+BS38</f>
        <v/>
      </c>
      <c r="BT37" s="197">
        <f>+BT38</f>
        <v/>
      </c>
      <c r="BU37" s="197">
        <f>+BU38</f>
        <v/>
      </c>
      <c r="BV37" s="197">
        <f>+BV38</f>
        <v/>
      </c>
      <c r="BX37" s="198">
        <f>$G37</f>
        <v/>
      </c>
      <c r="BY37" s="197">
        <f>$K37</f>
        <v/>
      </c>
      <c r="BZ37" s="197">
        <f>+BZ38</f>
        <v/>
      </c>
      <c r="CA37" s="197">
        <f>+CA38</f>
        <v/>
      </c>
      <c r="CB37" s="197">
        <f>+CB38</f>
        <v/>
      </c>
      <c r="CC37" s="197">
        <f>+CC38</f>
        <v/>
      </c>
      <c r="CD37" s="197">
        <f>+CD38</f>
        <v/>
      </c>
      <c r="CF37" s="198">
        <f>$G37</f>
        <v/>
      </c>
      <c r="CG37" s="197">
        <f>$L37</f>
        <v/>
      </c>
      <c r="CH37" s="197">
        <f>+CH38</f>
        <v/>
      </c>
      <c r="CI37" s="197">
        <f>+CI38</f>
        <v/>
      </c>
      <c r="CJ37" s="197">
        <f>+CJ38</f>
        <v/>
      </c>
      <c r="CK37" s="197">
        <f>+CK38</f>
        <v/>
      </c>
      <c r="CL37" s="197">
        <f>+CL38</f>
        <v/>
      </c>
      <c r="CO37" s="199" t="n">
        <v>6.8</v>
      </c>
      <c r="CP37" s="970" t="n">
        <v>0.8835499999999999</v>
      </c>
    </row>
    <row r="38" hidden="1" ht="13.25" customHeight="1">
      <c r="B38" s="204">
        <f>+C38-1</f>
        <v/>
      </c>
      <c r="C38" s="204">
        <f>IF(bands_A!$D$9+1&gt;MONTH(G38),YEAR(G38),YEAR(G38)+1)</f>
        <v/>
      </c>
      <c r="D38" s="204">
        <f>+C38+1</f>
        <v/>
      </c>
      <c r="E38" s="203">
        <f>IF(C38&gt;C37,1,E37+1)</f>
        <v/>
      </c>
      <c r="F38" s="203">
        <f>COUNTIF(C:C,C38)</f>
        <v/>
      </c>
      <c r="G38" s="198">
        <f>+G39-7</f>
        <v/>
      </c>
      <c r="H38" s="361" t="n"/>
      <c r="I38" s="968">
        <f>H38/M38</f>
        <v/>
      </c>
      <c r="J38" s="968">
        <f>H38/N38</f>
        <v/>
      </c>
      <c r="K38" s="968">
        <f>(H38+Q38)/O38</f>
        <v/>
      </c>
      <c r="L38" s="968">
        <f>(H38+Q38)/P38</f>
        <v/>
      </c>
      <c r="M38" s="199">
        <f>HLOOKUP(C:C,$4:$10,3,FALSE)+((HLOOKUP(D:D,$4:$10,3,FALSE)-HLOOKUP(C:C,$4:$10,3,FALSE))*E38/F38)</f>
        <v/>
      </c>
      <c r="N38" s="199">
        <f>HLOOKUP(C:C,$4:$10,2,FALSE)+((HLOOKUP(D:D,$4:$10,2,FALSE)-HLOOKUP(C:C,$4:$10,2,FALSE))*E38/F38)</f>
        <v/>
      </c>
      <c r="O38" s="199">
        <f>HLOOKUP(C:C,$4:$10,5,FALSE)+((HLOOKUP(D:D,$4:$10,5,FALSE)-HLOOKUP(C:C,$4:$10,5,FALSE))*E38/F38)</f>
        <v/>
      </c>
      <c r="P38" s="199">
        <f>HLOOKUP(C:C,$4:$10,4,FALSE)+((HLOOKUP(D:D,$4:$10,4,FALSE)-HLOOKUP(C:C,$4:$10,4,FALSE))*E38/F38)</f>
        <v/>
      </c>
      <c r="Q38" s="199">
        <f>HLOOKUP(B:B,$4:$10,6,FALSE)+((HLOOKUP(C:C,$4:$10,6,FALSE)-HLOOKUP(B:B,$4:$10,6,FALSE))*E38/F38)</f>
        <v/>
      </c>
      <c r="T38" s="198">
        <f>$G38</f>
        <v/>
      </c>
      <c r="U38" s="199">
        <f>H38/(HLOOKUP(B:B,$4:$10,3,FALSE)+((HLOOKUP(C:C,$4:$10,3,FALSE)-HLOOKUP(B:B,$4:$10,3,FALSE))*E38/F38))</f>
        <v/>
      </c>
      <c r="V38" s="969">
        <f>HLOOKUP(B:B,$4:$10,7,FALSE)+((HLOOKUP(C:C,$4:$10,7,FALSE)-HLOOKUP(B:B,$4:$10,7,FALSE))*E38/F38)</f>
        <v/>
      </c>
      <c r="AB38" s="198">
        <f>$G38</f>
        <v/>
      </c>
      <c r="AC38" s="199">
        <f>$H38</f>
        <v/>
      </c>
      <c r="AD38" s="199">
        <f>$M38*AD$34</f>
        <v/>
      </c>
      <c r="AE38" s="199">
        <f>$M38*AE$34</f>
        <v/>
      </c>
      <c r="AF38" s="199">
        <f>$M38*AF$34</f>
        <v/>
      </c>
      <c r="AG38" s="199">
        <f>$M38*AG$34</f>
        <v/>
      </c>
      <c r="AH38" s="199">
        <f>$M38*AH$34</f>
        <v/>
      </c>
      <c r="AJ38" s="198">
        <f>$G38</f>
        <v/>
      </c>
      <c r="AK38" s="199">
        <f>$H38</f>
        <v/>
      </c>
      <c r="AL38" s="199">
        <f>$N38*AL$34</f>
        <v/>
      </c>
      <c r="AM38" s="199">
        <f>$N38*AM$34</f>
        <v/>
      </c>
      <c r="AN38" s="199">
        <f>$N38*AN$34</f>
        <v/>
      </c>
      <c r="AO38" s="199">
        <f>$N38*AO$34</f>
        <v/>
      </c>
      <c r="AP38" s="199">
        <f>$N38*AP$34</f>
        <v/>
      </c>
      <c r="AR38" s="198">
        <f>$G38</f>
        <v/>
      </c>
      <c r="AS38" s="199">
        <f>$H38</f>
        <v/>
      </c>
      <c r="AT38" s="199">
        <f>$O38*AT$34-$Q38</f>
        <v/>
      </c>
      <c r="AU38" s="199">
        <f>$O38*AU$34-$Q38</f>
        <v/>
      </c>
      <c r="AV38" s="199">
        <f>$O38*AV$34-$Q38</f>
        <v/>
      </c>
      <c r="AW38" s="199">
        <f>$O38*AW$34-$Q38</f>
        <v/>
      </c>
      <c r="AX38" s="199">
        <f>$O38*AX$34-$Q38</f>
        <v/>
      </c>
      <c r="AZ38" s="198">
        <f>$G38</f>
        <v/>
      </c>
      <c r="BA38" s="199">
        <f>$H38</f>
        <v/>
      </c>
      <c r="BB38" s="199">
        <f>$P38*BB$34-$Q38</f>
        <v/>
      </c>
      <c r="BC38" s="199">
        <f>$P38*BC$34-$Q38</f>
        <v/>
      </c>
      <c r="BD38" s="199">
        <f>$P38*BD$34-$Q38</f>
        <v/>
      </c>
      <c r="BE38" s="199">
        <f>$P38*BE$34-$Q38</f>
        <v/>
      </c>
      <c r="BF38" s="199">
        <f>$P38*BF$34-$Q38</f>
        <v/>
      </c>
      <c r="BH38" s="198">
        <f>$G38</f>
        <v/>
      </c>
      <c r="BI38" s="197">
        <f>$I38</f>
        <v/>
      </c>
      <c r="BJ38" s="197">
        <f>+BJ39</f>
        <v/>
      </c>
      <c r="BK38" s="197">
        <f>+BK39</f>
        <v/>
      </c>
      <c r="BL38" s="197">
        <f>+BL39</f>
        <v/>
      </c>
      <c r="BM38" s="197">
        <f>+BM39</f>
        <v/>
      </c>
      <c r="BN38" s="197">
        <f>+BN39</f>
        <v/>
      </c>
      <c r="BP38" s="198">
        <f>$G38</f>
        <v/>
      </c>
      <c r="BQ38" s="197">
        <f>$J38</f>
        <v/>
      </c>
      <c r="BR38" s="197">
        <f>+BR39</f>
        <v/>
      </c>
      <c r="BS38" s="197">
        <f>+BS39</f>
        <v/>
      </c>
      <c r="BT38" s="197">
        <f>+BT39</f>
        <v/>
      </c>
      <c r="BU38" s="197">
        <f>+BU39</f>
        <v/>
      </c>
      <c r="BV38" s="197">
        <f>+BV39</f>
        <v/>
      </c>
      <c r="BX38" s="198">
        <f>$G38</f>
        <v/>
      </c>
      <c r="BY38" s="197">
        <f>$K38</f>
        <v/>
      </c>
      <c r="BZ38" s="197">
        <f>+BZ39</f>
        <v/>
      </c>
      <c r="CA38" s="197">
        <f>+CA39</f>
        <v/>
      </c>
      <c r="CB38" s="197">
        <f>+CB39</f>
        <v/>
      </c>
      <c r="CC38" s="197">
        <f>+CC39</f>
        <v/>
      </c>
      <c r="CD38" s="197">
        <f>+CD39</f>
        <v/>
      </c>
      <c r="CF38" s="198">
        <f>$G38</f>
        <v/>
      </c>
      <c r="CG38" s="197">
        <f>$L38</f>
        <v/>
      </c>
      <c r="CH38" s="197">
        <f>+CH39</f>
        <v/>
      </c>
      <c r="CI38" s="197">
        <f>+CI39</f>
        <v/>
      </c>
      <c r="CJ38" s="197">
        <f>+CJ39</f>
        <v/>
      </c>
      <c r="CK38" s="197">
        <f>+CK39</f>
        <v/>
      </c>
      <c r="CL38" s="197">
        <f>+CL39</f>
        <v/>
      </c>
      <c r="CO38" s="199" t="n">
        <v>6.8</v>
      </c>
      <c r="CP38" s="970" t="n">
        <v>0.8835499999999999</v>
      </c>
    </row>
    <row r="39" hidden="1" ht="13.25" customHeight="1">
      <c r="B39" s="204">
        <f>+C39-1</f>
        <v/>
      </c>
      <c r="C39" s="204">
        <f>IF(bands_A!$D$9+1&gt;MONTH(G39),YEAR(G39),YEAR(G39)+1)</f>
        <v/>
      </c>
      <c r="D39" s="204">
        <f>+C39+1</f>
        <v/>
      </c>
      <c r="E39" s="203">
        <f>IF(C39&gt;C38,1,E38+1)</f>
        <v/>
      </c>
      <c r="F39" s="203">
        <f>COUNTIF(C:C,C39)</f>
        <v/>
      </c>
      <c r="G39" s="198">
        <f>+G40-7</f>
        <v/>
      </c>
      <c r="H39" s="361" t="n"/>
      <c r="I39" s="968">
        <f>H39/M39</f>
        <v/>
      </c>
      <c r="J39" s="968">
        <f>H39/N39</f>
        <v/>
      </c>
      <c r="K39" s="968">
        <f>(H39+Q39)/O39</f>
        <v/>
      </c>
      <c r="L39" s="968">
        <f>(H39+Q39)/P39</f>
        <v/>
      </c>
      <c r="M39" s="199">
        <f>HLOOKUP(C:C,$4:$10,3,FALSE)+((HLOOKUP(D:D,$4:$10,3,FALSE)-HLOOKUP(C:C,$4:$10,3,FALSE))*E39/F39)</f>
        <v/>
      </c>
      <c r="N39" s="199">
        <f>HLOOKUP(C:C,$4:$10,2,FALSE)+((HLOOKUP(D:D,$4:$10,2,FALSE)-HLOOKUP(C:C,$4:$10,2,FALSE))*E39/F39)</f>
        <v/>
      </c>
      <c r="O39" s="199">
        <f>HLOOKUP(C:C,$4:$10,5,FALSE)+((HLOOKUP(D:D,$4:$10,5,FALSE)-HLOOKUP(C:C,$4:$10,5,FALSE))*E39/F39)</f>
        <v/>
      </c>
      <c r="P39" s="199">
        <f>HLOOKUP(C:C,$4:$10,4,FALSE)+((HLOOKUP(D:D,$4:$10,4,FALSE)-HLOOKUP(C:C,$4:$10,4,FALSE))*E39/F39)</f>
        <v/>
      </c>
      <c r="Q39" s="199">
        <f>HLOOKUP(B:B,$4:$10,6,FALSE)+((HLOOKUP(C:C,$4:$10,6,FALSE)-HLOOKUP(B:B,$4:$10,6,FALSE))*E39/F39)</f>
        <v/>
      </c>
      <c r="T39" s="198">
        <f>$G39</f>
        <v/>
      </c>
      <c r="U39" s="199">
        <f>H39/(HLOOKUP(B:B,$4:$10,3,FALSE)+((HLOOKUP(C:C,$4:$10,3,FALSE)-HLOOKUP(B:B,$4:$10,3,FALSE))*E39/F39))</f>
        <v/>
      </c>
      <c r="V39" s="969">
        <f>HLOOKUP(B:B,$4:$10,7,FALSE)+((HLOOKUP(C:C,$4:$10,7,FALSE)-HLOOKUP(B:B,$4:$10,7,FALSE))*E39/F39)</f>
        <v/>
      </c>
      <c r="AB39" s="198">
        <f>$G39</f>
        <v/>
      </c>
      <c r="AC39" s="199">
        <f>$H39</f>
        <v/>
      </c>
      <c r="AD39" s="199">
        <f>$M39*AD$34</f>
        <v/>
      </c>
      <c r="AE39" s="199">
        <f>$M39*AE$34</f>
        <v/>
      </c>
      <c r="AF39" s="199">
        <f>$M39*AF$34</f>
        <v/>
      </c>
      <c r="AG39" s="199">
        <f>$M39*AG$34</f>
        <v/>
      </c>
      <c r="AH39" s="199">
        <f>$M39*AH$34</f>
        <v/>
      </c>
      <c r="AJ39" s="198">
        <f>$G39</f>
        <v/>
      </c>
      <c r="AK39" s="199">
        <f>$H39</f>
        <v/>
      </c>
      <c r="AL39" s="199">
        <f>$N39*AL$34</f>
        <v/>
      </c>
      <c r="AM39" s="199">
        <f>$N39*AM$34</f>
        <v/>
      </c>
      <c r="AN39" s="199">
        <f>$N39*AN$34</f>
        <v/>
      </c>
      <c r="AO39" s="199">
        <f>$N39*AO$34</f>
        <v/>
      </c>
      <c r="AP39" s="199">
        <f>$N39*AP$34</f>
        <v/>
      </c>
      <c r="AR39" s="198">
        <f>$G39</f>
        <v/>
      </c>
      <c r="AS39" s="199">
        <f>$H39</f>
        <v/>
      </c>
      <c r="AT39" s="199">
        <f>$O39*AT$34-$Q39</f>
        <v/>
      </c>
      <c r="AU39" s="199">
        <f>$O39*AU$34-$Q39</f>
        <v/>
      </c>
      <c r="AV39" s="199">
        <f>$O39*AV$34-$Q39</f>
        <v/>
      </c>
      <c r="AW39" s="199">
        <f>$O39*AW$34-$Q39</f>
        <v/>
      </c>
      <c r="AX39" s="199">
        <f>$O39*AX$34-$Q39</f>
        <v/>
      </c>
      <c r="AZ39" s="198">
        <f>$G39</f>
        <v/>
      </c>
      <c r="BA39" s="199">
        <f>$H39</f>
        <v/>
      </c>
      <c r="BB39" s="199">
        <f>$P39*BB$34-$Q39</f>
        <v/>
      </c>
      <c r="BC39" s="199">
        <f>$P39*BC$34-$Q39</f>
        <v/>
      </c>
      <c r="BD39" s="199">
        <f>$P39*BD$34-$Q39</f>
        <v/>
      </c>
      <c r="BE39" s="199">
        <f>$P39*BE$34-$Q39</f>
        <v/>
      </c>
      <c r="BF39" s="199">
        <f>$P39*BF$34-$Q39</f>
        <v/>
      </c>
      <c r="BH39" s="198">
        <f>$G39</f>
        <v/>
      </c>
      <c r="BI39" s="197">
        <f>$I39</f>
        <v/>
      </c>
      <c r="BJ39" s="197">
        <f>+BJ40</f>
        <v/>
      </c>
      <c r="BK39" s="197">
        <f>+BK40</f>
        <v/>
      </c>
      <c r="BL39" s="197">
        <f>+BL40</f>
        <v/>
      </c>
      <c r="BM39" s="197">
        <f>+BM40</f>
        <v/>
      </c>
      <c r="BN39" s="197">
        <f>+BN40</f>
        <v/>
      </c>
      <c r="BP39" s="198">
        <f>$G39</f>
        <v/>
      </c>
      <c r="BQ39" s="197">
        <f>$J39</f>
        <v/>
      </c>
      <c r="BR39" s="197">
        <f>+BR40</f>
        <v/>
      </c>
      <c r="BS39" s="197">
        <f>+BS40</f>
        <v/>
      </c>
      <c r="BT39" s="197">
        <f>+BT40</f>
        <v/>
      </c>
      <c r="BU39" s="197">
        <f>+BU40</f>
        <v/>
      </c>
      <c r="BV39" s="197">
        <f>+BV40</f>
        <v/>
      </c>
      <c r="BX39" s="198">
        <f>$G39</f>
        <v/>
      </c>
      <c r="BY39" s="197">
        <f>$K39</f>
        <v/>
      </c>
      <c r="BZ39" s="197">
        <f>+BZ40</f>
        <v/>
      </c>
      <c r="CA39" s="197">
        <f>+CA40</f>
        <v/>
      </c>
      <c r="CB39" s="197">
        <f>+CB40</f>
        <v/>
      </c>
      <c r="CC39" s="197">
        <f>+CC40</f>
        <v/>
      </c>
      <c r="CD39" s="197">
        <f>+CD40</f>
        <v/>
      </c>
      <c r="CF39" s="198">
        <f>$G39</f>
        <v/>
      </c>
      <c r="CG39" s="197">
        <f>$L39</f>
        <v/>
      </c>
      <c r="CH39" s="197">
        <f>+CH40</f>
        <v/>
      </c>
      <c r="CI39" s="197">
        <f>+CI40</f>
        <v/>
      </c>
      <c r="CJ39" s="197">
        <f>+CJ40</f>
        <v/>
      </c>
      <c r="CK39" s="197">
        <f>+CK40</f>
        <v/>
      </c>
      <c r="CL39" s="197">
        <f>+CL40</f>
        <v/>
      </c>
      <c r="CO39" s="199" t="n">
        <v>6.8</v>
      </c>
      <c r="CP39" s="970" t="n">
        <v>0.8835499999999999</v>
      </c>
    </row>
    <row r="40" hidden="1" ht="13.25" customHeight="1">
      <c r="B40" s="204">
        <f>+C40-1</f>
        <v/>
      </c>
      <c r="C40" s="204">
        <f>IF(bands_A!$D$9+1&gt;MONTH(G40),YEAR(G40),YEAR(G40)+1)</f>
        <v/>
      </c>
      <c r="D40" s="204">
        <f>+C40+1</f>
        <v/>
      </c>
      <c r="E40" s="203">
        <f>IF(C40&gt;C39,1,E39+1)</f>
        <v/>
      </c>
      <c r="F40" s="203">
        <f>COUNTIF(C:C,C40)</f>
        <v/>
      </c>
      <c r="G40" s="198">
        <f>+G41-7</f>
        <v/>
      </c>
      <c r="H40" s="361" t="n"/>
      <c r="I40" s="968">
        <f>H40/M40</f>
        <v/>
      </c>
      <c r="J40" s="968">
        <f>H40/N40</f>
        <v/>
      </c>
      <c r="K40" s="968">
        <f>(H40+Q40)/O40</f>
        <v/>
      </c>
      <c r="L40" s="968">
        <f>(H40+Q40)/P40</f>
        <v/>
      </c>
      <c r="M40" s="199">
        <f>HLOOKUP(C:C,$4:$10,3,FALSE)+((HLOOKUP(D:D,$4:$10,3,FALSE)-HLOOKUP(C:C,$4:$10,3,FALSE))*E40/F40)</f>
        <v/>
      </c>
      <c r="N40" s="199">
        <f>HLOOKUP(C:C,$4:$10,2,FALSE)+((HLOOKUP(D:D,$4:$10,2,FALSE)-HLOOKUP(C:C,$4:$10,2,FALSE))*E40/F40)</f>
        <v/>
      </c>
      <c r="O40" s="199">
        <f>HLOOKUP(C:C,$4:$10,5,FALSE)+((HLOOKUP(D:D,$4:$10,5,FALSE)-HLOOKUP(C:C,$4:$10,5,FALSE))*E40/F40)</f>
        <v/>
      </c>
      <c r="P40" s="199">
        <f>HLOOKUP(C:C,$4:$10,4,FALSE)+((HLOOKUP(D:D,$4:$10,4,FALSE)-HLOOKUP(C:C,$4:$10,4,FALSE))*E40/F40)</f>
        <v/>
      </c>
      <c r="Q40" s="199">
        <f>HLOOKUP(B:B,$4:$10,6,FALSE)+((HLOOKUP(C:C,$4:$10,6,FALSE)-HLOOKUP(B:B,$4:$10,6,FALSE))*E40/F40)</f>
        <v/>
      </c>
      <c r="T40" s="198">
        <f>$G40</f>
        <v/>
      </c>
      <c r="U40" s="199">
        <f>H40/(HLOOKUP(B:B,$4:$10,3,FALSE)+((HLOOKUP(C:C,$4:$10,3,FALSE)-HLOOKUP(B:B,$4:$10,3,FALSE))*E40/F40))</f>
        <v/>
      </c>
      <c r="V40" s="969">
        <f>HLOOKUP(B:B,$4:$10,7,FALSE)+((HLOOKUP(C:C,$4:$10,7,FALSE)-HLOOKUP(B:B,$4:$10,7,FALSE))*E40/F40)</f>
        <v/>
      </c>
      <c r="AB40" s="198">
        <f>$G40</f>
        <v/>
      </c>
      <c r="AC40" s="199">
        <f>$H40</f>
        <v/>
      </c>
      <c r="AD40" s="199">
        <f>$M40*AD$34</f>
        <v/>
      </c>
      <c r="AE40" s="199">
        <f>$M40*AE$34</f>
        <v/>
      </c>
      <c r="AF40" s="199">
        <f>$M40*AF$34</f>
        <v/>
      </c>
      <c r="AG40" s="199">
        <f>$M40*AG$34</f>
        <v/>
      </c>
      <c r="AH40" s="199">
        <f>$M40*AH$34</f>
        <v/>
      </c>
      <c r="AJ40" s="198">
        <f>$G40</f>
        <v/>
      </c>
      <c r="AK40" s="199">
        <f>$H40</f>
        <v/>
      </c>
      <c r="AL40" s="199">
        <f>$N40*AL$34</f>
        <v/>
      </c>
      <c r="AM40" s="199">
        <f>$N40*AM$34</f>
        <v/>
      </c>
      <c r="AN40" s="199">
        <f>$N40*AN$34</f>
        <v/>
      </c>
      <c r="AO40" s="199">
        <f>$N40*AO$34</f>
        <v/>
      </c>
      <c r="AP40" s="199">
        <f>$N40*AP$34</f>
        <v/>
      </c>
      <c r="AR40" s="198">
        <f>$G40</f>
        <v/>
      </c>
      <c r="AS40" s="199">
        <f>$H40</f>
        <v/>
      </c>
      <c r="AT40" s="199">
        <f>$O40*AT$34-$Q40</f>
        <v/>
      </c>
      <c r="AU40" s="199">
        <f>$O40*AU$34-$Q40</f>
        <v/>
      </c>
      <c r="AV40" s="199">
        <f>$O40*AV$34-$Q40</f>
        <v/>
      </c>
      <c r="AW40" s="199">
        <f>$O40*AW$34-$Q40</f>
        <v/>
      </c>
      <c r="AX40" s="199">
        <f>$O40*AX$34-$Q40</f>
        <v/>
      </c>
      <c r="AZ40" s="198">
        <f>$G40</f>
        <v/>
      </c>
      <c r="BA40" s="199">
        <f>$H40</f>
        <v/>
      </c>
      <c r="BB40" s="199">
        <f>$P40*BB$34-$Q40</f>
        <v/>
      </c>
      <c r="BC40" s="199">
        <f>$P40*BC$34-$Q40</f>
        <v/>
      </c>
      <c r="BD40" s="199">
        <f>$P40*BD$34-$Q40</f>
        <v/>
      </c>
      <c r="BE40" s="199">
        <f>$P40*BE$34-$Q40</f>
        <v/>
      </c>
      <c r="BF40" s="199">
        <f>$P40*BF$34-$Q40</f>
        <v/>
      </c>
      <c r="BH40" s="198">
        <f>$G40</f>
        <v/>
      </c>
      <c r="BI40" s="197">
        <f>$I40</f>
        <v/>
      </c>
      <c r="BJ40" s="197">
        <f>+BJ41</f>
        <v/>
      </c>
      <c r="BK40" s="197">
        <f>+BK41</f>
        <v/>
      </c>
      <c r="BL40" s="197">
        <f>+BL41</f>
        <v/>
      </c>
      <c r="BM40" s="197">
        <f>+BM41</f>
        <v/>
      </c>
      <c r="BN40" s="197">
        <f>+BN41</f>
        <v/>
      </c>
      <c r="BP40" s="198">
        <f>$G40</f>
        <v/>
      </c>
      <c r="BQ40" s="197">
        <f>$J40</f>
        <v/>
      </c>
      <c r="BR40" s="197">
        <f>+BR41</f>
        <v/>
      </c>
      <c r="BS40" s="197">
        <f>+BS41</f>
        <v/>
      </c>
      <c r="BT40" s="197">
        <f>+BT41</f>
        <v/>
      </c>
      <c r="BU40" s="197">
        <f>+BU41</f>
        <v/>
      </c>
      <c r="BV40" s="197">
        <f>+BV41</f>
        <v/>
      </c>
      <c r="BX40" s="198">
        <f>$G40</f>
        <v/>
      </c>
      <c r="BY40" s="197">
        <f>$K40</f>
        <v/>
      </c>
      <c r="BZ40" s="197">
        <f>+BZ41</f>
        <v/>
      </c>
      <c r="CA40" s="197">
        <f>+CA41</f>
        <v/>
      </c>
      <c r="CB40" s="197">
        <f>+CB41</f>
        <v/>
      </c>
      <c r="CC40" s="197">
        <f>+CC41</f>
        <v/>
      </c>
      <c r="CD40" s="197">
        <f>+CD41</f>
        <v/>
      </c>
      <c r="CF40" s="198">
        <f>$G40</f>
        <v/>
      </c>
      <c r="CG40" s="197">
        <f>$L40</f>
        <v/>
      </c>
      <c r="CH40" s="197">
        <f>+CH41</f>
        <v/>
      </c>
      <c r="CI40" s="197">
        <f>+CI41</f>
        <v/>
      </c>
      <c r="CJ40" s="197">
        <f>+CJ41</f>
        <v/>
      </c>
      <c r="CK40" s="197">
        <f>+CK41</f>
        <v/>
      </c>
      <c r="CL40" s="197">
        <f>+CL41</f>
        <v/>
      </c>
      <c r="CO40" s="199" t="n">
        <v>6.8</v>
      </c>
      <c r="CP40" s="970" t="n">
        <v>0.8835499999999999</v>
      </c>
    </row>
    <row r="41" hidden="1" ht="13.25" customHeight="1">
      <c r="B41" s="204">
        <f>+C41-1</f>
        <v/>
      </c>
      <c r="C41" s="204">
        <f>IF(bands_A!$D$9+1&gt;MONTH(G41),YEAR(G41),YEAR(G41)+1)</f>
        <v/>
      </c>
      <c r="D41" s="204">
        <f>+C41+1</f>
        <v/>
      </c>
      <c r="E41" s="203">
        <f>IF(C41&gt;C40,1,E40+1)</f>
        <v/>
      </c>
      <c r="F41" s="203">
        <f>COUNTIF(C:C,C41)</f>
        <v/>
      </c>
      <c r="G41" s="198">
        <f>+G42-7</f>
        <v/>
      </c>
      <c r="H41" s="361" t="n"/>
      <c r="I41" s="968">
        <f>H41/M41</f>
        <v/>
      </c>
      <c r="J41" s="968">
        <f>H41/N41</f>
        <v/>
      </c>
      <c r="K41" s="968">
        <f>(H41+Q41)/O41</f>
        <v/>
      </c>
      <c r="L41" s="968">
        <f>(H41+Q41)/P41</f>
        <v/>
      </c>
      <c r="M41" s="199">
        <f>HLOOKUP(C:C,$4:$10,3,FALSE)+((HLOOKUP(D:D,$4:$10,3,FALSE)-HLOOKUP(C:C,$4:$10,3,FALSE))*E41/F41)</f>
        <v/>
      </c>
      <c r="N41" s="199">
        <f>HLOOKUP(C:C,$4:$10,2,FALSE)+((HLOOKUP(D:D,$4:$10,2,FALSE)-HLOOKUP(C:C,$4:$10,2,FALSE))*E41/F41)</f>
        <v/>
      </c>
      <c r="O41" s="199">
        <f>HLOOKUP(C:C,$4:$10,5,FALSE)+((HLOOKUP(D:D,$4:$10,5,FALSE)-HLOOKUP(C:C,$4:$10,5,FALSE))*E41/F41)</f>
        <v/>
      </c>
      <c r="P41" s="199">
        <f>HLOOKUP(C:C,$4:$10,4,FALSE)+((HLOOKUP(D:D,$4:$10,4,FALSE)-HLOOKUP(C:C,$4:$10,4,FALSE))*E41/F41)</f>
        <v/>
      </c>
      <c r="Q41" s="199">
        <f>HLOOKUP(B:B,$4:$10,6,FALSE)+((HLOOKUP(C:C,$4:$10,6,FALSE)-HLOOKUP(B:B,$4:$10,6,FALSE))*E41/F41)</f>
        <v/>
      </c>
      <c r="T41" s="198">
        <f>$G41</f>
        <v/>
      </c>
      <c r="U41" s="199">
        <f>H41/(HLOOKUP(B:B,$4:$10,3,FALSE)+((HLOOKUP(C:C,$4:$10,3,FALSE)-HLOOKUP(B:B,$4:$10,3,FALSE))*E41/F41))</f>
        <v/>
      </c>
      <c r="V41" s="969">
        <f>HLOOKUP(B:B,$4:$10,7,FALSE)+((HLOOKUP(C:C,$4:$10,7,FALSE)-HLOOKUP(B:B,$4:$10,7,FALSE))*E41/F41)</f>
        <v/>
      </c>
      <c r="AB41" s="198">
        <f>$G41</f>
        <v/>
      </c>
      <c r="AC41" s="199">
        <f>$H41</f>
        <v/>
      </c>
      <c r="AD41" s="199">
        <f>$M41*AD$34</f>
        <v/>
      </c>
      <c r="AE41" s="199">
        <f>$M41*AE$34</f>
        <v/>
      </c>
      <c r="AF41" s="199">
        <f>$M41*AF$34</f>
        <v/>
      </c>
      <c r="AG41" s="199">
        <f>$M41*AG$34</f>
        <v/>
      </c>
      <c r="AH41" s="199">
        <f>$M41*AH$34</f>
        <v/>
      </c>
      <c r="AJ41" s="198">
        <f>$G41</f>
        <v/>
      </c>
      <c r="AK41" s="199">
        <f>$H41</f>
        <v/>
      </c>
      <c r="AL41" s="199">
        <f>$N41*AL$34</f>
        <v/>
      </c>
      <c r="AM41" s="199">
        <f>$N41*AM$34</f>
        <v/>
      </c>
      <c r="AN41" s="199">
        <f>$N41*AN$34</f>
        <v/>
      </c>
      <c r="AO41" s="199">
        <f>$N41*AO$34</f>
        <v/>
      </c>
      <c r="AP41" s="199">
        <f>$N41*AP$34</f>
        <v/>
      </c>
      <c r="AR41" s="198">
        <f>$G41</f>
        <v/>
      </c>
      <c r="AS41" s="199">
        <f>$H41</f>
        <v/>
      </c>
      <c r="AT41" s="199">
        <f>$O41*AT$34-$Q41</f>
        <v/>
      </c>
      <c r="AU41" s="199">
        <f>$O41*AU$34-$Q41</f>
        <v/>
      </c>
      <c r="AV41" s="199">
        <f>$O41*AV$34-$Q41</f>
        <v/>
      </c>
      <c r="AW41" s="199">
        <f>$O41*AW$34-$Q41</f>
        <v/>
      </c>
      <c r="AX41" s="199">
        <f>$O41*AX$34-$Q41</f>
        <v/>
      </c>
      <c r="AZ41" s="198">
        <f>$G41</f>
        <v/>
      </c>
      <c r="BA41" s="199">
        <f>$H41</f>
        <v/>
      </c>
      <c r="BB41" s="199">
        <f>$P41*BB$34-$Q41</f>
        <v/>
      </c>
      <c r="BC41" s="199">
        <f>$P41*BC$34-$Q41</f>
        <v/>
      </c>
      <c r="BD41" s="199">
        <f>$P41*BD$34-$Q41</f>
        <v/>
      </c>
      <c r="BE41" s="199">
        <f>$P41*BE$34-$Q41</f>
        <v/>
      </c>
      <c r="BF41" s="199">
        <f>$P41*BF$34-$Q41</f>
        <v/>
      </c>
      <c r="BH41" s="198">
        <f>$G41</f>
        <v/>
      </c>
      <c r="BI41" s="197">
        <f>$I41</f>
        <v/>
      </c>
      <c r="BJ41" s="197">
        <f>+BJ42</f>
        <v/>
      </c>
      <c r="BK41" s="197">
        <f>+BK42</f>
        <v/>
      </c>
      <c r="BL41" s="197">
        <f>+BL42</f>
        <v/>
      </c>
      <c r="BM41" s="197">
        <f>+BM42</f>
        <v/>
      </c>
      <c r="BN41" s="197">
        <f>+BN42</f>
        <v/>
      </c>
      <c r="BP41" s="198">
        <f>$G41</f>
        <v/>
      </c>
      <c r="BQ41" s="197">
        <f>$J41</f>
        <v/>
      </c>
      <c r="BR41" s="197">
        <f>+BR42</f>
        <v/>
      </c>
      <c r="BS41" s="197">
        <f>+BS42</f>
        <v/>
      </c>
      <c r="BT41" s="197">
        <f>+BT42</f>
        <v/>
      </c>
      <c r="BU41" s="197">
        <f>+BU42</f>
        <v/>
      </c>
      <c r="BV41" s="197">
        <f>+BV42</f>
        <v/>
      </c>
      <c r="BX41" s="198">
        <f>$G41</f>
        <v/>
      </c>
      <c r="BY41" s="197">
        <f>$K41</f>
        <v/>
      </c>
      <c r="BZ41" s="197">
        <f>+BZ42</f>
        <v/>
      </c>
      <c r="CA41" s="197">
        <f>+CA42</f>
        <v/>
      </c>
      <c r="CB41" s="197">
        <f>+CB42</f>
        <v/>
      </c>
      <c r="CC41" s="197">
        <f>+CC42</f>
        <v/>
      </c>
      <c r="CD41" s="197">
        <f>+CD42</f>
        <v/>
      </c>
      <c r="CF41" s="198">
        <f>$G41</f>
        <v/>
      </c>
      <c r="CG41" s="197">
        <f>$L41</f>
        <v/>
      </c>
      <c r="CH41" s="197">
        <f>+CH42</f>
        <v/>
      </c>
      <c r="CI41" s="197">
        <f>+CI42</f>
        <v/>
      </c>
      <c r="CJ41" s="197">
        <f>+CJ42</f>
        <v/>
      </c>
      <c r="CK41" s="197">
        <f>+CK42</f>
        <v/>
      </c>
      <c r="CL41" s="197">
        <f>+CL42</f>
        <v/>
      </c>
      <c r="CO41" s="199" t="n">
        <v>6.8</v>
      </c>
      <c r="CP41" s="970" t="n">
        <v>0.8835499999999999</v>
      </c>
    </row>
    <row r="42" hidden="1" ht="13.25" customHeight="1">
      <c r="B42" s="204">
        <f>+C42-1</f>
        <v/>
      </c>
      <c r="C42" s="204">
        <f>IF(bands_A!$D$9+1&gt;MONTH(G42),YEAR(G42),YEAR(G42)+1)</f>
        <v/>
      </c>
      <c r="D42" s="204">
        <f>+C42+1</f>
        <v/>
      </c>
      <c r="E42" s="203">
        <f>IF(C42&gt;C41,1,E41+1)</f>
        <v/>
      </c>
      <c r="F42" s="203">
        <f>COUNTIF(C:C,C42)</f>
        <v/>
      </c>
      <c r="G42" s="198">
        <f>+G43-7</f>
        <v/>
      </c>
      <c r="H42" s="361" t="n"/>
      <c r="I42" s="968">
        <f>H42/M42</f>
        <v/>
      </c>
      <c r="J42" s="968">
        <f>H42/N42</f>
        <v/>
      </c>
      <c r="K42" s="968">
        <f>(H42+Q42)/O42</f>
        <v/>
      </c>
      <c r="L42" s="968">
        <f>(H42+Q42)/P42</f>
        <v/>
      </c>
      <c r="M42" s="199">
        <f>HLOOKUP(C:C,$4:$10,3,FALSE)+((HLOOKUP(D:D,$4:$10,3,FALSE)-HLOOKUP(C:C,$4:$10,3,FALSE))*E42/F42)</f>
        <v/>
      </c>
      <c r="N42" s="199">
        <f>HLOOKUP(C:C,$4:$10,2,FALSE)+((HLOOKUP(D:D,$4:$10,2,FALSE)-HLOOKUP(C:C,$4:$10,2,FALSE))*E42/F42)</f>
        <v/>
      </c>
      <c r="O42" s="199">
        <f>HLOOKUP(C:C,$4:$10,5,FALSE)+((HLOOKUP(D:D,$4:$10,5,FALSE)-HLOOKUP(C:C,$4:$10,5,FALSE))*E42/F42)</f>
        <v/>
      </c>
      <c r="P42" s="199">
        <f>HLOOKUP(C:C,$4:$10,4,FALSE)+((HLOOKUP(D:D,$4:$10,4,FALSE)-HLOOKUP(C:C,$4:$10,4,FALSE))*E42/F42)</f>
        <v/>
      </c>
      <c r="Q42" s="199">
        <f>HLOOKUP(B:B,$4:$10,6,FALSE)+((HLOOKUP(C:C,$4:$10,6,FALSE)-HLOOKUP(B:B,$4:$10,6,FALSE))*E42/F42)</f>
        <v/>
      </c>
      <c r="T42" s="198">
        <f>$G42</f>
        <v/>
      </c>
      <c r="U42" s="199">
        <f>H42/(HLOOKUP(B:B,$4:$10,3,FALSE)+((HLOOKUP(C:C,$4:$10,3,FALSE)-HLOOKUP(B:B,$4:$10,3,FALSE))*E42/F42))</f>
        <v/>
      </c>
      <c r="V42" s="969">
        <f>HLOOKUP(B:B,$4:$10,7,FALSE)+((HLOOKUP(C:C,$4:$10,7,FALSE)-HLOOKUP(B:B,$4:$10,7,FALSE))*E42/F42)</f>
        <v/>
      </c>
      <c r="AB42" s="198">
        <f>$G42</f>
        <v/>
      </c>
      <c r="AC42" s="199">
        <f>$H42</f>
        <v/>
      </c>
      <c r="AD42" s="199">
        <f>$M42*AD$34</f>
        <v/>
      </c>
      <c r="AE42" s="199">
        <f>$M42*AE$34</f>
        <v/>
      </c>
      <c r="AF42" s="199">
        <f>$M42*AF$34</f>
        <v/>
      </c>
      <c r="AG42" s="199">
        <f>$M42*AG$34</f>
        <v/>
      </c>
      <c r="AH42" s="199">
        <f>$M42*AH$34</f>
        <v/>
      </c>
      <c r="AJ42" s="198">
        <f>$G42</f>
        <v/>
      </c>
      <c r="AK42" s="199">
        <f>$H42</f>
        <v/>
      </c>
      <c r="AL42" s="199">
        <f>$N42*AL$34</f>
        <v/>
      </c>
      <c r="AM42" s="199">
        <f>$N42*AM$34</f>
        <v/>
      </c>
      <c r="AN42" s="199">
        <f>$N42*AN$34</f>
        <v/>
      </c>
      <c r="AO42" s="199">
        <f>$N42*AO$34</f>
        <v/>
      </c>
      <c r="AP42" s="199">
        <f>$N42*AP$34</f>
        <v/>
      </c>
      <c r="AR42" s="198">
        <f>$G42</f>
        <v/>
      </c>
      <c r="AS42" s="199">
        <f>$H42</f>
        <v/>
      </c>
      <c r="AT42" s="199">
        <f>$O42*AT$34-$Q42</f>
        <v/>
      </c>
      <c r="AU42" s="199">
        <f>$O42*AU$34-$Q42</f>
        <v/>
      </c>
      <c r="AV42" s="199">
        <f>$O42*AV$34-$Q42</f>
        <v/>
      </c>
      <c r="AW42" s="199">
        <f>$O42*AW$34-$Q42</f>
        <v/>
      </c>
      <c r="AX42" s="199">
        <f>$O42*AX$34-$Q42</f>
        <v/>
      </c>
      <c r="AZ42" s="198">
        <f>$G42</f>
        <v/>
      </c>
      <c r="BA42" s="199">
        <f>$H42</f>
        <v/>
      </c>
      <c r="BB42" s="199">
        <f>$P42*BB$34-$Q42</f>
        <v/>
      </c>
      <c r="BC42" s="199">
        <f>$P42*BC$34-$Q42</f>
        <v/>
      </c>
      <c r="BD42" s="199">
        <f>$P42*BD$34-$Q42</f>
        <v/>
      </c>
      <c r="BE42" s="199">
        <f>$P42*BE$34-$Q42</f>
        <v/>
      </c>
      <c r="BF42" s="199">
        <f>$P42*BF$34-$Q42</f>
        <v/>
      </c>
      <c r="BH42" s="198">
        <f>$G42</f>
        <v/>
      </c>
      <c r="BI42" s="197">
        <f>$I42</f>
        <v/>
      </c>
      <c r="BJ42" s="197">
        <f>+BJ43</f>
        <v/>
      </c>
      <c r="BK42" s="197">
        <f>+BK43</f>
        <v/>
      </c>
      <c r="BL42" s="197">
        <f>+BL43</f>
        <v/>
      </c>
      <c r="BM42" s="197">
        <f>+BM43</f>
        <v/>
      </c>
      <c r="BN42" s="197">
        <f>+BN43</f>
        <v/>
      </c>
      <c r="BP42" s="198">
        <f>$G42</f>
        <v/>
      </c>
      <c r="BQ42" s="197">
        <f>$J42</f>
        <v/>
      </c>
      <c r="BR42" s="197">
        <f>+BR43</f>
        <v/>
      </c>
      <c r="BS42" s="197">
        <f>+BS43</f>
        <v/>
      </c>
      <c r="BT42" s="197">
        <f>+BT43</f>
        <v/>
      </c>
      <c r="BU42" s="197">
        <f>+BU43</f>
        <v/>
      </c>
      <c r="BV42" s="197">
        <f>+BV43</f>
        <v/>
      </c>
      <c r="BX42" s="198">
        <f>$G42</f>
        <v/>
      </c>
      <c r="BY42" s="197">
        <f>$K42</f>
        <v/>
      </c>
      <c r="BZ42" s="197">
        <f>+BZ43</f>
        <v/>
      </c>
      <c r="CA42" s="197">
        <f>+CA43</f>
        <v/>
      </c>
      <c r="CB42" s="197">
        <f>+CB43</f>
        <v/>
      </c>
      <c r="CC42" s="197">
        <f>+CC43</f>
        <v/>
      </c>
      <c r="CD42" s="197">
        <f>+CD43</f>
        <v/>
      </c>
      <c r="CF42" s="198">
        <f>$G42</f>
        <v/>
      </c>
      <c r="CG42" s="197">
        <f>$L42</f>
        <v/>
      </c>
      <c r="CH42" s="197">
        <f>+CH43</f>
        <v/>
      </c>
      <c r="CI42" s="197">
        <f>+CI43</f>
        <v/>
      </c>
      <c r="CJ42" s="197">
        <f>+CJ43</f>
        <v/>
      </c>
      <c r="CK42" s="197">
        <f>+CK43</f>
        <v/>
      </c>
      <c r="CL42" s="197">
        <f>+CL43</f>
        <v/>
      </c>
      <c r="CO42" s="199" t="n">
        <v>6.8</v>
      </c>
      <c r="CP42" s="970" t="n">
        <v>0.8835499999999999</v>
      </c>
    </row>
    <row r="43" hidden="1" ht="13.25" customHeight="1">
      <c r="B43" s="204">
        <f>+C43-1</f>
        <v/>
      </c>
      <c r="C43" s="204">
        <f>IF(bands_A!$D$9+1&gt;MONTH(G43),YEAR(G43),YEAR(G43)+1)</f>
        <v/>
      </c>
      <c r="D43" s="204">
        <f>+C43+1</f>
        <v/>
      </c>
      <c r="E43" s="203">
        <f>IF(C43&gt;C42,1,E42+1)</f>
        <v/>
      </c>
      <c r="F43" s="203">
        <f>COUNTIF(C:C,C43)</f>
        <v/>
      </c>
      <c r="G43" s="198">
        <f>+G44-7</f>
        <v/>
      </c>
      <c r="H43" s="361" t="n"/>
      <c r="I43" s="968">
        <f>H43/M43</f>
        <v/>
      </c>
      <c r="J43" s="968">
        <f>H43/N43</f>
        <v/>
      </c>
      <c r="K43" s="968">
        <f>(H43+Q43)/O43</f>
        <v/>
      </c>
      <c r="L43" s="968">
        <f>(H43+Q43)/P43</f>
        <v/>
      </c>
      <c r="M43" s="199">
        <f>HLOOKUP(C:C,$4:$10,3,FALSE)+((HLOOKUP(D:D,$4:$10,3,FALSE)-HLOOKUP(C:C,$4:$10,3,FALSE))*E43/F43)</f>
        <v/>
      </c>
      <c r="N43" s="199">
        <f>HLOOKUP(C:C,$4:$10,2,FALSE)+((HLOOKUP(D:D,$4:$10,2,FALSE)-HLOOKUP(C:C,$4:$10,2,FALSE))*E43/F43)</f>
        <v/>
      </c>
      <c r="O43" s="199">
        <f>HLOOKUP(C:C,$4:$10,5,FALSE)+((HLOOKUP(D:D,$4:$10,5,FALSE)-HLOOKUP(C:C,$4:$10,5,FALSE))*E43/F43)</f>
        <v/>
      </c>
      <c r="P43" s="199">
        <f>HLOOKUP(C:C,$4:$10,4,FALSE)+((HLOOKUP(D:D,$4:$10,4,FALSE)-HLOOKUP(C:C,$4:$10,4,FALSE))*E43/F43)</f>
        <v/>
      </c>
      <c r="Q43" s="199">
        <f>HLOOKUP(B:B,$4:$10,6,FALSE)+((HLOOKUP(C:C,$4:$10,6,FALSE)-HLOOKUP(B:B,$4:$10,6,FALSE))*E43/F43)</f>
        <v/>
      </c>
      <c r="T43" s="198">
        <f>$G43</f>
        <v/>
      </c>
      <c r="U43" s="199">
        <f>H43/(HLOOKUP(B:B,$4:$10,3,FALSE)+((HLOOKUP(C:C,$4:$10,3,FALSE)-HLOOKUP(B:B,$4:$10,3,FALSE))*E43/F43))</f>
        <v/>
      </c>
      <c r="V43" s="969">
        <f>HLOOKUP(B:B,$4:$10,7,FALSE)+((HLOOKUP(C:C,$4:$10,7,FALSE)-HLOOKUP(B:B,$4:$10,7,FALSE))*E43/F43)</f>
        <v/>
      </c>
      <c r="AB43" s="198">
        <f>$G43</f>
        <v/>
      </c>
      <c r="AC43" s="199">
        <f>$H43</f>
        <v/>
      </c>
      <c r="AD43" s="199">
        <f>$M43*AD$34</f>
        <v/>
      </c>
      <c r="AE43" s="199">
        <f>$M43*AE$34</f>
        <v/>
      </c>
      <c r="AF43" s="199">
        <f>$M43*AF$34</f>
        <v/>
      </c>
      <c r="AG43" s="199">
        <f>$M43*AG$34</f>
        <v/>
      </c>
      <c r="AH43" s="199">
        <f>$M43*AH$34</f>
        <v/>
      </c>
      <c r="AJ43" s="198">
        <f>$G43</f>
        <v/>
      </c>
      <c r="AK43" s="199">
        <f>$H43</f>
        <v/>
      </c>
      <c r="AL43" s="199">
        <f>$N43*AL$34</f>
        <v/>
      </c>
      <c r="AM43" s="199">
        <f>$N43*AM$34</f>
        <v/>
      </c>
      <c r="AN43" s="199">
        <f>$N43*AN$34</f>
        <v/>
      </c>
      <c r="AO43" s="199">
        <f>$N43*AO$34</f>
        <v/>
      </c>
      <c r="AP43" s="199">
        <f>$N43*AP$34</f>
        <v/>
      </c>
      <c r="AR43" s="198">
        <f>$G43</f>
        <v/>
      </c>
      <c r="AS43" s="199">
        <f>$H43</f>
        <v/>
      </c>
      <c r="AT43" s="199">
        <f>$O43*AT$34-$Q43</f>
        <v/>
      </c>
      <c r="AU43" s="199">
        <f>$O43*AU$34-$Q43</f>
        <v/>
      </c>
      <c r="AV43" s="199">
        <f>$O43*AV$34-$Q43</f>
        <v/>
      </c>
      <c r="AW43" s="199">
        <f>$O43*AW$34-$Q43</f>
        <v/>
      </c>
      <c r="AX43" s="199">
        <f>$O43*AX$34-$Q43</f>
        <v/>
      </c>
      <c r="AZ43" s="198">
        <f>$G43</f>
        <v/>
      </c>
      <c r="BA43" s="199">
        <f>$H43</f>
        <v/>
      </c>
      <c r="BB43" s="199">
        <f>$P43*BB$34-$Q43</f>
        <v/>
      </c>
      <c r="BC43" s="199">
        <f>$P43*BC$34-$Q43</f>
        <v/>
      </c>
      <c r="BD43" s="199">
        <f>$P43*BD$34-$Q43</f>
        <v/>
      </c>
      <c r="BE43" s="199">
        <f>$P43*BE$34-$Q43</f>
        <v/>
      </c>
      <c r="BF43" s="199">
        <f>$P43*BF$34-$Q43</f>
        <v/>
      </c>
      <c r="BH43" s="198">
        <f>$G43</f>
        <v/>
      </c>
      <c r="BI43" s="197">
        <f>$I43</f>
        <v/>
      </c>
      <c r="BJ43" s="197">
        <f>+BJ44</f>
        <v/>
      </c>
      <c r="BK43" s="197">
        <f>+BK44</f>
        <v/>
      </c>
      <c r="BL43" s="197">
        <f>+BL44</f>
        <v/>
      </c>
      <c r="BM43" s="197">
        <f>+BM44</f>
        <v/>
      </c>
      <c r="BN43" s="197">
        <f>+BN44</f>
        <v/>
      </c>
      <c r="BP43" s="198">
        <f>$G43</f>
        <v/>
      </c>
      <c r="BQ43" s="197">
        <f>$J43</f>
        <v/>
      </c>
      <c r="BR43" s="197">
        <f>+BR44</f>
        <v/>
      </c>
      <c r="BS43" s="197">
        <f>+BS44</f>
        <v/>
      </c>
      <c r="BT43" s="197">
        <f>+BT44</f>
        <v/>
      </c>
      <c r="BU43" s="197">
        <f>+BU44</f>
        <v/>
      </c>
      <c r="BV43" s="197">
        <f>+BV44</f>
        <v/>
      </c>
      <c r="BX43" s="198">
        <f>$G43</f>
        <v/>
      </c>
      <c r="BY43" s="197">
        <f>$K43</f>
        <v/>
      </c>
      <c r="BZ43" s="197">
        <f>+BZ44</f>
        <v/>
      </c>
      <c r="CA43" s="197">
        <f>+CA44</f>
        <v/>
      </c>
      <c r="CB43" s="197">
        <f>+CB44</f>
        <v/>
      </c>
      <c r="CC43" s="197">
        <f>+CC44</f>
        <v/>
      </c>
      <c r="CD43" s="197">
        <f>+CD44</f>
        <v/>
      </c>
      <c r="CF43" s="198">
        <f>$G43</f>
        <v/>
      </c>
      <c r="CG43" s="197">
        <f>$L43</f>
        <v/>
      </c>
      <c r="CH43" s="197">
        <f>+CH44</f>
        <v/>
      </c>
      <c r="CI43" s="197">
        <f>+CI44</f>
        <v/>
      </c>
      <c r="CJ43" s="197">
        <f>+CJ44</f>
        <v/>
      </c>
      <c r="CK43" s="197">
        <f>+CK44</f>
        <v/>
      </c>
      <c r="CL43" s="197">
        <f>+CL44</f>
        <v/>
      </c>
      <c r="CO43" s="199" t="n">
        <v>6.8</v>
      </c>
      <c r="CP43" s="970" t="n">
        <v>0.8835499999999999</v>
      </c>
    </row>
    <row r="44" hidden="1" ht="13.25" customHeight="1">
      <c r="B44" s="204">
        <f>+C44-1</f>
        <v/>
      </c>
      <c r="C44" s="204">
        <f>IF(bands_A!$D$9+1&gt;MONTH(G44),YEAR(G44),YEAR(G44)+1)</f>
        <v/>
      </c>
      <c r="D44" s="204">
        <f>+C44+1</f>
        <v/>
      </c>
      <c r="E44" s="203">
        <f>IF(C44&gt;C43,1,E43+1)</f>
        <v/>
      </c>
      <c r="F44" s="203">
        <f>COUNTIF(C:C,C44)</f>
        <v/>
      </c>
      <c r="G44" s="198">
        <f>+G45-7</f>
        <v/>
      </c>
      <c r="H44" s="361" t="n"/>
      <c r="I44" s="968">
        <f>H44/M44</f>
        <v/>
      </c>
      <c r="J44" s="968">
        <f>H44/N44</f>
        <v/>
      </c>
      <c r="K44" s="968">
        <f>(H44+Q44)/O44</f>
        <v/>
      </c>
      <c r="L44" s="968">
        <f>(H44+Q44)/P44</f>
        <v/>
      </c>
      <c r="M44" s="199">
        <f>HLOOKUP(C:C,$4:$10,3,FALSE)+((HLOOKUP(D:D,$4:$10,3,FALSE)-HLOOKUP(C:C,$4:$10,3,FALSE))*E44/F44)</f>
        <v/>
      </c>
      <c r="N44" s="199">
        <f>HLOOKUP(C:C,$4:$10,2,FALSE)+((HLOOKUP(D:D,$4:$10,2,FALSE)-HLOOKUP(C:C,$4:$10,2,FALSE))*E44/F44)</f>
        <v/>
      </c>
      <c r="O44" s="199">
        <f>HLOOKUP(C:C,$4:$10,5,FALSE)+((HLOOKUP(D:D,$4:$10,5,FALSE)-HLOOKUP(C:C,$4:$10,5,FALSE))*E44/F44)</f>
        <v/>
      </c>
      <c r="P44" s="199">
        <f>HLOOKUP(C:C,$4:$10,4,FALSE)+((HLOOKUP(D:D,$4:$10,4,FALSE)-HLOOKUP(C:C,$4:$10,4,FALSE))*E44/F44)</f>
        <v/>
      </c>
      <c r="Q44" s="199">
        <f>HLOOKUP(B:B,$4:$10,6,FALSE)+((HLOOKUP(C:C,$4:$10,6,FALSE)-HLOOKUP(B:B,$4:$10,6,FALSE))*E44/F44)</f>
        <v/>
      </c>
      <c r="T44" s="198">
        <f>$G44</f>
        <v/>
      </c>
      <c r="U44" s="199">
        <f>H44/(HLOOKUP(B:B,$4:$10,3,FALSE)+((HLOOKUP(C:C,$4:$10,3,FALSE)-HLOOKUP(B:B,$4:$10,3,FALSE))*E44/F44))</f>
        <v/>
      </c>
      <c r="V44" s="969">
        <f>HLOOKUP(B:B,$4:$10,7,FALSE)+((HLOOKUP(C:C,$4:$10,7,FALSE)-HLOOKUP(B:B,$4:$10,7,FALSE))*E44/F44)</f>
        <v/>
      </c>
      <c r="AB44" s="198">
        <f>$G44</f>
        <v/>
      </c>
      <c r="AC44" s="199">
        <f>$H44</f>
        <v/>
      </c>
      <c r="AD44" s="199">
        <f>$M44*AD$34</f>
        <v/>
      </c>
      <c r="AE44" s="199">
        <f>$M44*AE$34</f>
        <v/>
      </c>
      <c r="AF44" s="199">
        <f>$M44*AF$34</f>
        <v/>
      </c>
      <c r="AG44" s="199">
        <f>$M44*AG$34</f>
        <v/>
      </c>
      <c r="AH44" s="199">
        <f>$M44*AH$34</f>
        <v/>
      </c>
      <c r="AJ44" s="198">
        <f>$G44</f>
        <v/>
      </c>
      <c r="AK44" s="199">
        <f>$H44</f>
        <v/>
      </c>
      <c r="AL44" s="199">
        <f>$N44*AL$34</f>
        <v/>
      </c>
      <c r="AM44" s="199">
        <f>$N44*AM$34</f>
        <v/>
      </c>
      <c r="AN44" s="199">
        <f>$N44*AN$34</f>
        <v/>
      </c>
      <c r="AO44" s="199">
        <f>$N44*AO$34</f>
        <v/>
      </c>
      <c r="AP44" s="199">
        <f>$N44*AP$34</f>
        <v/>
      </c>
      <c r="AR44" s="198">
        <f>$G44</f>
        <v/>
      </c>
      <c r="AS44" s="199">
        <f>$H44</f>
        <v/>
      </c>
      <c r="AT44" s="199">
        <f>$O44*AT$34-$Q44</f>
        <v/>
      </c>
      <c r="AU44" s="199">
        <f>$O44*AU$34-$Q44</f>
        <v/>
      </c>
      <c r="AV44" s="199">
        <f>$O44*AV$34-$Q44</f>
        <v/>
      </c>
      <c r="AW44" s="199">
        <f>$O44*AW$34-$Q44</f>
        <v/>
      </c>
      <c r="AX44" s="199">
        <f>$O44*AX$34-$Q44</f>
        <v/>
      </c>
      <c r="AZ44" s="198">
        <f>$G44</f>
        <v/>
      </c>
      <c r="BA44" s="199">
        <f>$H44</f>
        <v/>
      </c>
      <c r="BB44" s="199">
        <f>$P44*BB$34-$Q44</f>
        <v/>
      </c>
      <c r="BC44" s="199">
        <f>$P44*BC$34-$Q44</f>
        <v/>
      </c>
      <c r="BD44" s="199">
        <f>$P44*BD$34-$Q44</f>
        <v/>
      </c>
      <c r="BE44" s="199">
        <f>$P44*BE$34-$Q44</f>
        <v/>
      </c>
      <c r="BF44" s="199">
        <f>$P44*BF$34-$Q44</f>
        <v/>
      </c>
      <c r="BH44" s="198">
        <f>$G44</f>
        <v/>
      </c>
      <c r="BI44" s="197">
        <f>$I44</f>
        <v/>
      </c>
      <c r="BJ44" s="197">
        <f>+BJ45</f>
        <v/>
      </c>
      <c r="BK44" s="197">
        <f>+BK45</f>
        <v/>
      </c>
      <c r="BL44" s="197">
        <f>+BL45</f>
        <v/>
      </c>
      <c r="BM44" s="197">
        <f>+BM45</f>
        <v/>
      </c>
      <c r="BN44" s="197">
        <f>+BN45</f>
        <v/>
      </c>
      <c r="BP44" s="198">
        <f>$G44</f>
        <v/>
      </c>
      <c r="BQ44" s="197">
        <f>$J44</f>
        <v/>
      </c>
      <c r="BR44" s="197">
        <f>+BR45</f>
        <v/>
      </c>
      <c r="BS44" s="197">
        <f>+BS45</f>
        <v/>
      </c>
      <c r="BT44" s="197">
        <f>+BT45</f>
        <v/>
      </c>
      <c r="BU44" s="197">
        <f>+BU45</f>
        <v/>
      </c>
      <c r="BV44" s="197">
        <f>+BV45</f>
        <v/>
      </c>
      <c r="BX44" s="198">
        <f>$G44</f>
        <v/>
      </c>
      <c r="BY44" s="197">
        <f>$K44</f>
        <v/>
      </c>
      <c r="BZ44" s="197">
        <f>+BZ45</f>
        <v/>
      </c>
      <c r="CA44" s="197">
        <f>+CA45</f>
        <v/>
      </c>
      <c r="CB44" s="197">
        <f>+CB45</f>
        <v/>
      </c>
      <c r="CC44" s="197">
        <f>+CC45</f>
        <v/>
      </c>
      <c r="CD44" s="197">
        <f>+CD45</f>
        <v/>
      </c>
      <c r="CF44" s="198">
        <f>$G44</f>
        <v/>
      </c>
      <c r="CG44" s="197">
        <f>$L44</f>
        <v/>
      </c>
      <c r="CH44" s="197">
        <f>+CH45</f>
        <v/>
      </c>
      <c r="CI44" s="197">
        <f>+CI45</f>
        <v/>
      </c>
      <c r="CJ44" s="197">
        <f>+CJ45</f>
        <v/>
      </c>
      <c r="CK44" s="197">
        <f>+CK45</f>
        <v/>
      </c>
      <c r="CL44" s="197">
        <f>+CL45</f>
        <v/>
      </c>
      <c r="CO44" s="199" t="n">
        <v>6.8</v>
      </c>
      <c r="CP44" s="970" t="n">
        <v>0.8835499999999999</v>
      </c>
    </row>
    <row r="45" hidden="1" ht="13.25" customHeight="1">
      <c r="B45" s="204">
        <f>+C45-1</f>
        <v/>
      </c>
      <c r="C45" s="204">
        <f>IF(bands_A!$D$9+1&gt;MONTH(G45),YEAR(G45),YEAR(G45)+1)</f>
        <v/>
      </c>
      <c r="D45" s="204">
        <f>+C45+1</f>
        <v/>
      </c>
      <c r="E45" s="203">
        <f>IF(C45&gt;C44,1,E44+1)</f>
        <v/>
      </c>
      <c r="F45" s="203">
        <f>COUNTIF(C:C,C45)</f>
        <v/>
      </c>
      <c r="G45" s="198">
        <f>+G46-7</f>
        <v/>
      </c>
      <c r="H45" s="361" t="n"/>
      <c r="I45" s="968">
        <f>H45/M45</f>
        <v/>
      </c>
      <c r="J45" s="968">
        <f>H45/N45</f>
        <v/>
      </c>
      <c r="K45" s="968">
        <f>(H45+Q45)/O45</f>
        <v/>
      </c>
      <c r="L45" s="968">
        <f>(H45+Q45)/P45</f>
        <v/>
      </c>
      <c r="M45" s="199">
        <f>HLOOKUP(C:C,$4:$10,3,FALSE)+((HLOOKUP(D:D,$4:$10,3,FALSE)-HLOOKUP(C:C,$4:$10,3,FALSE))*E45/F45)</f>
        <v/>
      </c>
      <c r="N45" s="199">
        <f>HLOOKUP(C:C,$4:$10,2,FALSE)+((HLOOKUP(D:D,$4:$10,2,FALSE)-HLOOKUP(C:C,$4:$10,2,FALSE))*E45/F45)</f>
        <v/>
      </c>
      <c r="O45" s="199">
        <f>HLOOKUP(C:C,$4:$10,5,FALSE)+((HLOOKUP(D:D,$4:$10,5,FALSE)-HLOOKUP(C:C,$4:$10,5,FALSE))*E45/F45)</f>
        <v/>
      </c>
      <c r="P45" s="199">
        <f>HLOOKUP(C:C,$4:$10,4,FALSE)+((HLOOKUP(D:D,$4:$10,4,FALSE)-HLOOKUP(C:C,$4:$10,4,FALSE))*E45/F45)</f>
        <v/>
      </c>
      <c r="Q45" s="199">
        <f>HLOOKUP(B:B,$4:$10,6,FALSE)+((HLOOKUP(C:C,$4:$10,6,FALSE)-HLOOKUP(B:B,$4:$10,6,FALSE))*E45/F45)</f>
        <v/>
      </c>
      <c r="T45" s="198">
        <f>$G45</f>
        <v/>
      </c>
      <c r="U45" s="199">
        <f>H45/(HLOOKUP(B:B,$4:$10,3,FALSE)+((HLOOKUP(C:C,$4:$10,3,FALSE)-HLOOKUP(B:B,$4:$10,3,FALSE))*E45/F45))</f>
        <v/>
      </c>
      <c r="V45" s="969">
        <f>HLOOKUP(B:B,$4:$10,7,FALSE)+((HLOOKUP(C:C,$4:$10,7,FALSE)-HLOOKUP(B:B,$4:$10,7,FALSE))*E45/F45)</f>
        <v/>
      </c>
      <c r="AB45" s="198">
        <f>$G45</f>
        <v/>
      </c>
      <c r="AC45" s="199">
        <f>$H45</f>
        <v/>
      </c>
      <c r="AD45" s="199">
        <f>$M45*AD$34</f>
        <v/>
      </c>
      <c r="AE45" s="199">
        <f>$M45*AE$34</f>
        <v/>
      </c>
      <c r="AF45" s="199">
        <f>$M45*AF$34</f>
        <v/>
      </c>
      <c r="AG45" s="199">
        <f>$M45*AG$34</f>
        <v/>
      </c>
      <c r="AH45" s="199">
        <f>$M45*AH$34</f>
        <v/>
      </c>
      <c r="AJ45" s="198">
        <f>$G45</f>
        <v/>
      </c>
      <c r="AK45" s="199">
        <f>$H45</f>
        <v/>
      </c>
      <c r="AL45" s="199">
        <f>$N45*AL$34</f>
        <v/>
      </c>
      <c r="AM45" s="199">
        <f>$N45*AM$34</f>
        <v/>
      </c>
      <c r="AN45" s="199">
        <f>$N45*AN$34</f>
        <v/>
      </c>
      <c r="AO45" s="199">
        <f>$N45*AO$34</f>
        <v/>
      </c>
      <c r="AP45" s="199">
        <f>$N45*AP$34</f>
        <v/>
      </c>
      <c r="AR45" s="198">
        <f>$G45</f>
        <v/>
      </c>
      <c r="AS45" s="199">
        <f>$H45</f>
        <v/>
      </c>
      <c r="AT45" s="199">
        <f>$O45*AT$34-$Q45</f>
        <v/>
      </c>
      <c r="AU45" s="199">
        <f>$O45*AU$34-$Q45</f>
        <v/>
      </c>
      <c r="AV45" s="199">
        <f>$O45*AV$34-$Q45</f>
        <v/>
      </c>
      <c r="AW45" s="199">
        <f>$O45*AW$34-$Q45</f>
        <v/>
      </c>
      <c r="AX45" s="199">
        <f>$O45*AX$34-$Q45</f>
        <v/>
      </c>
      <c r="AZ45" s="198">
        <f>$G45</f>
        <v/>
      </c>
      <c r="BA45" s="199">
        <f>$H45</f>
        <v/>
      </c>
      <c r="BB45" s="199">
        <f>$P45*BB$34-$Q45</f>
        <v/>
      </c>
      <c r="BC45" s="199">
        <f>$P45*BC$34-$Q45</f>
        <v/>
      </c>
      <c r="BD45" s="199">
        <f>$P45*BD$34-$Q45</f>
        <v/>
      </c>
      <c r="BE45" s="199">
        <f>$P45*BE$34-$Q45</f>
        <v/>
      </c>
      <c r="BF45" s="199">
        <f>$P45*BF$34-$Q45</f>
        <v/>
      </c>
      <c r="BH45" s="198">
        <f>$G45</f>
        <v/>
      </c>
      <c r="BI45" s="197">
        <f>$I45</f>
        <v/>
      </c>
      <c r="BJ45" s="197">
        <f>+BJ46</f>
        <v/>
      </c>
      <c r="BK45" s="197">
        <f>+BK46</f>
        <v/>
      </c>
      <c r="BL45" s="197">
        <f>+BL46</f>
        <v/>
      </c>
      <c r="BM45" s="197">
        <f>+BM46</f>
        <v/>
      </c>
      <c r="BN45" s="197">
        <f>+BN46</f>
        <v/>
      </c>
      <c r="BP45" s="198">
        <f>$G45</f>
        <v/>
      </c>
      <c r="BQ45" s="197">
        <f>$J45</f>
        <v/>
      </c>
      <c r="BR45" s="197">
        <f>+BR46</f>
        <v/>
      </c>
      <c r="BS45" s="197">
        <f>+BS46</f>
        <v/>
      </c>
      <c r="BT45" s="197">
        <f>+BT46</f>
        <v/>
      </c>
      <c r="BU45" s="197">
        <f>+BU46</f>
        <v/>
      </c>
      <c r="BV45" s="197">
        <f>+BV46</f>
        <v/>
      </c>
      <c r="BX45" s="198">
        <f>$G45</f>
        <v/>
      </c>
      <c r="BY45" s="197">
        <f>$K45</f>
        <v/>
      </c>
      <c r="BZ45" s="197">
        <f>+BZ46</f>
        <v/>
      </c>
      <c r="CA45" s="197">
        <f>+CA46</f>
        <v/>
      </c>
      <c r="CB45" s="197">
        <f>+CB46</f>
        <v/>
      </c>
      <c r="CC45" s="197">
        <f>+CC46</f>
        <v/>
      </c>
      <c r="CD45" s="197">
        <f>+CD46</f>
        <v/>
      </c>
      <c r="CF45" s="198">
        <f>$G45</f>
        <v/>
      </c>
      <c r="CG45" s="197">
        <f>$L45</f>
        <v/>
      </c>
      <c r="CH45" s="197">
        <f>+CH46</f>
        <v/>
      </c>
      <c r="CI45" s="197">
        <f>+CI46</f>
        <v/>
      </c>
      <c r="CJ45" s="197">
        <f>+CJ46</f>
        <v/>
      </c>
      <c r="CK45" s="197">
        <f>+CK46</f>
        <v/>
      </c>
      <c r="CL45" s="197">
        <f>+CL46</f>
        <v/>
      </c>
      <c r="CO45" s="199" t="n">
        <v>6.8</v>
      </c>
      <c r="CP45" s="970" t="n">
        <v>0.8835499999999999</v>
      </c>
    </row>
    <row r="46" hidden="1" ht="13.25" customHeight="1">
      <c r="B46" s="204">
        <f>+C46-1</f>
        <v/>
      </c>
      <c r="C46" s="204">
        <f>IF(bands_A!$D$9+1&gt;MONTH(G46),YEAR(G46),YEAR(G46)+1)</f>
        <v/>
      </c>
      <c r="D46" s="204">
        <f>+C46+1</f>
        <v/>
      </c>
      <c r="E46" s="203">
        <f>IF(C46&gt;C45,1,E45+1)</f>
        <v/>
      </c>
      <c r="F46" s="203">
        <f>COUNTIF(C:C,C46)</f>
        <v/>
      </c>
      <c r="G46" s="198">
        <f>+G47-7</f>
        <v/>
      </c>
      <c r="H46" s="361" t="n"/>
      <c r="I46" s="968">
        <f>H46/M46</f>
        <v/>
      </c>
      <c r="J46" s="968">
        <f>H46/N46</f>
        <v/>
      </c>
      <c r="K46" s="968">
        <f>(H46+Q46)/O46</f>
        <v/>
      </c>
      <c r="L46" s="968">
        <f>(H46+Q46)/P46</f>
        <v/>
      </c>
      <c r="M46" s="199">
        <f>HLOOKUP(C:C,$4:$10,3,FALSE)+((HLOOKUP(D:D,$4:$10,3,FALSE)-HLOOKUP(C:C,$4:$10,3,FALSE))*E46/F46)</f>
        <v/>
      </c>
      <c r="N46" s="199">
        <f>HLOOKUP(C:C,$4:$10,2,FALSE)+((HLOOKUP(D:D,$4:$10,2,FALSE)-HLOOKUP(C:C,$4:$10,2,FALSE))*E46/F46)</f>
        <v/>
      </c>
      <c r="O46" s="199">
        <f>HLOOKUP(C:C,$4:$10,5,FALSE)+((HLOOKUP(D:D,$4:$10,5,FALSE)-HLOOKUP(C:C,$4:$10,5,FALSE))*E46/F46)</f>
        <v/>
      </c>
      <c r="P46" s="199">
        <f>HLOOKUP(C:C,$4:$10,4,FALSE)+((HLOOKUP(D:D,$4:$10,4,FALSE)-HLOOKUP(C:C,$4:$10,4,FALSE))*E46/F46)</f>
        <v/>
      </c>
      <c r="Q46" s="199">
        <f>HLOOKUP(B:B,$4:$10,6,FALSE)+((HLOOKUP(C:C,$4:$10,6,FALSE)-HLOOKUP(B:B,$4:$10,6,FALSE))*E46/F46)</f>
        <v/>
      </c>
      <c r="T46" s="198">
        <f>$G46</f>
        <v/>
      </c>
      <c r="U46" s="199">
        <f>H46/(HLOOKUP(B:B,$4:$10,3,FALSE)+((HLOOKUP(C:C,$4:$10,3,FALSE)-HLOOKUP(B:B,$4:$10,3,FALSE))*E46/F46))</f>
        <v/>
      </c>
      <c r="V46" s="969">
        <f>HLOOKUP(B:B,$4:$10,7,FALSE)+((HLOOKUP(C:C,$4:$10,7,FALSE)-HLOOKUP(B:B,$4:$10,7,FALSE))*E46/F46)</f>
        <v/>
      </c>
      <c r="AB46" s="198">
        <f>$G46</f>
        <v/>
      </c>
      <c r="AC46" s="199">
        <f>$H46</f>
        <v/>
      </c>
      <c r="AD46" s="199">
        <f>$M46*AD$34</f>
        <v/>
      </c>
      <c r="AE46" s="199">
        <f>$M46*AE$34</f>
        <v/>
      </c>
      <c r="AF46" s="199">
        <f>$M46*AF$34</f>
        <v/>
      </c>
      <c r="AG46" s="199">
        <f>$M46*AG$34</f>
        <v/>
      </c>
      <c r="AH46" s="199">
        <f>$M46*AH$34</f>
        <v/>
      </c>
      <c r="AJ46" s="198">
        <f>$G46</f>
        <v/>
      </c>
      <c r="AK46" s="199">
        <f>$H46</f>
        <v/>
      </c>
      <c r="AL46" s="199">
        <f>$N46*AL$34</f>
        <v/>
      </c>
      <c r="AM46" s="199">
        <f>$N46*AM$34</f>
        <v/>
      </c>
      <c r="AN46" s="199">
        <f>$N46*AN$34</f>
        <v/>
      </c>
      <c r="AO46" s="199">
        <f>$N46*AO$34</f>
        <v/>
      </c>
      <c r="AP46" s="199">
        <f>$N46*AP$34</f>
        <v/>
      </c>
      <c r="AR46" s="198">
        <f>$G46</f>
        <v/>
      </c>
      <c r="AS46" s="199">
        <f>$H46</f>
        <v/>
      </c>
      <c r="AT46" s="199">
        <f>$O46*AT$34-$Q46</f>
        <v/>
      </c>
      <c r="AU46" s="199">
        <f>$O46*AU$34-$Q46</f>
        <v/>
      </c>
      <c r="AV46" s="199">
        <f>$O46*AV$34-$Q46</f>
        <v/>
      </c>
      <c r="AW46" s="199">
        <f>$O46*AW$34-$Q46</f>
        <v/>
      </c>
      <c r="AX46" s="199">
        <f>$O46*AX$34-$Q46</f>
        <v/>
      </c>
      <c r="AZ46" s="198">
        <f>$G46</f>
        <v/>
      </c>
      <c r="BA46" s="199">
        <f>$H46</f>
        <v/>
      </c>
      <c r="BB46" s="199">
        <f>$P46*BB$34-$Q46</f>
        <v/>
      </c>
      <c r="BC46" s="199">
        <f>$P46*BC$34-$Q46</f>
        <v/>
      </c>
      <c r="BD46" s="199">
        <f>$P46*BD$34-$Q46</f>
        <v/>
      </c>
      <c r="BE46" s="199">
        <f>$P46*BE$34-$Q46</f>
        <v/>
      </c>
      <c r="BF46" s="199">
        <f>$P46*BF$34-$Q46</f>
        <v/>
      </c>
      <c r="BH46" s="198">
        <f>$G46</f>
        <v/>
      </c>
      <c r="BI46" s="197">
        <f>$I46</f>
        <v/>
      </c>
      <c r="BJ46" s="197">
        <f>+BJ47</f>
        <v/>
      </c>
      <c r="BK46" s="197">
        <f>+BK47</f>
        <v/>
      </c>
      <c r="BL46" s="197">
        <f>+BL47</f>
        <v/>
      </c>
      <c r="BM46" s="197">
        <f>+BM47</f>
        <v/>
      </c>
      <c r="BN46" s="197">
        <f>+BN47</f>
        <v/>
      </c>
      <c r="BP46" s="198">
        <f>$G46</f>
        <v/>
      </c>
      <c r="BQ46" s="197">
        <f>$J46</f>
        <v/>
      </c>
      <c r="BR46" s="197">
        <f>+BR47</f>
        <v/>
      </c>
      <c r="BS46" s="197">
        <f>+BS47</f>
        <v/>
      </c>
      <c r="BT46" s="197">
        <f>+BT47</f>
        <v/>
      </c>
      <c r="BU46" s="197">
        <f>+BU47</f>
        <v/>
      </c>
      <c r="BV46" s="197">
        <f>+BV47</f>
        <v/>
      </c>
      <c r="BX46" s="198">
        <f>$G46</f>
        <v/>
      </c>
      <c r="BY46" s="197">
        <f>$K46</f>
        <v/>
      </c>
      <c r="BZ46" s="197">
        <f>+BZ47</f>
        <v/>
      </c>
      <c r="CA46" s="197">
        <f>+CA47</f>
        <v/>
      </c>
      <c r="CB46" s="197">
        <f>+CB47</f>
        <v/>
      </c>
      <c r="CC46" s="197">
        <f>+CC47</f>
        <v/>
      </c>
      <c r="CD46" s="197">
        <f>+CD47</f>
        <v/>
      </c>
      <c r="CF46" s="198">
        <f>$G46</f>
        <v/>
      </c>
      <c r="CG46" s="197">
        <f>$L46</f>
        <v/>
      </c>
      <c r="CH46" s="197">
        <f>+CH47</f>
        <v/>
      </c>
      <c r="CI46" s="197">
        <f>+CI47</f>
        <v/>
      </c>
      <c r="CJ46" s="197">
        <f>+CJ47</f>
        <v/>
      </c>
      <c r="CK46" s="197">
        <f>+CK47</f>
        <v/>
      </c>
      <c r="CL46" s="197">
        <f>+CL47</f>
        <v/>
      </c>
      <c r="CO46" s="199" t="n">
        <v>6.8</v>
      </c>
      <c r="CP46" s="970" t="n">
        <v>0.8835499999999999</v>
      </c>
    </row>
    <row r="47" hidden="1" ht="13.25" customHeight="1">
      <c r="B47" s="204">
        <f>+C47-1</f>
        <v/>
      </c>
      <c r="C47" s="204">
        <f>IF(bands_A!$D$9+1&gt;MONTH(G47),YEAR(G47),YEAR(G47)+1)</f>
        <v/>
      </c>
      <c r="D47" s="204">
        <f>+C47+1</f>
        <v/>
      </c>
      <c r="E47" s="203">
        <f>IF(C47&gt;C46,1,E46+1)</f>
        <v/>
      </c>
      <c r="F47" s="203">
        <f>COUNTIF(C:C,C47)</f>
        <v/>
      </c>
      <c r="G47" s="198">
        <f>+G48-7</f>
        <v/>
      </c>
      <c r="H47" s="361" t="n"/>
      <c r="I47" s="968">
        <f>H47/M47</f>
        <v/>
      </c>
      <c r="J47" s="968">
        <f>H47/N47</f>
        <v/>
      </c>
      <c r="K47" s="968">
        <f>(H47+Q47)/O47</f>
        <v/>
      </c>
      <c r="L47" s="968">
        <f>(H47+Q47)/P47</f>
        <v/>
      </c>
      <c r="M47" s="199">
        <f>HLOOKUP(C:C,$4:$10,3,FALSE)+((HLOOKUP(D:D,$4:$10,3,FALSE)-HLOOKUP(C:C,$4:$10,3,FALSE))*E47/F47)</f>
        <v/>
      </c>
      <c r="N47" s="199">
        <f>HLOOKUP(C:C,$4:$10,2,FALSE)+((HLOOKUP(D:D,$4:$10,2,FALSE)-HLOOKUP(C:C,$4:$10,2,FALSE))*E47/F47)</f>
        <v/>
      </c>
      <c r="O47" s="199">
        <f>HLOOKUP(C:C,$4:$10,5,FALSE)+((HLOOKUP(D:D,$4:$10,5,FALSE)-HLOOKUP(C:C,$4:$10,5,FALSE))*E47/F47)</f>
        <v/>
      </c>
      <c r="P47" s="199">
        <f>HLOOKUP(C:C,$4:$10,4,FALSE)+((HLOOKUP(D:D,$4:$10,4,FALSE)-HLOOKUP(C:C,$4:$10,4,FALSE))*E47/F47)</f>
        <v/>
      </c>
      <c r="Q47" s="199">
        <f>HLOOKUP(B:B,$4:$10,6,FALSE)+((HLOOKUP(C:C,$4:$10,6,FALSE)-HLOOKUP(B:B,$4:$10,6,FALSE))*E47/F47)</f>
        <v/>
      </c>
      <c r="T47" s="198">
        <f>$G47</f>
        <v/>
      </c>
      <c r="U47" s="199">
        <f>H47/(HLOOKUP(B:B,$4:$10,3,FALSE)+((HLOOKUP(C:C,$4:$10,3,FALSE)-HLOOKUP(B:B,$4:$10,3,FALSE))*E47/F47))</f>
        <v/>
      </c>
      <c r="V47" s="969">
        <f>HLOOKUP(B:B,$4:$10,7,FALSE)+((HLOOKUP(C:C,$4:$10,7,FALSE)-HLOOKUP(B:B,$4:$10,7,FALSE))*E47/F47)</f>
        <v/>
      </c>
      <c r="AB47" s="198">
        <f>$G47</f>
        <v/>
      </c>
      <c r="AC47" s="199">
        <f>$H47</f>
        <v/>
      </c>
      <c r="AD47" s="199">
        <f>$M47*AD$34</f>
        <v/>
      </c>
      <c r="AE47" s="199">
        <f>$M47*AE$34</f>
        <v/>
      </c>
      <c r="AF47" s="199">
        <f>$M47*AF$34</f>
        <v/>
      </c>
      <c r="AG47" s="199">
        <f>$M47*AG$34</f>
        <v/>
      </c>
      <c r="AH47" s="199">
        <f>$M47*AH$34</f>
        <v/>
      </c>
      <c r="AJ47" s="198">
        <f>$G47</f>
        <v/>
      </c>
      <c r="AK47" s="199">
        <f>$H47</f>
        <v/>
      </c>
      <c r="AL47" s="199">
        <f>$N47*AL$34</f>
        <v/>
      </c>
      <c r="AM47" s="199">
        <f>$N47*AM$34</f>
        <v/>
      </c>
      <c r="AN47" s="199">
        <f>$N47*AN$34</f>
        <v/>
      </c>
      <c r="AO47" s="199">
        <f>$N47*AO$34</f>
        <v/>
      </c>
      <c r="AP47" s="199">
        <f>$N47*AP$34</f>
        <v/>
      </c>
      <c r="AR47" s="198">
        <f>$G47</f>
        <v/>
      </c>
      <c r="AS47" s="199">
        <f>$H47</f>
        <v/>
      </c>
      <c r="AT47" s="199">
        <f>$O47*AT$34-$Q47</f>
        <v/>
      </c>
      <c r="AU47" s="199">
        <f>$O47*AU$34-$Q47</f>
        <v/>
      </c>
      <c r="AV47" s="199">
        <f>$O47*AV$34-$Q47</f>
        <v/>
      </c>
      <c r="AW47" s="199">
        <f>$O47*AW$34-$Q47</f>
        <v/>
      </c>
      <c r="AX47" s="199">
        <f>$O47*AX$34-$Q47</f>
        <v/>
      </c>
      <c r="AZ47" s="198">
        <f>$G47</f>
        <v/>
      </c>
      <c r="BA47" s="199">
        <f>$H47</f>
        <v/>
      </c>
      <c r="BB47" s="199">
        <f>$P47*BB$34-$Q47</f>
        <v/>
      </c>
      <c r="BC47" s="199">
        <f>$P47*BC$34-$Q47</f>
        <v/>
      </c>
      <c r="BD47" s="199">
        <f>$P47*BD$34-$Q47</f>
        <v/>
      </c>
      <c r="BE47" s="199">
        <f>$P47*BE$34-$Q47</f>
        <v/>
      </c>
      <c r="BF47" s="199">
        <f>$P47*BF$34-$Q47</f>
        <v/>
      </c>
      <c r="BH47" s="198">
        <f>$G47</f>
        <v/>
      </c>
      <c r="BI47" s="197">
        <f>$I47</f>
        <v/>
      </c>
      <c r="BJ47" s="197">
        <f>+BJ48</f>
        <v/>
      </c>
      <c r="BK47" s="197">
        <f>+BK48</f>
        <v/>
      </c>
      <c r="BL47" s="197">
        <f>+BL48</f>
        <v/>
      </c>
      <c r="BM47" s="197">
        <f>+BM48</f>
        <v/>
      </c>
      <c r="BN47" s="197">
        <f>+BN48</f>
        <v/>
      </c>
      <c r="BP47" s="198">
        <f>$G47</f>
        <v/>
      </c>
      <c r="BQ47" s="197">
        <f>$J47</f>
        <v/>
      </c>
      <c r="BR47" s="197">
        <f>+BR48</f>
        <v/>
      </c>
      <c r="BS47" s="197">
        <f>+BS48</f>
        <v/>
      </c>
      <c r="BT47" s="197">
        <f>+BT48</f>
        <v/>
      </c>
      <c r="BU47" s="197">
        <f>+BU48</f>
        <v/>
      </c>
      <c r="BV47" s="197">
        <f>+BV48</f>
        <v/>
      </c>
      <c r="BX47" s="198">
        <f>$G47</f>
        <v/>
      </c>
      <c r="BY47" s="197">
        <f>$K47</f>
        <v/>
      </c>
      <c r="BZ47" s="197">
        <f>+BZ48</f>
        <v/>
      </c>
      <c r="CA47" s="197">
        <f>+CA48</f>
        <v/>
      </c>
      <c r="CB47" s="197">
        <f>+CB48</f>
        <v/>
      </c>
      <c r="CC47" s="197">
        <f>+CC48</f>
        <v/>
      </c>
      <c r="CD47" s="197">
        <f>+CD48</f>
        <v/>
      </c>
      <c r="CF47" s="198">
        <f>$G47</f>
        <v/>
      </c>
      <c r="CG47" s="197">
        <f>$L47</f>
        <v/>
      </c>
      <c r="CH47" s="197">
        <f>+CH48</f>
        <v/>
      </c>
      <c r="CI47" s="197">
        <f>+CI48</f>
        <v/>
      </c>
      <c r="CJ47" s="197">
        <f>+CJ48</f>
        <v/>
      </c>
      <c r="CK47" s="197">
        <f>+CK48</f>
        <v/>
      </c>
      <c r="CL47" s="197">
        <f>+CL48</f>
        <v/>
      </c>
      <c r="CO47" s="199" t="n">
        <v>6.8</v>
      </c>
      <c r="CP47" s="970" t="n">
        <v>0.8835499999999999</v>
      </c>
    </row>
    <row r="48" hidden="1" ht="13.25" customHeight="1">
      <c r="B48" s="204">
        <f>+C48-1</f>
        <v/>
      </c>
      <c r="C48" s="204">
        <f>IF(bands_A!$D$9+1&gt;MONTH(G48),YEAR(G48),YEAR(G48)+1)</f>
        <v/>
      </c>
      <c r="D48" s="204">
        <f>+C48+1</f>
        <v/>
      </c>
      <c r="E48" s="203">
        <f>IF(C48&gt;C47,1,E47+1)</f>
        <v/>
      </c>
      <c r="F48" s="203">
        <f>COUNTIF(C:C,C48)</f>
        <v/>
      </c>
      <c r="G48" s="198">
        <f>+G49-7</f>
        <v/>
      </c>
      <c r="H48" s="361" t="n"/>
      <c r="I48" s="968">
        <f>H48/M48</f>
        <v/>
      </c>
      <c r="J48" s="968">
        <f>H48/N48</f>
        <v/>
      </c>
      <c r="K48" s="968">
        <f>(H48+Q48)/O48</f>
        <v/>
      </c>
      <c r="L48" s="968">
        <f>(H48+Q48)/P48</f>
        <v/>
      </c>
      <c r="M48" s="199">
        <f>HLOOKUP(C:C,$4:$10,3,FALSE)+((HLOOKUP(D:D,$4:$10,3,FALSE)-HLOOKUP(C:C,$4:$10,3,FALSE))*E48/F48)</f>
        <v/>
      </c>
      <c r="N48" s="199">
        <f>HLOOKUP(C:C,$4:$10,2,FALSE)+((HLOOKUP(D:D,$4:$10,2,FALSE)-HLOOKUP(C:C,$4:$10,2,FALSE))*E48/F48)</f>
        <v/>
      </c>
      <c r="O48" s="199">
        <f>HLOOKUP(C:C,$4:$10,5,FALSE)+((HLOOKUP(D:D,$4:$10,5,FALSE)-HLOOKUP(C:C,$4:$10,5,FALSE))*E48/F48)</f>
        <v/>
      </c>
      <c r="P48" s="199">
        <f>HLOOKUP(C:C,$4:$10,4,FALSE)+((HLOOKUP(D:D,$4:$10,4,FALSE)-HLOOKUP(C:C,$4:$10,4,FALSE))*E48/F48)</f>
        <v/>
      </c>
      <c r="Q48" s="199">
        <f>HLOOKUP(B:B,$4:$10,6,FALSE)+((HLOOKUP(C:C,$4:$10,6,FALSE)-HLOOKUP(B:B,$4:$10,6,FALSE))*E48/F48)</f>
        <v/>
      </c>
      <c r="T48" s="198">
        <f>$G48</f>
        <v/>
      </c>
      <c r="U48" s="199">
        <f>H48/(HLOOKUP(B:B,$4:$10,3,FALSE)+((HLOOKUP(C:C,$4:$10,3,FALSE)-HLOOKUP(B:B,$4:$10,3,FALSE))*E48/F48))</f>
        <v/>
      </c>
      <c r="V48" s="969">
        <f>HLOOKUP(B:B,$4:$10,7,FALSE)+((HLOOKUP(C:C,$4:$10,7,FALSE)-HLOOKUP(B:B,$4:$10,7,FALSE))*E48/F48)</f>
        <v/>
      </c>
      <c r="AB48" s="198">
        <f>$G48</f>
        <v/>
      </c>
      <c r="AC48" s="199">
        <f>$H48</f>
        <v/>
      </c>
      <c r="AD48" s="199">
        <f>$M48*AD$34</f>
        <v/>
      </c>
      <c r="AE48" s="199">
        <f>$M48*AE$34</f>
        <v/>
      </c>
      <c r="AF48" s="199">
        <f>$M48*AF$34</f>
        <v/>
      </c>
      <c r="AG48" s="199">
        <f>$M48*AG$34</f>
        <v/>
      </c>
      <c r="AH48" s="199">
        <f>$M48*AH$34</f>
        <v/>
      </c>
      <c r="AJ48" s="198">
        <f>$G48</f>
        <v/>
      </c>
      <c r="AK48" s="199">
        <f>$H48</f>
        <v/>
      </c>
      <c r="AL48" s="199">
        <f>$N48*AL$34</f>
        <v/>
      </c>
      <c r="AM48" s="199">
        <f>$N48*AM$34</f>
        <v/>
      </c>
      <c r="AN48" s="199">
        <f>$N48*AN$34</f>
        <v/>
      </c>
      <c r="AO48" s="199">
        <f>$N48*AO$34</f>
        <v/>
      </c>
      <c r="AP48" s="199">
        <f>$N48*AP$34</f>
        <v/>
      </c>
      <c r="AR48" s="198">
        <f>$G48</f>
        <v/>
      </c>
      <c r="AS48" s="199">
        <f>$H48</f>
        <v/>
      </c>
      <c r="AT48" s="199">
        <f>$O48*AT$34-$Q48</f>
        <v/>
      </c>
      <c r="AU48" s="199">
        <f>$O48*AU$34-$Q48</f>
        <v/>
      </c>
      <c r="AV48" s="199">
        <f>$O48*AV$34-$Q48</f>
        <v/>
      </c>
      <c r="AW48" s="199">
        <f>$O48*AW$34-$Q48</f>
        <v/>
      </c>
      <c r="AX48" s="199">
        <f>$O48*AX$34-$Q48</f>
        <v/>
      </c>
      <c r="AZ48" s="198">
        <f>$G48</f>
        <v/>
      </c>
      <c r="BA48" s="199">
        <f>$H48</f>
        <v/>
      </c>
      <c r="BB48" s="199">
        <f>$P48*BB$34-$Q48</f>
        <v/>
      </c>
      <c r="BC48" s="199">
        <f>$P48*BC$34-$Q48</f>
        <v/>
      </c>
      <c r="BD48" s="199">
        <f>$P48*BD$34-$Q48</f>
        <v/>
      </c>
      <c r="BE48" s="199">
        <f>$P48*BE$34-$Q48</f>
        <v/>
      </c>
      <c r="BF48" s="199">
        <f>$P48*BF$34-$Q48</f>
        <v/>
      </c>
      <c r="BH48" s="198">
        <f>$G48</f>
        <v/>
      </c>
      <c r="BI48" s="197">
        <f>$I48</f>
        <v/>
      </c>
      <c r="BJ48" s="197">
        <f>+BJ49</f>
        <v/>
      </c>
      <c r="BK48" s="197">
        <f>+BK49</f>
        <v/>
      </c>
      <c r="BL48" s="197">
        <f>+BL49</f>
        <v/>
      </c>
      <c r="BM48" s="197">
        <f>+BM49</f>
        <v/>
      </c>
      <c r="BN48" s="197">
        <f>+BN49</f>
        <v/>
      </c>
      <c r="BP48" s="198">
        <f>$G48</f>
        <v/>
      </c>
      <c r="BQ48" s="197">
        <f>$J48</f>
        <v/>
      </c>
      <c r="BR48" s="197">
        <f>+BR49</f>
        <v/>
      </c>
      <c r="BS48" s="197">
        <f>+BS49</f>
        <v/>
      </c>
      <c r="BT48" s="197">
        <f>+BT49</f>
        <v/>
      </c>
      <c r="BU48" s="197">
        <f>+BU49</f>
        <v/>
      </c>
      <c r="BV48" s="197">
        <f>+BV49</f>
        <v/>
      </c>
      <c r="BX48" s="198">
        <f>$G48</f>
        <v/>
      </c>
      <c r="BY48" s="197">
        <f>$K48</f>
        <v/>
      </c>
      <c r="BZ48" s="197">
        <f>+BZ49</f>
        <v/>
      </c>
      <c r="CA48" s="197">
        <f>+CA49</f>
        <v/>
      </c>
      <c r="CB48" s="197">
        <f>+CB49</f>
        <v/>
      </c>
      <c r="CC48" s="197">
        <f>+CC49</f>
        <v/>
      </c>
      <c r="CD48" s="197">
        <f>+CD49</f>
        <v/>
      </c>
      <c r="CF48" s="198">
        <f>$G48</f>
        <v/>
      </c>
      <c r="CG48" s="197">
        <f>$L48</f>
        <v/>
      </c>
      <c r="CH48" s="197">
        <f>+CH49</f>
        <v/>
      </c>
      <c r="CI48" s="197">
        <f>+CI49</f>
        <v/>
      </c>
      <c r="CJ48" s="197">
        <f>+CJ49</f>
        <v/>
      </c>
      <c r="CK48" s="197">
        <f>+CK49</f>
        <v/>
      </c>
      <c r="CL48" s="197">
        <f>+CL49</f>
        <v/>
      </c>
      <c r="CO48" s="199" t="n">
        <v>6.8</v>
      </c>
      <c r="CP48" s="970" t="n">
        <v>0.8835499999999999</v>
      </c>
    </row>
    <row r="49" hidden="1" ht="13.25" customHeight="1">
      <c r="B49" s="204">
        <f>+C49-1</f>
        <v/>
      </c>
      <c r="C49" s="204">
        <f>IF(bands_A!$D$9+1&gt;MONTH(G49),YEAR(G49),YEAR(G49)+1)</f>
        <v/>
      </c>
      <c r="D49" s="204">
        <f>+C49+1</f>
        <v/>
      </c>
      <c r="E49" s="203">
        <f>IF(C49&gt;C48,1,E48+1)</f>
        <v/>
      </c>
      <c r="F49" s="203">
        <f>COUNTIF(C:C,C49)</f>
        <v/>
      </c>
      <c r="G49" s="198">
        <f>+G50-7</f>
        <v/>
      </c>
      <c r="H49" s="361" t="n"/>
      <c r="I49" s="968">
        <f>H49/M49</f>
        <v/>
      </c>
      <c r="J49" s="968">
        <f>H49/N49</f>
        <v/>
      </c>
      <c r="K49" s="968">
        <f>(H49+Q49)/O49</f>
        <v/>
      </c>
      <c r="L49" s="968">
        <f>(H49+Q49)/P49</f>
        <v/>
      </c>
      <c r="M49" s="199">
        <f>HLOOKUP(C:C,$4:$10,3,FALSE)+((HLOOKUP(D:D,$4:$10,3,FALSE)-HLOOKUP(C:C,$4:$10,3,FALSE))*E49/F49)</f>
        <v/>
      </c>
      <c r="N49" s="199">
        <f>HLOOKUP(C:C,$4:$10,2,FALSE)+((HLOOKUP(D:D,$4:$10,2,FALSE)-HLOOKUP(C:C,$4:$10,2,FALSE))*E49/F49)</f>
        <v/>
      </c>
      <c r="O49" s="199">
        <f>HLOOKUP(C:C,$4:$10,5,FALSE)+((HLOOKUP(D:D,$4:$10,5,FALSE)-HLOOKUP(C:C,$4:$10,5,FALSE))*E49/F49)</f>
        <v/>
      </c>
      <c r="P49" s="199">
        <f>HLOOKUP(C:C,$4:$10,4,FALSE)+((HLOOKUP(D:D,$4:$10,4,FALSE)-HLOOKUP(C:C,$4:$10,4,FALSE))*E49/F49)</f>
        <v/>
      </c>
      <c r="Q49" s="199">
        <f>HLOOKUP(B:B,$4:$10,6,FALSE)+((HLOOKUP(C:C,$4:$10,6,FALSE)-HLOOKUP(B:B,$4:$10,6,FALSE))*E49/F49)</f>
        <v/>
      </c>
      <c r="T49" s="198">
        <f>$G49</f>
        <v/>
      </c>
      <c r="U49" s="199">
        <f>H49/(HLOOKUP(B:B,$4:$10,3,FALSE)+((HLOOKUP(C:C,$4:$10,3,FALSE)-HLOOKUP(B:B,$4:$10,3,FALSE))*E49/F49))</f>
        <v/>
      </c>
      <c r="V49" s="969">
        <f>HLOOKUP(B:B,$4:$10,7,FALSE)+((HLOOKUP(C:C,$4:$10,7,FALSE)-HLOOKUP(B:B,$4:$10,7,FALSE))*E49/F49)</f>
        <v/>
      </c>
      <c r="AB49" s="198">
        <f>$G49</f>
        <v/>
      </c>
      <c r="AC49" s="199">
        <f>$H49</f>
        <v/>
      </c>
      <c r="AD49" s="199">
        <f>$M49*AD$34</f>
        <v/>
      </c>
      <c r="AE49" s="199">
        <f>$M49*AE$34</f>
        <v/>
      </c>
      <c r="AF49" s="199">
        <f>$M49*AF$34</f>
        <v/>
      </c>
      <c r="AG49" s="199">
        <f>$M49*AG$34</f>
        <v/>
      </c>
      <c r="AH49" s="199">
        <f>$M49*AH$34</f>
        <v/>
      </c>
      <c r="AJ49" s="198">
        <f>$G49</f>
        <v/>
      </c>
      <c r="AK49" s="199">
        <f>$H49</f>
        <v/>
      </c>
      <c r="AL49" s="199">
        <f>$N49*AL$34</f>
        <v/>
      </c>
      <c r="AM49" s="199">
        <f>$N49*AM$34</f>
        <v/>
      </c>
      <c r="AN49" s="199">
        <f>$N49*AN$34</f>
        <v/>
      </c>
      <c r="AO49" s="199">
        <f>$N49*AO$34</f>
        <v/>
      </c>
      <c r="AP49" s="199">
        <f>$N49*AP$34</f>
        <v/>
      </c>
      <c r="AR49" s="198">
        <f>$G49</f>
        <v/>
      </c>
      <c r="AS49" s="199">
        <f>$H49</f>
        <v/>
      </c>
      <c r="AT49" s="199">
        <f>$O49*AT$34-$Q49</f>
        <v/>
      </c>
      <c r="AU49" s="199">
        <f>$O49*AU$34-$Q49</f>
        <v/>
      </c>
      <c r="AV49" s="199">
        <f>$O49*AV$34-$Q49</f>
        <v/>
      </c>
      <c r="AW49" s="199">
        <f>$O49*AW$34-$Q49</f>
        <v/>
      </c>
      <c r="AX49" s="199">
        <f>$O49*AX$34-$Q49</f>
        <v/>
      </c>
      <c r="AZ49" s="198">
        <f>$G49</f>
        <v/>
      </c>
      <c r="BA49" s="199">
        <f>$H49</f>
        <v/>
      </c>
      <c r="BB49" s="199">
        <f>$P49*BB$34-$Q49</f>
        <v/>
      </c>
      <c r="BC49" s="199">
        <f>$P49*BC$34-$Q49</f>
        <v/>
      </c>
      <c r="BD49" s="199">
        <f>$P49*BD$34-$Q49</f>
        <v/>
      </c>
      <c r="BE49" s="199">
        <f>$P49*BE$34-$Q49</f>
        <v/>
      </c>
      <c r="BF49" s="199">
        <f>$P49*BF$34-$Q49</f>
        <v/>
      </c>
      <c r="BH49" s="198">
        <f>$G49</f>
        <v/>
      </c>
      <c r="BI49" s="197">
        <f>$I49</f>
        <v/>
      </c>
      <c r="BJ49" s="197">
        <f>+BJ50</f>
        <v/>
      </c>
      <c r="BK49" s="197">
        <f>+BK50</f>
        <v/>
      </c>
      <c r="BL49" s="197">
        <f>+BL50</f>
        <v/>
      </c>
      <c r="BM49" s="197">
        <f>+BM50</f>
        <v/>
      </c>
      <c r="BN49" s="197">
        <f>+BN50</f>
        <v/>
      </c>
      <c r="BP49" s="198">
        <f>$G49</f>
        <v/>
      </c>
      <c r="BQ49" s="197">
        <f>$J49</f>
        <v/>
      </c>
      <c r="BR49" s="197">
        <f>+BR50</f>
        <v/>
      </c>
      <c r="BS49" s="197">
        <f>+BS50</f>
        <v/>
      </c>
      <c r="BT49" s="197">
        <f>+BT50</f>
        <v/>
      </c>
      <c r="BU49" s="197">
        <f>+BU50</f>
        <v/>
      </c>
      <c r="BV49" s="197">
        <f>+BV50</f>
        <v/>
      </c>
      <c r="BX49" s="198">
        <f>$G49</f>
        <v/>
      </c>
      <c r="BY49" s="197">
        <f>$K49</f>
        <v/>
      </c>
      <c r="BZ49" s="197">
        <f>+BZ50</f>
        <v/>
      </c>
      <c r="CA49" s="197">
        <f>+CA50</f>
        <v/>
      </c>
      <c r="CB49" s="197">
        <f>+CB50</f>
        <v/>
      </c>
      <c r="CC49" s="197">
        <f>+CC50</f>
        <v/>
      </c>
      <c r="CD49" s="197">
        <f>+CD50</f>
        <v/>
      </c>
      <c r="CF49" s="198">
        <f>$G49</f>
        <v/>
      </c>
      <c r="CG49" s="197">
        <f>$L49</f>
        <v/>
      </c>
      <c r="CH49" s="197">
        <f>+CH50</f>
        <v/>
      </c>
      <c r="CI49" s="197">
        <f>+CI50</f>
        <v/>
      </c>
      <c r="CJ49" s="197">
        <f>+CJ50</f>
        <v/>
      </c>
      <c r="CK49" s="197">
        <f>+CK50</f>
        <v/>
      </c>
      <c r="CL49" s="197">
        <f>+CL50</f>
        <v/>
      </c>
      <c r="CO49" s="199" t="n">
        <v>6.8</v>
      </c>
      <c r="CP49" s="970" t="n">
        <v>0.8835499999999999</v>
      </c>
    </row>
    <row r="50" hidden="1" ht="13.25" customHeight="1">
      <c r="B50" s="204">
        <f>+C50-1</f>
        <v/>
      </c>
      <c r="C50" s="204">
        <f>IF(bands_A!$D$9+1&gt;MONTH(G50),YEAR(G50),YEAR(G50)+1)</f>
        <v/>
      </c>
      <c r="D50" s="204">
        <f>+C50+1</f>
        <v/>
      </c>
      <c r="E50" s="203">
        <f>IF(C50&gt;C49,1,E49+1)</f>
        <v/>
      </c>
      <c r="F50" s="203">
        <f>COUNTIF(C:C,C50)</f>
        <v/>
      </c>
      <c r="G50" s="198">
        <f>+G51-7</f>
        <v/>
      </c>
      <c r="H50" s="361" t="n"/>
      <c r="I50" s="968">
        <f>H50/M50</f>
        <v/>
      </c>
      <c r="J50" s="968">
        <f>H50/N50</f>
        <v/>
      </c>
      <c r="K50" s="968">
        <f>(H50+Q50)/O50</f>
        <v/>
      </c>
      <c r="L50" s="968">
        <f>(H50+Q50)/P50</f>
        <v/>
      </c>
      <c r="M50" s="199">
        <f>HLOOKUP(C:C,$4:$10,3,FALSE)+((HLOOKUP(D:D,$4:$10,3,FALSE)-HLOOKUP(C:C,$4:$10,3,FALSE))*E50/F50)</f>
        <v/>
      </c>
      <c r="N50" s="199">
        <f>HLOOKUP(C:C,$4:$10,2,FALSE)+((HLOOKUP(D:D,$4:$10,2,FALSE)-HLOOKUP(C:C,$4:$10,2,FALSE))*E50/F50)</f>
        <v/>
      </c>
      <c r="O50" s="199">
        <f>HLOOKUP(C:C,$4:$10,5,FALSE)+((HLOOKUP(D:D,$4:$10,5,FALSE)-HLOOKUP(C:C,$4:$10,5,FALSE))*E50/F50)</f>
        <v/>
      </c>
      <c r="P50" s="199">
        <f>HLOOKUP(C:C,$4:$10,4,FALSE)+((HLOOKUP(D:D,$4:$10,4,FALSE)-HLOOKUP(C:C,$4:$10,4,FALSE))*E50/F50)</f>
        <v/>
      </c>
      <c r="Q50" s="199">
        <f>HLOOKUP(B:B,$4:$10,6,FALSE)+((HLOOKUP(C:C,$4:$10,6,FALSE)-HLOOKUP(B:B,$4:$10,6,FALSE))*E50/F50)</f>
        <v/>
      </c>
      <c r="T50" s="198">
        <f>$G50</f>
        <v/>
      </c>
      <c r="U50" s="199">
        <f>H50/(HLOOKUP(B:B,$4:$10,3,FALSE)+((HLOOKUP(C:C,$4:$10,3,FALSE)-HLOOKUP(B:B,$4:$10,3,FALSE))*E50/F50))</f>
        <v/>
      </c>
      <c r="V50" s="969">
        <f>HLOOKUP(B:B,$4:$10,7,FALSE)+((HLOOKUP(C:C,$4:$10,7,FALSE)-HLOOKUP(B:B,$4:$10,7,FALSE))*E50/F50)</f>
        <v/>
      </c>
      <c r="AB50" s="198">
        <f>$G50</f>
        <v/>
      </c>
      <c r="AC50" s="199">
        <f>$H50</f>
        <v/>
      </c>
      <c r="AD50" s="199">
        <f>$M50*AD$34</f>
        <v/>
      </c>
      <c r="AE50" s="199">
        <f>$M50*AE$34</f>
        <v/>
      </c>
      <c r="AF50" s="199">
        <f>$M50*AF$34</f>
        <v/>
      </c>
      <c r="AG50" s="199">
        <f>$M50*AG$34</f>
        <v/>
      </c>
      <c r="AH50" s="199">
        <f>$M50*AH$34</f>
        <v/>
      </c>
      <c r="AJ50" s="198">
        <f>$G50</f>
        <v/>
      </c>
      <c r="AK50" s="199">
        <f>$H50</f>
        <v/>
      </c>
      <c r="AL50" s="199">
        <f>$N50*AL$34</f>
        <v/>
      </c>
      <c r="AM50" s="199">
        <f>$N50*AM$34</f>
        <v/>
      </c>
      <c r="AN50" s="199">
        <f>$N50*AN$34</f>
        <v/>
      </c>
      <c r="AO50" s="199">
        <f>$N50*AO$34</f>
        <v/>
      </c>
      <c r="AP50" s="199">
        <f>$N50*AP$34</f>
        <v/>
      </c>
      <c r="AR50" s="198">
        <f>$G50</f>
        <v/>
      </c>
      <c r="AS50" s="199">
        <f>$H50</f>
        <v/>
      </c>
      <c r="AT50" s="199">
        <f>$O50*AT$34-$Q50</f>
        <v/>
      </c>
      <c r="AU50" s="199">
        <f>$O50*AU$34-$Q50</f>
        <v/>
      </c>
      <c r="AV50" s="199">
        <f>$O50*AV$34-$Q50</f>
        <v/>
      </c>
      <c r="AW50" s="199">
        <f>$O50*AW$34-$Q50</f>
        <v/>
      </c>
      <c r="AX50" s="199">
        <f>$O50*AX$34-$Q50</f>
        <v/>
      </c>
      <c r="AZ50" s="198">
        <f>$G50</f>
        <v/>
      </c>
      <c r="BA50" s="199">
        <f>$H50</f>
        <v/>
      </c>
      <c r="BB50" s="199">
        <f>$P50*BB$34-$Q50</f>
        <v/>
      </c>
      <c r="BC50" s="199">
        <f>$P50*BC$34-$Q50</f>
        <v/>
      </c>
      <c r="BD50" s="199">
        <f>$P50*BD$34-$Q50</f>
        <v/>
      </c>
      <c r="BE50" s="199">
        <f>$P50*BE$34-$Q50</f>
        <v/>
      </c>
      <c r="BF50" s="199">
        <f>$P50*BF$34-$Q50</f>
        <v/>
      </c>
      <c r="BH50" s="198">
        <f>$G50</f>
        <v/>
      </c>
      <c r="BI50" s="197">
        <f>$I50</f>
        <v/>
      </c>
      <c r="BJ50" s="197">
        <f>+BJ51</f>
        <v/>
      </c>
      <c r="BK50" s="197">
        <f>+BK51</f>
        <v/>
      </c>
      <c r="BL50" s="197">
        <f>+BL51</f>
        <v/>
      </c>
      <c r="BM50" s="197">
        <f>+BM51</f>
        <v/>
      </c>
      <c r="BN50" s="197">
        <f>+BN51</f>
        <v/>
      </c>
      <c r="BP50" s="198">
        <f>$G50</f>
        <v/>
      </c>
      <c r="BQ50" s="197">
        <f>$J50</f>
        <v/>
      </c>
      <c r="BR50" s="197">
        <f>+BR51</f>
        <v/>
      </c>
      <c r="BS50" s="197">
        <f>+BS51</f>
        <v/>
      </c>
      <c r="BT50" s="197">
        <f>+BT51</f>
        <v/>
      </c>
      <c r="BU50" s="197">
        <f>+BU51</f>
        <v/>
      </c>
      <c r="BV50" s="197">
        <f>+BV51</f>
        <v/>
      </c>
      <c r="BX50" s="198">
        <f>$G50</f>
        <v/>
      </c>
      <c r="BY50" s="197">
        <f>$K50</f>
        <v/>
      </c>
      <c r="BZ50" s="197">
        <f>+BZ51</f>
        <v/>
      </c>
      <c r="CA50" s="197">
        <f>+CA51</f>
        <v/>
      </c>
      <c r="CB50" s="197">
        <f>+CB51</f>
        <v/>
      </c>
      <c r="CC50" s="197">
        <f>+CC51</f>
        <v/>
      </c>
      <c r="CD50" s="197">
        <f>+CD51</f>
        <v/>
      </c>
      <c r="CF50" s="198">
        <f>$G50</f>
        <v/>
      </c>
      <c r="CG50" s="197">
        <f>$L50</f>
        <v/>
      </c>
      <c r="CH50" s="197">
        <f>+CH51</f>
        <v/>
      </c>
      <c r="CI50" s="197">
        <f>+CI51</f>
        <v/>
      </c>
      <c r="CJ50" s="197">
        <f>+CJ51</f>
        <v/>
      </c>
      <c r="CK50" s="197">
        <f>+CK51</f>
        <v/>
      </c>
      <c r="CL50" s="197">
        <f>+CL51</f>
        <v/>
      </c>
      <c r="CO50" s="199" t="n">
        <v>6.8</v>
      </c>
      <c r="CP50" s="970" t="n">
        <v>0.8835499999999999</v>
      </c>
    </row>
    <row r="51" hidden="1" ht="13.25" customHeight="1">
      <c r="B51" s="204">
        <f>+C51-1</f>
        <v/>
      </c>
      <c r="C51" s="204">
        <f>IF(bands_A!$D$9+1&gt;MONTH(G51),YEAR(G51),YEAR(G51)+1)</f>
        <v/>
      </c>
      <c r="D51" s="204">
        <f>+C51+1</f>
        <v/>
      </c>
      <c r="E51" s="203">
        <f>IF(C51&gt;C50,1,E50+1)</f>
        <v/>
      </c>
      <c r="F51" s="203">
        <f>COUNTIF(C:C,C51)</f>
        <v/>
      </c>
      <c r="G51" s="198">
        <f>+G52-7</f>
        <v/>
      </c>
      <c r="H51" s="361" t="n"/>
      <c r="I51" s="968">
        <f>H51/M51</f>
        <v/>
      </c>
      <c r="J51" s="968">
        <f>H51/N51</f>
        <v/>
      </c>
      <c r="K51" s="968">
        <f>(H51+Q51)/O51</f>
        <v/>
      </c>
      <c r="L51" s="968">
        <f>(H51+Q51)/P51</f>
        <v/>
      </c>
      <c r="M51" s="199">
        <f>HLOOKUP(C:C,$4:$10,3,FALSE)+((HLOOKUP(D:D,$4:$10,3,FALSE)-HLOOKUP(C:C,$4:$10,3,FALSE))*E51/F51)</f>
        <v/>
      </c>
      <c r="N51" s="199">
        <f>HLOOKUP(C:C,$4:$10,2,FALSE)+((HLOOKUP(D:D,$4:$10,2,FALSE)-HLOOKUP(C:C,$4:$10,2,FALSE))*E51/F51)</f>
        <v/>
      </c>
      <c r="O51" s="199">
        <f>HLOOKUP(C:C,$4:$10,5,FALSE)+((HLOOKUP(D:D,$4:$10,5,FALSE)-HLOOKUP(C:C,$4:$10,5,FALSE))*E51/F51)</f>
        <v/>
      </c>
      <c r="P51" s="199">
        <f>HLOOKUP(C:C,$4:$10,4,FALSE)+((HLOOKUP(D:D,$4:$10,4,FALSE)-HLOOKUP(C:C,$4:$10,4,FALSE))*E51/F51)</f>
        <v/>
      </c>
      <c r="Q51" s="199">
        <f>HLOOKUP(B:B,$4:$10,6,FALSE)+((HLOOKUP(C:C,$4:$10,6,FALSE)-HLOOKUP(B:B,$4:$10,6,FALSE))*E51/F51)</f>
        <v/>
      </c>
      <c r="T51" s="198">
        <f>$G51</f>
        <v/>
      </c>
      <c r="U51" s="199">
        <f>H51/(HLOOKUP(B:B,$4:$10,3,FALSE)+((HLOOKUP(C:C,$4:$10,3,FALSE)-HLOOKUP(B:B,$4:$10,3,FALSE))*E51/F51))</f>
        <v/>
      </c>
      <c r="V51" s="969">
        <f>HLOOKUP(B:B,$4:$10,7,FALSE)+((HLOOKUP(C:C,$4:$10,7,FALSE)-HLOOKUP(B:B,$4:$10,7,FALSE))*E51/F51)</f>
        <v/>
      </c>
      <c r="AB51" s="198">
        <f>$G51</f>
        <v/>
      </c>
      <c r="AC51" s="199">
        <f>$H51</f>
        <v/>
      </c>
      <c r="AD51" s="199">
        <f>$M51*AD$34</f>
        <v/>
      </c>
      <c r="AE51" s="199">
        <f>$M51*AE$34</f>
        <v/>
      </c>
      <c r="AF51" s="199">
        <f>$M51*AF$34</f>
        <v/>
      </c>
      <c r="AG51" s="199">
        <f>$M51*AG$34</f>
        <v/>
      </c>
      <c r="AH51" s="199">
        <f>$M51*AH$34</f>
        <v/>
      </c>
      <c r="AJ51" s="198">
        <f>$G51</f>
        <v/>
      </c>
      <c r="AK51" s="199">
        <f>$H51</f>
        <v/>
      </c>
      <c r="AL51" s="199">
        <f>$N51*AL$34</f>
        <v/>
      </c>
      <c r="AM51" s="199">
        <f>$N51*AM$34</f>
        <v/>
      </c>
      <c r="AN51" s="199">
        <f>$N51*AN$34</f>
        <v/>
      </c>
      <c r="AO51" s="199">
        <f>$N51*AO$34</f>
        <v/>
      </c>
      <c r="AP51" s="199">
        <f>$N51*AP$34</f>
        <v/>
      </c>
      <c r="AR51" s="198">
        <f>$G51</f>
        <v/>
      </c>
      <c r="AS51" s="199">
        <f>$H51</f>
        <v/>
      </c>
      <c r="AT51" s="199">
        <f>$O51*AT$34-$Q51</f>
        <v/>
      </c>
      <c r="AU51" s="199">
        <f>$O51*AU$34-$Q51</f>
        <v/>
      </c>
      <c r="AV51" s="199">
        <f>$O51*AV$34-$Q51</f>
        <v/>
      </c>
      <c r="AW51" s="199">
        <f>$O51*AW$34-$Q51</f>
        <v/>
      </c>
      <c r="AX51" s="199">
        <f>$O51*AX$34-$Q51</f>
        <v/>
      </c>
      <c r="AZ51" s="198">
        <f>$G51</f>
        <v/>
      </c>
      <c r="BA51" s="199">
        <f>$H51</f>
        <v/>
      </c>
      <c r="BB51" s="199">
        <f>$P51*BB$34-$Q51</f>
        <v/>
      </c>
      <c r="BC51" s="199">
        <f>$P51*BC$34-$Q51</f>
        <v/>
      </c>
      <c r="BD51" s="199">
        <f>$P51*BD$34-$Q51</f>
        <v/>
      </c>
      <c r="BE51" s="199">
        <f>$P51*BE$34-$Q51</f>
        <v/>
      </c>
      <c r="BF51" s="199">
        <f>$P51*BF$34-$Q51</f>
        <v/>
      </c>
      <c r="BH51" s="198">
        <f>$G51</f>
        <v/>
      </c>
      <c r="BI51" s="197">
        <f>$I51</f>
        <v/>
      </c>
      <c r="BJ51" s="197">
        <f>+BJ52</f>
        <v/>
      </c>
      <c r="BK51" s="197">
        <f>+BK52</f>
        <v/>
      </c>
      <c r="BL51" s="197">
        <f>+BL52</f>
        <v/>
      </c>
      <c r="BM51" s="197">
        <f>+BM52</f>
        <v/>
      </c>
      <c r="BN51" s="197">
        <f>+BN52</f>
        <v/>
      </c>
      <c r="BP51" s="198">
        <f>$G51</f>
        <v/>
      </c>
      <c r="BQ51" s="197">
        <f>$J51</f>
        <v/>
      </c>
      <c r="BR51" s="197">
        <f>+BR52</f>
        <v/>
      </c>
      <c r="BS51" s="197">
        <f>+BS52</f>
        <v/>
      </c>
      <c r="BT51" s="197">
        <f>+BT52</f>
        <v/>
      </c>
      <c r="BU51" s="197">
        <f>+BU52</f>
        <v/>
      </c>
      <c r="BV51" s="197">
        <f>+BV52</f>
        <v/>
      </c>
      <c r="BX51" s="198">
        <f>$G51</f>
        <v/>
      </c>
      <c r="BY51" s="197">
        <f>$K51</f>
        <v/>
      </c>
      <c r="BZ51" s="197">
        <f>+BZ52</f>
        <v/>
      </c>
      <c r="CA51" s="197">
        <f>+CA52</f>
        <v/>
      </c>
      <c r="CB51" s="197">
        <f>+CB52</f>
        <v/>
      </c>
      <c r="CC51" s="197">
        <f>+CC52</f>
        <v/>
      </c>
      <c r="CD51" s="197">
        <f>+CD52</f>
        <v/>
      </c>
      <c r="CF51" s="198">
        <f>$G51</f>
        <v/>
      </c>
      <c r="CG51" s="197">
        <f>$L51</f>
        <v/>
      </c>
      <c r="CH51" s="197">
        <f>+CH52</f>
        <v/>
      </c>
      <c r="CI51" s="197">
        <f>+CI52</f>
        <v/>
      </c>
      <c r="CJ51" s="197">
        <f>+CJ52</f>
        <v/>
      </c>
      <c r="CK51" s="197">
        <f>+CK52</f>
        <v/>
      </c>
      <c r="CL51" s="197">
        <f>+CL52</f>
        <v/>
      </c>
      <c r="CO51" s="199" t="n">
        <v>6.8</v>
      </c>
      <c r="CP51" s="970" t="n">
        <v>0.8835499999999999</v>
      </c>
    </row>
    <row r="52" hidden="1" ht="13.25" customHeight="1">
      <c r="B52" s="204">
        <f>+C52-1</f>
        <v/>
      </c>
      <c r="C52" s="204">
        <f>IF(bands_A!$D$9+1&gt;MONTH(G52),YEAR(G52),YEAR(G52)+1)</f>
        <v/>
      </c>
      <c r="D52" s="204">
        <f>+C52+1</f>
        <v/>
      </c>
      <c r="E52" s="203">
        <f>IF(C52&gt;C51,1,E51+1)</f>
        <v/>
      </c>
      <c r="F52" s="203">
        <f>COUNTIF(C:C,C52)</f>
        <v/>
      </c>
      <c r="G52" s="198">
        <f>+G53-7</f>
        <v/>
      </c>
      <c r="H52" s="361" t="n"/>
      <c r="I52" s="968">
        <f>H52/M52</f>
        <v/>
      </c>
      <c r="J52" s="968">
        <f>H52/N52</f>
        <v/>
      </c>
      <c r="K52" s="968">
        <f>(H52+Q52)/O52</f>
        <v/>
      </c>
      <c r="L52" s="968">
        <f>(H52+Q52)/P52</f>
        <v/>
      </c>
      <c r="M52" s="199">
        <f>HLOOKUP(C:C,$4:$10,3,FALSE)+((HLOOKUP(D:D,$4:$10,3,FALSE)-HLOOKUP(C:C,$4:$10,3,FALSE))*E52/F52)</f>
        <v/>
      </c>
      <c r="N52" s="199">
        <f>HLOOKUP(C:C,$4:$10,2,FALSE)+((HLOOKUP(D:D,$4:$10,2,FALSE)-HLOOKUP(C:C,$4:$10,2,FALSE))*E52/F52)</f>
        <v/>
      </c>
      <c r="O52" s="199">
        <f>HLOOKUP(C:C,$4:$10,5,FALSE)+((HLOOKUP(D:D,$4:$10,5,FALSE)-HLOOKUP(C:C,$4:$10,5,FALSE))*E52/F52)</f>
        <v/>
      </c>
      <c r="P52" s="199">
        <f>HLOOKUP(C:C,$4:$10,4,FALSE)+((HLOOKUP(D:D,$4:$10,4,FALSE)-HLOOKUP(C:C,$4:$10,4,FALSE))*E52/F52)</f>
        <v/>
      </c>
      <c r="Q52" s="199">
        <f>HLOOKUP(B:B,$4:$10,6,FALSE)+((HLOOKUP(C:C,$4:$10,6,FALSE)-HLOOKUP(B:B,$4:$10,6,FALSE))*E52/F52)</f>
        <v/>
      </c>
      <c r="T52" s="198">
        <f>$G52</f>
        <v/>
      </c>
      <c r="U52" s="199">
        <f>H52/(HLOOKUP(B:B,$4:$10,3,FALSE)+((HLOOKUP(C:C,$4:$10,3,FALSE)-HLOOKUP(B:B,$4:$10,3,FALSE))*E52/F52))</f>
        <v/>
      </c>
      <c r="V52" s="969">
        <f>HLOOKUP(B:B,$4:$10,7,FALSE)+((HLOOKUP(C:C,$4:$10,7,FALSE)-HLOOKUP(B:B,$4:$10,7,FALSE))*E52/F52)</f>
        <v/>
      </c>
      <c r="AB52" s="198">
        <f>$G52</f>
        <v/>
      </c>
      <c r="AC52" s="199">
        <f>$H52</f>
        <v/>
      </c>
      <c r="AD52" s="199">
        <f>$M52*AD$34</f>
        <v/>
      </c>
      <c r="AE52" s="199">
        <f>$M52*AE$34</f>
        <v/>
      </c>
      <c r="AF52" s="199">
        <f>$M52*AF$34</f>
        <v/>
      </c>
      <c r="AG52" s="199">
        <f>$M52*AG$34</f>
        <v/>
      </c>
      <c r="AH52" s="199">
        <f>$M52*AH$34</f>
        <v/>
      </c>
      <c r="AJ52" s="198">
        <f>$G52</f>
        <v/>
      </c>
      <c r="AK52" s="199">
        <f>$H52</f>
        <v/>
      </c>
      <c r="AL52" s="199">
        <f>$N52*AL$34</f>
        <v/>
      </c>
      <c r="AM52" s="199">
        <f>$N52*AM$34</f>
        <v/>
      </c>
      <c r="AN52" s="199">
        <f>$N52*AN$34</f>
        <v/>
      </c>
      <c r="AO52" s="199">
        <f>$N52*AO$34</f>
        <v/>
      </c>
      <c r="AP52" s="199">
        <f>$N52*AP$34</f>
        <v/>
      </c>
      <c r="AR52" s="198">
        <f>$G52</f>
        <v/>
      </c>
      <c r="AS52" s="199">
        <f>$H52</f>
        <v/>
      </c>
      <c r="AT52" s="199">
        <f>$O52*AT$34-$Q52</f>
        <v/>
      </c>
      <c r="AU52" s="199">
        <f>$O52*AU$34-$Q52</f>
        <v/>
      </c>
      <c r="AV52" s="199">
        <f>$O52*AV$34-$Q52</f>
        <v/>
      </c>
      <c r="AW52" s="199">
        <f>$O52*AW$34-$Q52</f>
        <v/>
      </c>
      <c r="AX52" s="199">
        <f>$O52*AX$34-$Q52</f>
        <v/>
      </c>
      <c r="AZ52" s="198">
        <f>$G52</f>
        <v/>
      </c>
      <c r="BA52" s="199">
        <f>$H52</f>
        <v/>
      </c>
      <c r="BB52" s="199">
        <f>$P52*BB$34-$Q52</f>
        <v/>
      </c>
      <c r="BC52" s="199">
        <f>$P52*BC$34-$Q52</f>
        <v/>
      </c>
      <c r="BD52" s="199">
        <f>$P52*BD$34-$Q52</f>
        <v/>
      </c>
      <c r="BE52" s="199">
        <f>$P52*BE$34-$Q52</f>
        <v/>
      </c>
      <c r="BF52" s="199">
        <f>$P52*BF$34-$Q52</f>
        <v/>
      </c>
      <c r="BH52" s="198">
        <f>$G52</f>
        <v/>
      </c>
      <c r="BI52" s="197">
        <f>$I52</f>
        <v/>
      </c>
      <c r="BJ52" s="197">
        <f>+BJ53</f>
        <v/>
      </c>
      <c r="BK52" s="197">
        <f>+BK53</f>
        <v/>
      </c>
      <c r="BL52" s="197">
        <f>+BL53</f>
        <v/>
      </c>
      <c r="BM52" s="197">
        <f>+BM53</f>
        <v/>
      </c>
      <c r="BN52" s="197">
        <f>+BN53</f>
        <v/>
      </c>
      <c r="BP52" s="198">
        <f>$G52</f>
        <v/>
      </c>
      <c r="BQ52" s="197">
        <f>$J52</f>
        <v/>
      </c>
      <c r="BR52" s="197">
        <f>+BR53</f>
        <v/>
      </c>
      <c r="BS52" s="197">
        <f>+BS53</f>
        <v/>
      </c>
      <c r="BT52" s="197">
        <f>+BT53</f>
        <v/>
      </c>
      <c r="BU52" s="197">
        <f>+BU53</f>
        <v/>
      </c>
      <c r="BV52" s="197">
        <f>+BV53</f>
        <v/>
      </c>
      <c r="BX52" s="198">
        <f>$G52</f>
        <v/>
      </c>
      <c r="BY52" s="197">
        <f>$K52</f>
        <v/>
      </c>
      <c r="BZ52" s="197">
        <f>+BZ53</f>
        <v/>
      </c>
      <c r="CA52" s="197">
        <f>+CA53</f>
        <v/>
      </c>
      <c r="CB52" s="197">
        <f>+CB53</f>
        <v/>
      </c>
      <c r="CC52" s="197">
        <f>+CC53</f>
        <v/>
      </c>
      <c r="CD52" s="197">
        <f>+CD53</f>
        <v/>
      </c>
      <c r="CF52" s="198">
        <f>$G52</f>
        <v/>
      </c>
      <c r="CG52" s="197">
        <f>$L52</f>
        <v/>
      </c>
      <c r="CH52" s="197">
        <f>+CH53</f>
        <v/>
      </c>
      <c r="CI52" s="197">
        <f>+CI53</f>
        <v/>
      </c>
      <c r="CJ52" s="197">
        <f>+CJ53</f>
        <v/>
      </c>
      <c r="CK52" s="197">
        <f>+CK53</f>
        <v/>
      </c>
      <c r="CL52" s="197">
        <f>+CL53</f>
        <v/>
      </c>
      <c r="CO52" s="199" t="n">
        <v>6.8</v>
      </c>
      <c r="CP52" s="970" t="n">
        <v>0.8835499999999999</v>
      </c>
    </row>
    <row r="53" ht="13.25" customHeight="1">
      <c r="B53" s="204">
        <f>+C53-1</f>
        <v/>
      </c>
      <c r="C53" s="204">
        <f>IF(bands_A!$D$9+1&gt;MONTH(G53),YEAR(G53),YEAR(G53)+1)</f>
        <v/>
      </c>
      <c r="D53" s="204">
        <f>+C53+1</f>
        <v/>
      </c>
      <c r="E53" s="203">
        <f>IF(C53&gt;C52,1,E52+1)</f>
        <v/>
      </c>
      <c r="F53" s="203">
        <f>COUNTIF(C:C,C53)</f>
        <v/>
      </c>
      <c r="G53" s="198">
        <f>+G54-7</f>
        <v/>
      </c>
      <c r="H53" s="205">
        <f>'bands_A-H_Avg'!$H53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v>6.8</v>
      </c>
      <c r="CP53" s="970" t="n">
        <v>0.8835499999999999</v>
      </c>
    </row>
    <row r="54" ht="13.25" customHeight="1">
      <c r="B54" s="204">
        <f>+C54-1</f>
        <v/>
      </c>
      <c r="C54" s="204">
        <f>IF(bands_A!$D$9+1&gt;MONTH(G54),YEAR(G54),YEAR(G54)+1)</f>
        <v/>
      </c>
      <c r="D54" s="204">
        <f>+C54+1</f>
        <v/>
      </c>
      <c r="E54" s="203">
        <f>IF(C54&gt;C53,1,E53+1)</f>
        <v/>
      </c>
      <c r="F54" s="203">
        <f>COUNTIF(C:C,C54)</f>
        <v/>
      </c>
      <c r="G54" s="198">
        <f>+G55-7</f>
        <v/>
      </c>
      <c r="H54" s="205">
        <f>'bands_A-H_Avg'!$H54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v>6.8</v>
      </c>
      <c r="CP54" s="970" t="n">
        <v>0.8835499999999999</v>
      </c>
    </row>
    <row r="55" ht="13.25" customHeight="1">
      <c r="B55" s="204">
        <f>+C55-1</f>
        <v/>
      </c>
      <c r="C55" s="204">
        <f>IF(bands_A!$D$9+1&gt;MONTH(G55),YEAR(G55),YEAR(G55)+1)</f>
        <v/>
      </c>
      <c r="D55" s="204">
        <f>+C55+1</f>
        <v/>
      </c>
      <c r="E55" s="203">
        <f>IF(C55&gt;C54,1,E54+1)</f>
        <v/>
      </c>
      <c r="F55" s="203">
        <f>COUNTIF(C:C,C55)</f>
        <v/>
      </c>
      <c r="G55" s="198">
        <f>+G56-7</f>
        <v/>
      </c>
      <c r="H55" s="205">
        <f>'bands_A-H_Avg'!$H55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v>6.8</v>
      </c>
      <c r="CP55" s="970" t="n">
        <v>0.8835499999999999</v>
      </c>
    </row>
    <row r="56" ht="13.25" customHeight="1">
      <c r="B56" s="204">
        <f>+C56-1</f>
        <v/>
      </c>
      <c r="C56" s="204">
        <f>IF(bands_A!$D$9+1&gt;MONTH(G56),YEAR(G56),YEAR(G56)+1)</f>
        <v/>
      </c>
      <c r="D56" s="204">
        <f>+C56+1</f>
        <v/>
      </c>
      <c r="E56" s="203">
        <f>IF(C56&gt;C55,1,E55+1)</f>
        <v/>
      </c>
      <c r="F56" s="203">
        <f>COUNTIF(C:C,C56)</f>
        <v/>
      </c>
      <c r="G56" s="198">
        <f>+G57-7</f>
        <v/>
      </c>
      <c r="H56" s="205">
        <f>'bands_A-H_Avg'!$H56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v>6.8</v>
      </c>
      <c r="CP56" s="970" t="n">
        <v>0.8835499999999999</v>
      </c>
    </row>
    <row r="57" ht="13.25" customHeight="1">
      <c r="B57" s="204">
        <f>+C57-1</f>
        <v/>
      </c>
      <c r="C57" s="204">
        <f>IF(bands_A!$D$9+1&gt;MONTH(G57),YEAR(G57),YEAR(G57)+1)</f>
        <v/>
      </c>
      <c r="D57" s="204">
        <f>+C57+1</f>
        <v/>
      </c>
      <c r="E57" s="203">
        <f>IF(C57&gt;C56,1,E56+1)</f>
        <v/>
      </c>
      <c r="F57" s="203">
        <f>COUNTIF(C:C,C57)</f>
        <v/>
      </c>
      <c r="G57" s="198">
        <f>+G58-7</f>
        <v/>
      </c>
      <c r="H57" s="205">
        <f>'bands_A-H_Avg'!$H57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v>6.8</v>
      </c>
      <c r="CP57" s="970" t="n">
        <v>0.8835499999999999</v>
      </c>
    </row>
    <row r="58" ht="13.25" customHeight="1">
      <c r="B58" s="204">
        <f>+C58-1</f>
        <v/>
      </c>
      <c r="C58" s="204">
        <f>IF(bands_A!$D$9+1&gt;MONTH(G58),YEAR(G58),YEAR(G58)+1)</f>
        <v/>
      </c>
      <c r="D58" s="204">
        <f>+C58+1</f>
        <v/>
      </c>
      <c r="E58" s="203">
        <f>IF(C58&gt;C57,1,E57+1)</f>
        <v/>
      </c>
      <c r="F58" s="203">
        <f>COUNTIF(C:C,C58)</f>
        <v/>
      </c>
      <c r="G58" s="198">
        <f>+G59-7</f>
        <v/>
      </c>
      <c r="H58" s="205">
        <f>'bands_A-H_Avg'!$H58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v>6.8</v>
      </c>
      <c r="CP58" s="970" t="n">
        <v>0.8835499999999999</v>
      </c>
    </row>
    <row r="59" ht="13.25" customHeight="1">
      <c r="B59" s="204">
        <f>+C59-1</f>
        <v/>
      </c>
      <c r="C59" s="204">
        <f>IF(bands_A!$D$9+1&gt;MONTH(G59),YEAR(G59),YEAR(G59)+1)</f>
        <v/>
      </c>
      <c r="D59" s="204">
        <f>+C59+1</f>
        <v/>
      </c>
      <c r="E59" s="203">
        <f>IF(C59&gt;C58,1,E58+1)</f>
        <v/>
      </c>
      <c r="F59" s="203">
        <f>COUNTIF(C:C,C59)</f>
        <v/>
      </c>
      <c r="G59" s="198">
        <f>+G60-7</f>
        <v/>
      </c>
      <c r="H59" s="205">
        <f>'bands_A-H_Avg'!$H59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v>6.8</v>
      </c>
      <c r="CP59" s="970" t="n">
        <v>0.8835499999999999</v>
      </c>
    </row>
    <row r="60" ht="13.25" customHeight="1">
      <c r="B60" s="204">
        <f>+C60-1</f>
        <v/>
      </c>
      <c r="C60" s="204">
        <f>IF(bands_A!$D$9+1&gt;MONTH(G60),YEAR(G60),YEAR(G60)+1)</f>
        <v/>
      </c>
      <c r="D60" s="204">
        <f>+C60+1</f>
        <v/>
      </c>
      <c r="E60" s="203">
        <f>IF(C60&gt;C59,1,E59+1)</f>
        <v/>
      </c>
      <c r="F60" s="203">
        <f>COUNTIF(C:C,C60)</f>
        <v/>
      </c>
      <c r="G60" s="198">
        <f>+G61-7</f>
        <v/>
      </c>
      <c r="H60" s="205">
        <f>'bands_A-H_Avg'!$H60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v>6.8</v>
      </c>
      <c r="CP60" s="970" t="n">
        <v>0.8835499999999999</v>
      </c>
    </row>
    <row r="61" ht="13.25" customHeight="1">
      <c r="B61" s="204">
        <f>+C61-1</f>
        <v/>
      </c>
      <c r="C61" s="204">
        <f>IF(bands_A!$D$9+1&gt;MONTH(G61),YEAR(G61),YEAR(G61)+1)</f>
        <v/>
      </c>
      <c r="D61" s="204">
        <f>+C61+1</f>
        <v/>
      </c>
      <c r="E61" s="203">
        <f>IF(C61&gt;C60,1,E60+1)</f>
        <v/>
      </c>
      <c r="F61" s="203">
        <f>COUNTIF(C:C,C61)</f>
        <v/>
      </c>
      <c r="G61" s="198">
        <f>+G62-7</f>
        <v/>
      </c>
      <c r="H61" s="205">
        <f>'bands_A-H_Avg'!$H61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v>6.8</v>
      </c>
      <c r="CP61" s="970" t="n">
        <v>0.8835499999999999</v>
      </c>
    </row>
    <row r="62" ht="13.25" customHeight="1">
      <c r="B62" s="204">
        <f>+C62-1</f>
        <v/>
      </c>
      <c r="C62" s="204">
        <f>IF(bands_A!$D$9+1&gt;MONTH(G62),YEAR(G62),YEAR(G62)+1)</f>
        <v/>
      </c>
      <c r="D62" s="204">
        <f>+C62+1</f>
        <v/>
      </c>
      <c r="E62" s="203">
        <f>IF(C62&gt;C61,1,E61+1)</f>
        <v/>
      </c>
      <c r="F62" s="203">
        <f>COUNTIF(C:C,C62)</f>
        <v/>
      </c>
      <c r="G62" s="198">
        <f>+G63-7</f>
        <v/>
      </c>
      <c r="H62" s="205">
        <f>'bands_A-H_Avg'!$H62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v>6.8</v>
      </c>
      <c r="CP62" s="970" t="n">
        <v>0.8835499999999999</v>
      </c>
    </row>
    <row r="63" ht="13.25" customHeight="1">
      <c r="B63" s="204">
        <f>+C63-1</f>
        <v/>
      </c>
      <c r="C63" s="204">
        <f>IF(bands_A!$D$9+1&gt;MONTH(G63),YEAR(G63),YEAR(G63)+1)</f>
        <v/>
      </c>
      <c r="D63" s="204">
        <f>+C63+1</f>
        <v/>
      </c>
      <c r="E63" s="203">
        <f>IF(C63&gt;C62,1,E62+1)</f>
        <v/>
      </c>
      <c r="F63" s="203">
        <f>COUNTIF(C:C,C63)</f>
        <v/>
      </c>
      <c r="G63" s="198">
        <f>+G64-7</f>
        <v/>
      </c>
      <c r="H63" s="205">
        <f>'bands_A-H_Avg'!$H63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v>6.8</v>
      </c>
      <c r="CP63" s="970" t="n">
        <v>0.8835499999999999</v>
      </c>
    </row>
    <row r="64" ht="13.25" customHeight="1">
      <c r="B64" s="204">
        <f>+C64-1</f>
        <v/>
      </c>
      <c r="C64" s="204">
        <f>IF(bands_A!$D$9+1&gt;MONTH(G64),YEAR(G64),YEAR(G64)+1)</f>
        <v/>
      </c>
      <c r="D64" s="204">
        <f>+C64+1</f>
        <v/>
      </c>
      <c r="E64" s="203">
        <f>IF(C64&gt;C63,1,E63+1)</f>
        <v/>
      </c>
      <c r="F64" s="203">
        <f>COUNTIF(C:C,C64)</f>
        <v/>
      </c>
      <c r="G64" s="198">
        <f>+G65-7</f>
        <v/>
      </c>
      <c r="H64" s="205">
        <f>'bands_A-H_Avg'!$H64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v>6.8</v>
      </c>
      <c r="CP64" s="970" t="n">
        <v>0.8835499999999999</v>
      </c>
    </row>
    <row r="65" ht="13.25" customHeight="1">
      <c r="B65" s="204">
        <f>+C65-1</f>
        <v/>
      </c>
      <c r="C65" s="204">
        <f>IF(bands_A!$D$9+1&gt;MONTH(G65),YEAR(G65),YEAR(G65)+1)</f>
        <v/>
      </c>
      <c r="D65" s="204">
        <f>+C65+1</f>
        <v/>
      </c>
      <c r="E65" s="203">
        <f>IF(C65&gt;C64,1,E64+1)</f>
        <v/>
      </c>
      <c r="F65" s="203">
        <f>COUNTIF(C:C,C65)</f>
        <v/>
      </c>
      <c r="G65" s="198">
        <f>+G66-7</f>
        <v/>
      </c>
      <c r="H65" s="205">
        <f>'bands_A-H_Avg'!$H65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v>6.8</v>
      </c>
      <c r="CP65" s="970" t="n">
        <v>0.8835499999999999</v>
      </c>
    </row>
    <row r="66" ht="13.25" customHeight="1">
      <c r="B66" s="204">
        <f>+C66-1</f>
        <v/>
      </c>
      <c r="C66" s="204">
        <f>IF(bands_A!$D$9+1&gt;MONTH(G66),YEAR(G66),YEAR(G66)+1)</f>
        <v/>
      </c>
      <c r="D66" s="204">
        <f>+C66+1</f>
        <v/>
      </c>
      <c r="E66" s="203">
        <f>IF(C66&gt;C65,1,E65+1)</f>
        <v/>
      </c>
      <c r="F66" s="203">
        <f>COUNTIF(C:C,C66)</f>
        <v/>
      </c>
      <c r="G66" s="198">
        <f>+G67-7</f>
        <v/>
      </c>
      <c r="H66" s="205">
        <f>'bands_A-H_Avg'!$H66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v>6.8</v>
      </c>
      <c r="CP66" s="970" t="n">
        <v>0.8835499999999999</v>
      </c>
    </row>
    <row r="67" ht="13.25" customHeight="1">
      <c r="B67" s="204">
        <f>+C67-1</f>
        <v/>
      </c>
      <c r="C67" s="204">
        <f>IF(bands_A!$D$9+1&gt;MONTH(G67),YEAR(G67),YEAR(G67)+1)</f>
        <v/>
      </c>
      <c r="D67" s="204">
        <f>+C67+1</f>
        <v/>
      </c>
      <c r="E67" s="203">
        <f>IF(C67&gt;C66,1,E66+1)</f>
        <v/>
      </c>
      <c r="F67" s="203">
        <f>COUNTIF(C:C,C67)</f>
        <v/>
      </c>
      <c r="G67" s="198">
        <f>+G68-7</f>
        <v/>
      </c>
      <c r="H67" s="205">
        <f>'bands_A-H_Avg'!$H67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v>6.8</v>
      </c>
      <c r="CP67" s="970" t="n">
        <v>0.8835499999999999</v>
      </c>
    </row>
    <row r="68" ht="13.25" customHeight="1">
      <c r="B68" s="204">
        <f>+C68-1</f>
        <v/>
      </c>
      <c r="C68" s="204">
        <f>IF(bands_A!$D$9+1&gt;MONTH(G68),YEAR(G68),YEAR(G68)+1)</f>
        <v/>
      </c>
      <c r="D68" s="204">
        <f>+C68+1</f>
        <v/>
      </c>
      <c r="E68" s="203">
        <f>IF(C68&gt;C67,1,E67+1)</f>
        <v/>
      </c>
      <c r="F68" s="203">
        <f>COUNTIF(C:C,C68)</f>
        <v/>
      </c>
      <c r="G68" s="198">
        <f>+G69-7</f>
        <v/>
      </c>
      <c r="H68" s="205">
        <f>'bands_A-H_Avg'!$H68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v>6.8</v>
      </c>
      <c r="CP68" s="970" t="n">
        <v>0.8835499999999999</v>
      </c>
    </row>
    <row r="69" ht="13.25" customHeight="1">
      <c r="B69" s="204">
        <f>+C69-1</f>
        <v/>
      </c>
      <c r="C69" s="204">
        <f>IF(bands_A!$D$9+1&gt;MONTH(G69),YEAR(G69),YEAR(G69)+1)</f>
        <v/>
      </c>
      <c r="D69" s="204">
        <f>+C69+1</f>
        <v/>
      </c>
      <c r="E69" s="203">
        <f>IF(C69&gt;C68,1,E68+1)</f>
        <v/>
      </c>
      <c r="F69" s="203">
        <f>COUNTIF(C:C,C69)</f>
        <v/>
      </c>
      <c r="G69" s="198">
        <f>+G70-7</f>
        <v/>
      </c>
      <c r="H69" s="205">
        <f>'bands_A-H_Avg'!$H69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v>6.8</v>
      </c>
      <c r="CP69" s="970" t="n">
        <v>0.8835499999999999</v>
      </c>
    </row>
    <row r="70" ht="13.25" customHeight="1">
      <c r="B70" s="204">
        <f>+C70-1</f>
        <v/>
      </c>
      <c r="C70" s="204">
        <f>IF(bands_A!$D$9+1&gt;MONTH(G70),YEAR(G70),YEAR(G70)+1)</f>
        <v/>
      </c>
      <c r="D70" s="204">
        <f>+C70+1</f>
        <v/>
      </c>
      <c r="E70" s="203">
        <f>IF(C70&gt;C69,1,E69+1)</f>
        <v/>
      </c>
      <c r="F70" s="203">
        <f>COUNTIF(C:C,C70)</f>
        <v/>
      </c>
      <c r="G70" s="198">
        <f>+G71-7</f>
        <v/>
      </c>
      <c r="H70" s="205">
        <f>'bands_A-H_Avg'!$H70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v>6.8</v>
      </c>
      <c r="CP70" s="970" t="n">
        <v>0.8835499999999999</v>
      </c>
    </row>
    <row r="71" ht="13.25" customHeight="1">
      <c r="B71" s="204">
        <f>+C71-1</f>
        <v/>
      </c>
      <c r="C71" s="204">
        <f>IF(bands_A!$D$9+1&gt;MONTH(G71),YEAR(G71),YEAR(G71)+1)</f>
        <v/>
      </c>
      <c r="D71" s="204">
        <f>+C71+1</f>
        <v/>
      </c>
      <c r="E71" s="203">
        <f>IF(C71&gt;C70,1,E70+1)</f>
        <v/>
      </c>
      <c r="F71" s="203">
        <f>COUNTIF(C:C,C71)</f>
        <v/>
      </c>
      <c r="G71" s="198">
        <f>+G72-7</f>
        <v/>
      </c>
      <c r="H71" s="205">
        <f>'bands_A-H_Avg'!$H71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v>6.8</v>
      </c>
      <c r="CP71" s="970" t="n">
        <v>0.8835499999999999</v>
      </c>
    </row>
    <row r="72" ht="13.25" customHeight="1">
      <c r="B72" s="204">
        <f>+C72-1</f>
        <v/>
      </c>
      <c r="C72" s="204">
        <f>IF(bands_A!$D$9+1&gt;MONTH(G72),YEAR(G72),YEAR(G72)+1)</f>
        <v/>
      </c>
      <c r="D72" s="204">
        <f>+C72+1</f>
        <v/>
      </c>
      <c r="E72" s="203">
        <f>IF(C72&gt;C71,1,E71+1)</f>
        <v/>
      </c>
      <c r="F72" s="203">
        <f>COUNTIF(C:C,C72)</f>
        <v/>
      </c>
      <c r="G72" s="198">
        <f>+G73-7</f>
        <v/>
      </c>
      <c r="H72" s="205">
        <f>'bands_A-H_Avg'!$H72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v>6.8</v>
      </c>
      <c r="CP72" s="970" t="n">
        <v>0.8835499999999999</v>
      </c>
    </row>
    <row r="73" ht="13.25" customHeight="1">
      <c r="B73" s="204">
        <f>+C73-1</f>
        <v/>
      </c>
      <c r="C73" s="204">
        <f>IF(bands_A!$D$9+1&gt;MONTH(G73),YEAR(G73),YEAR(G73)+1)</f>
        <v/>
      </c>
      <c r="D73" s="204">
        <f>+C73+1</f>
        <v/>
      </c>
      <c r="E73" s="203">
        <f>IF(C73&gt;C72,1,E72+1)</f>
        <v/>
      </c>
      <c r="F73" s="203">
        <f>COUNTIF(C:C,C73)</f>
        <v/>
      </c>
      <c r="G73" s="198">
        <f>+G74-7</f>
        <v/>
      </c>
      <c r="H73" s="205">
        <f>'bands_A-H_Avg'!$H73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v>6.8</v>
      </c>
      <c r="CP73" s="970" t="n">
        <v>0.8835499999999999</v>
      </c>
    </row>
    <row r="74" ht="13.25" customHeight="1">
      <c r="B74" s="204">
        <f>+C74-1</f>
        <v/>
      </c>
      <c r="C74" s="204">
        <f>IF(bands_A!$D$9+1&gt;MONTH(G74),YEAR(G74),YEAR(G74)+1)</f>
        <v/>
      </c>
      <c r="D74" s="204">
        <f>+C74+1</f>
        <v/>
      </c>
      <c r="E74" s="203">
        <f>IF(C74&gt;C73,1,E73+1)</f>
        <v/>
      </c>
      <c r="F74" s="203">
        <f>COUNTIF(C:C,C74)</f>
        <v/>
      </c>
      <c r="G74" s="198">
        <f>+G75-7</f>
        <v/>
      </c>
      <c r="H74" s="205">
        <f>'bands_A-H_Avg'!$H74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v>6.8</v>
      </c>
      <c r="CP74" s="970" t="n">
        <v>0.8835499999999999</v>
      </c>
    </row>
    <row r="75" ht="13.25" customHeight="1">
      <c r="B75" s="204">
        <f>+C75-1</f>
        <v/>
      </c>
      <c r="C75" s="204">
        <f>IF(bands_A!$D$9+1&gt;MONTH(G75),YEAR(G75),YEAR(G75)+1)</f>
        <v/>
      </c>
      <c r="D75" s="204">
        <f>+C75+1</f>
        <v/>
      </c>
      <c r="E75" s="203">
        <f>IF(C75&gt;C74,1,E74+1)</f>
        <v/>
      </c>
      <c r="F75" s="203">
        <f>COUNTIF(C:C,C75)</f>
        <v/>
      </c>
      <c r="G75" s="198">
        <f>+G76-7</f>
        <v/>
      </c>
      <c r="H75" s="205">
        <f>'bands_A-H_Avg'!$H75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v>6.8</v>
      </c>
      <c r="CP75" s="970" t="n">
        <v>0.8835499999999999</v>
      </c>
    </row>
    <row r="76" ht="13.25" customHeight="1">
      <c r="B76" s="204">
        <f>+C76-1</f>
        <v/>
      </c>
      <c r="C76" s="204">
        <f>IF(bands_A!$D$9+1&gt;MONTH(G76),YEAR(G76),YEAR(G76)+1)</f>
        <v/>
      </c>
      <c r="D76" s="204">
        <f>+C76+1</f>
        <v/>
      </c>
      <c r="E76" s="203">
        <f>IF(C76&gt;C75,1,E75+1)</f>
        <v/>
      </c>
      <c r="F76" s="203">
        <f>COUNTIF(C:C,C76)</f>
        <v/>
      </c>
      <c r="G76" s="198">
        <f>+G77-7</f>
        <v/>
      </c>
      <c r="H76" s="205">
        <f>'bands_A-H_Avg'!$H76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v>6.8</v>
      </c>
      <c r="CP76" s="970" t="n">
        <v>0.8835499999999999</v>
      </c>
    </row>
    <row r="77" ht="13.25" customHeight="1">
      <c r="B77" s="204">
        <f>+C77-1</f>
        <v/>
      </c>
      <c r="C77" s="204">
        <f>IF(bands_A!$D$9+1&gt;MONTH(G77),YEAR(G77),YEAR(G77)+1)</f>
        <v/>
      </c>
      <c r="D77" s="204">
        <f>+C77+1</f>
        <v/>
      </c>
      <c r="E77" s="203">
        <f>IF(C77&gt;C76,1,E76+1)</f>
        <v/>
      </c>
      <c r="F77" s="203">
        <f>COUNTIF(C:C,C77)</f>
        <v/>
      </c>
      <c r="G77" s="198">
        <f>+G78-7</f>
        <v/>
      </c>
      <c r="H77" s="205">
        <f>'bands_A-H_Avg'!$H77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v>6.8</v>
      </c>
      <c r="CP77" s="970" t="n">
        <v>0.8835499999999999</v>
      </c>
    </row>
    <row r="78" ht="13.25" customHeight="1">
      <c r="B78" s="204">
        <f>+C78-1</f>
        <v/>
      </c>
      <c r="C78" s="204">
        <f>IF(bands_A!$D$9+1&gt;MONTH(G78),YEAR(G78),YEAR(G78)+1)</f>
        <v/>
      </c>
      <c r="D78" s="204">
        <f>+C78+1</f>
        <v/>
      </c>
      <c r="E78" s="203">
        <f>IF(C78&gt;C77,1,E77+1)</f>
        <v/>
      </c>
      <c r="F78" s="203">
        <f>COUNTIF(C:C,C78)</f>
        <v/>
      </c>
      <c r="G78" s="198">
        <f>+G79-7</f>
        <v/>
      </c>
      <c r="H78" s="205">
        <f>'bands_A-H_Avg'!$H78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v>6.8</v>
      </c>
      <c r="CP78" s="970" t="n">
        <v>0.8835499999999999</v>
      </c>
    </row>
    <row r="79" ht="13.25" customHeight="1">
      <c r="B79" s="204">
        <f>+C79-1</f>
        <v/>
      </c>
      <c r="C79" s="204">
        <f>IF(bands_A!$D$9+1&gt;MONTH(G79),YEAR(G79),YEAR(G79)+1)</f>
        <v/>
      </c>
      <c r="D79" s="204">
        <f>+C79+1</f>
        <v/>
      </c>
      <c r="E79" s="203">
        <f>IF(C79&gt;C78,1,E78+1)</f>
        <v/>
      </c>
      <c r="F79" s="203">
        <f>COUNTIF(C:C,C79)</f>
        <v/>
      </c>
      <c r="G79" s="198">
        <f>+G80-7</f>
        <v/>
      </c>
      <c r="H79" s="205">
        <f>'bands_A-H_Avg'!$H79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v>6.8</v>
      </c>
      <c r="CP79" s="970" t="n">
        <v>0.8835499999999999</v>
      </c>
    </row>
    <row r="80" ht="13.25" customHeight="1">
      <c r="B80" s="204">
        <f>+C80-1</f>
        <v/>
      </c>
      <c r="C80" s="204">
        <f>IF(bands_A!$D$9+1&gt;MONTH(G80),YEAR(G80),YEAR(G80)+1)</f>
        <v/>
      </c>
      <c r="D80" s="204">
        <f>+C80+1</f>
        <v/>
      </c>
      <c r="E80" s="203">
        <f>IF(C80&gt;C79,1,E79+1)</f>
        <v/>
      </c>
      <c r="F80" s="203">
        <f>COUNTIF(C:C,C80)</f>
        <v/>
      </c>
      <c r="G80" s="198">
        <f>+G81-7</f>
        <v/>
      </c>
      <c r="H80" s="205">
        <f>'bands_A-H_Avg'!$H80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v>6.8</v>
      </c>
      <c r="CP80" s="970" t="n">
        <v>0.8835499999999999</v>
      </c>
    </row>
    <row r="81" ht="13.25" customHeight="1">
      <c r="B81" s="204">
        <f>+C81-1</f>
        <v/>
      </c>
      <c r="C81" s="204">
        <f>IF(bands_A!$D$9+1&gt;MONTH(G81),YEAR(G81),YEAR(G81)+1)</f>
        <v/>
      </c>
      <c r="D81" s="204">
        <f>+C81+1</f>
        <v/>
      </c>
      <c r="E81" s="203">
        <f>IF(C81&gt;C80,1,E80+1)</f>
        <v/>
      </c>
      <c r="F81" s="203">
        <f>COUNTIF(C:C,C81)</f>
        <v/>
      </c>
      <c r="G81" s="198">
        <f>+G82-7</f>
        <v/>
      </c>
      <c r="H81" s="205">
        <f>'bands_A-H_Avg'!$H81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v>6.8</v>
      </c>
      <c r="CP81" s="970" t="n">
        <v>0.8835499999999999</v>
      </c>
    </row>
    <row r="82">
      <c r="B82" s="204">
        <f>+C82-1</f>
        <v/>
      </c>
      <c r="C82" s="204">
        <f>IF(bands_A!$D$9+1&gt;MONTH(G82),YEAR(G82),YEAR(G82)+1)</f>
        <v/>
      </c>
      <c r="D82" s="204">
        <f>+C82+1</f>
        <v/>
      </c>
      <c r="E82" s="203">
        <f>IF(C82&gt;C81,1,E81+1)</f>
        <v/>
      </c>
      <c r="F82" s="203">
        <f>COUNTIF(C:C,C82)</f>
        <v/>
      </c>
      <c r="G82" s="198">
        <f>+G83-7</f>
        <v/>
      </c>
      <c r="H82" s="205">
        <f>'bands_A-H_Avg'!$H82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v>6.8</v>
      </c>
      <c r="CP82" s="970" t="n">
        <v>0.8835499999999999</v>
      </c>
    </row>
    <row r="83">
      <c r="B83" s="204">
        <f>+C83-1</f>
        <v/>
      </c>
      <c r="C83" s="204">
        <f>IF(bands_A!$D$9+1&gt;MONTH(G83),YEAR(G83),YEAR(G83)+1)</f>
        <v/>
      </c>
      <c r="D83" s="204">
        <f>+C83+1</f>
        <v/>
      </c>
      <c r="E83" s="203">
        <f>IF(C83&gt;C82,1,E82+1)</f>
        <v/>
      </c>
      <c r="F83" s="203">
        <f>COUNTIF(C:C,C83)</f>
        <v/>
      </c>
      <c r="G83" s="198">
        <f>+G84-7</f>
        <v/>
      </c>
      <c r="H83" s="205">
        <f>'bands_A-H_Avg'!$H83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v>6.8</v>
      </c>
      <c r="CP83" s="970" t="n">
        <v>0.8835499999999999</v>
      </c>
    </row>
    <row r="84">
      <c r="B84" s="204">
        <f>+C84-1</f>
        <v/>
      </c>
      <c r="C84" s="204">
        <f>IF(bands_A!$D$9+1&gt;MONTH(G84),YEAR(G84),YEAR(G84)+1)</f>
        <v/>
      </c>
      <c r="D84" s="204">
        <f>+C84+1</f>
        <v/>
      </c>
      <c r="E84" s="203">
        <f>IF(C84&gt;C83,1,E83+1)</f>
        <v/>
      </c>
      <c r="F84" s="203">
        <f>COUNTIF(C:C,C84)</f>
        <v/>
      </c>
      <c r="G84" s="198">
        <f>+G85-7</f>
        <v/>
      </c>
      <c r="H84" s="205">
        <f>'bands_A-H_Avg'!$H84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v>6.8</v>
      </c>
      <c r="CP84" s="970" t="n">
        <v>0.8835499999999999</v>
      </c>
    </row>
    <row r="85">
      <c r="B85" s="204">
        <f>+C85-1</f>
        <v/>
      </c>
      <c r="C85" s="204">
        <f>IF(bands_A!$D$9+1&gt;MONTH(G85),YEAR(G85),YEAR(G85)+1)</f>
        <v/>
      </c>
      <c r="D85" s="204">
        <f>+C85+1</f>
        <v/>
      </c>
      <c r="E85" s="203">
        <f>IF(C85&gt;C84,1,E84+1)</f>
        <v/>
      </c>
      <c r="F85" s="203">
        <f>COUNTIF(C:C,C85)</f>
        <v/>
      </c>
      <c r="G85" s="198">
        <f>+G86-7</f>
        <v/>
      </c>
      <c r="H85" s="205">
        <f>'bands_A-H_Avg'!$H85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v>6.8</v>
      </c>
      <c r="CP85" s="970" t="n">
        <v>0.8835499999999999</v>
      </c>
    </row>
    <row r="86">
      <c r="B86" s="204">
        <f>+C86-1</f>
        <v/>
      </c>
      <c r="C86" s="204">
        <f>IF(bands_A!$D$9+1&gt;MONTH(G86),YEAR(G86),YEAR(G86)+1)</f>
        <v/>
      </c>
      <c r="D86" s="204">
        <f>+C86+1</f>
        <v/>
      </c>
      <c r="E86" s="203">
        <f>IF(C86&gt;C85,1,E85+1)</f>
        <v/>
      </c>
      <c r="F86" s="203">
        <f>COUNTIF(C:C,C86)</f>
        <v/>
      </c>
      <c r="G86" s="198">
        <f>+G87-7</f>
        <v/>
      </c>
      <c r="H86" s="205">
        <f>'bands_A-H_Avg'!$H86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v>6.8</v>
      </c>
      <c r="CP86" s="970" t="n">
        <v>0.8835499999999999</v>
      </c>
    </row>
    <row r="87">
      <c r="B87" s="204">
        <f>+C87-1</f>
        <v/>
      </c>
      <c r="C87" s="204">
        <f>IF(bands_A!$D$9+1&gt;MONTH(G87),YEAR(G87),YEAR(G87)+1)</f>
        <v/>
      </c>
      <c r="D87" s="204">
        <f>+C87+1</f>
        <v/>
      </c>
      <c r="E87" s="203">
        <f>IF(C87&gt;C86,1,E86+1)</f>
        <v/>
      </c>
      <c r="F87" s="203">
        <f>COUNTIF(C:C,C87)</f>
        <v/>
      </c>
      <c r="G87" s="198">
        <f>+G88-7</f>
        <v/>
      </c>
      <c r="H87" s="205">
        <f>'bands_A-H_Avg'!$H87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v>6.8</v>
      </c>
      <c r="CP87" s="970" t="n">
        <v>0.8835499999999999</v>
      </c>
    </row>
    <row r="88">
      <c r="B88" s="204">
        <f>+C88-1</f>
        <v/>
      </c>
      <c r="C88" s="204">
        <f>IF(bands_A!$D$9+1&gt;MONTH(G88),YEAR(G88),YEAR(G88)+1)</f>
        <v/>
      </c>
      <c r="D88" s="204">
        <f>+C88+1</f>
        <v/>
      </c>
      <c r="E88" s="203">
        <f>IF(C88&gt;C87,1,E87+1)</f>
        <v/>
      </c>
      <c r="F88" s="203">
        <f>COUNTIF(C:C,C88)</f>
        <v/>
      </c>
      <c r="G88" s="198">
        <f>+G89-7</f>
        <v/>
      </c>
      <c r="H88" s="205">
        <f>'bands_A-H_Avg'!$H88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v>6.8</v>
      </c>
      <c r="CP88" s="970" t="n">
        <v>0.8835499999999999</v>
      </c>
    </row>
    <row r="89">
      <c r="B89" s="204">
        <f>+C89-1</f>
        <v/>
      </c>
      <c r="C89" s="204">
        <f>IF(bands_A!$D$9+1&gt;MONTH(G89),YEAR(G89),YEAR(G89)+1)</f>
        <v/>
      </c>
      <c r="D89" s="204">
        <f>+C89+1</f>
        <v/>
      </c>
      <c r="E89" s="203">
        <f>IF(C89&gt;C88,1,E88+1)</f>
        <v/>
      </c>
      <c r="F89" s="203">
        <f>COUNTIF(C:C,C89)</f>
        <v/>
      </c>
      <c r="G89" s="198" t="n">
        <v>38725</v>
      </c>
      <c r="H89" s="205">
        <f>'bands_A-H_Avg'!$H89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v>6.8</v>
      </c>
      <c r="CP89" s="970" t="n">
        <v>0.8835499999999999</v>
      </c>
    </row>
    <row r="90">
      <c r="B90" s="204">
        <f>+C90-1</f>
        <v/>
      </c>
      <c r="C90" s="204">
        <f>IF(bands_A!$D$9+1&gt;MONTH(G90),YEAR(G90),YEAR(G90)+1)</f>
        <v/>
      </c>
      <c r="D90" s="204">
        <f>+C90+1</f>
        <v/>
      </c>
      <c r="E90" s="203">
        <f>IF(C90&gt;C89,1,E89+1)</f>
        <v/>
      </c>
      <c r="F90" s="203">
        <f>COUNTIF(C:C,C90)</f>
        <v/>
      </c>
      <c r="G90" s="198">
        <f>+G89+7</f>
        <v/>
      </c>
      <c r="H90" s="205">
        <f>'bands_A-H_Avg'!$H90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v>6.8</v>
      </c>
      <c r="CP90" s="970" t="n">
        <v>0.8835499999999999</v>
      </c>
    </row>
    <row r="91">
      <c r="B91" s="204">
        <f>+C91-1</f>
        <v/>
      </c>
      <c r="C91" s="204">
        <f>IF(bands_A!$D$9+1&gt;MONTH(G91),YEAR(G91),YEAR(G91)+1)</f>
        <v/>
      </c>
      <c r="D91" s="204">
        <f>+C91+1</f>
        <v/>
      </c>
      <c r="E91" s="203">
        <f>IF(C91&gt;C90,1,E90+1)</f>
        <v/>
      </c>
      <c r="F91" s="203">
        <f>COUNTIF(C:C,C91)</f>
        <v/>
      </c>
      <c r="G91" s="198">
        <f>+G90+7</f>
        <v/>
      </c>
      <c r="H91" s="205">
        <f>'bands_A-H_Avg'!$H91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v>6.8</v>
      </c>
      <c r="CP91" s="970" t="n">
        <v>0.8835499999999999</v>
      </c>
    </row>
    <row r="92">
      <c r="B92" s="204">
        <f>+C92-1</f>
        <v/>
      </c>
      <c r="C92" s="204">
        <f>IF(bands_A!$D$9+1&gt;MONTH(G92),YEAR(G92),YEAR(G92)+1)</f>
        <v/>
      </c>
      <c r="D92" s="204">
        <f>+C92+1</f>
        <v/>
      </c>
      <c r="E92" s="203">
        <f>IF(C92&gt;C91,1,E91+1)</f>
        <v/>
      </c>
      <c r="F92" s="203">
        <f>COUNTIF(C:C,C92)</f>
        <v/>
      </c>
      <c r="G92" s="198">
        <f>+G91+7</f>
        <v/>
      </c>
      <c r="H92" s="205">
        <f>'bands_A-H_Avg'!$H92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v>6.8</v>
      </c>
      <c r="CP92" s="970" t="n">
        <v>0.8835499999999999</v>
      </c>
    </row>
    <row r="93">
      <c r="B93" s="204">
        <f>+C93-1</f>
        <v/>
      </c>
      <c r="C93" s="204">
        <f>IF(bands_A!$D$9+1&gt;MONTH(G93),YEAR(G93),YEAR(G93)+1)</f>
        <v/>
      </c>
      <c r="D93" s="204">
        <f>+C93+1</f>
        <v/>
      </c>
      <c r="E93" s="203">
        <f>IF(C93&gt;C92,1,E92+1)</f>
        <v/>
      </c>
      <c r="F93" s="203">
        <f>COUNTIF(C:C,C93)</f>
        <v/>
      </c>
      <c r="G93" s="198">
        <f>+G92+7</f>
        <v/>
      </c>
      <c r="H93" s="205">
        <f>'bands_A-H_Avg'!$H93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v>6.8</v>
      </c>
      <c r="CP93" s="970" t="n">
        <v>0.8835499999999999</v>
      </c>
    </row>
    <row r="94">
      <c r="B94" s="204">
        <f>+C94-1</f>
        <v/>
      </c>
      <c r="C94" s="204">
        <f>IF(bands_A!$D$9+1&gt;MONTH(G94),YEAR(G94),YEAR(G94)+1)</f>
        <v/>
      </c>
      <c r="D94" s="204">
        <f>+C94+1</f>
        <v/>
      </c>
      <c r="E94" s="203">
        <f>IF(C94&gt;C93,1,E93+1)</f>
        <v/>
      </c>
      <c r="F94" s="203">
        <f>COUNTIF(C:C,C94)</f>
        <v/>
      </c>
      <c r="G94" s="198">
        <f>+G93+7</f>
        <v/>
      </c>
      <c r="H94" s="205">
        <f>'bands_A-H_Avg'!$H94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v>6.8</v>
      </c>
      <c r="CP94" s="970" t="n">
        <v>0.8835499999999999</v>
      </c>
    </row>
    <row r="95">
      <c r="B95" s="204">
        <f>+C95-1</f>
        <v/>
      </c>
      <c r="C95" s="204">
        <f>IF(bands_A!$D$9+1&gt;MONTH(G95),YEAR(G95),YEAR(G95)+1)</f>
        <v/>
      </c>
      <c r="D95" s="204">
        <f>+C95+1</f>
        <v/>
      </c>
      <c r="E95" s="203">
        <f>IF(C95&gt;C94,1,E94+1)</f>
        <v/>
      </c>
      <c r="F95" s="203">
        <f>COUNTIF(C:C,C95)</f>
        <v/>
      </c>
      <c r="G95" s="198">
        <f>+G94+7</f>
        <v/>
      </c>
      <c r="H95" s="205">
        <f>'bands_A-H_Avg'!$H95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v>6.8</v>
      </c>
      <c r="CP95" s="970" t="n">
        <v>0.8835499999999999</v>
      </c>
    </row>
    <row r="96">
      <c r="B96" s="204">
        <f>+C96-1</f>
        <v/>
      </c>
      <c r="C96" s="204">
        <f>IF(bands_A!$D$9+1&gt;MONTH(G96),YEAR(G96),YEAR(G96)+1)</f>
        <v/>
      </c>
      <c r="D96" s="204">
        <f>+C96+1</f>
        <v/>
      </c>
      <c r="E96" s="203">
        <f>IF(C96&gt;C95,1,E95+1)</f>
        <v/>
      </c>
      <c r="F96" s="203">
        <f>COUNTIF(C:C,C96)</f>
        <v/>
      </c>
      <c r="G96" s="198">
        <f>+G95+7</f>
        <v/>
      </c>
      <c r="H96" s="205">
        <f>'bands_A-H_Avg'!$H96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v>6.8</v>
      </c>
      <c r="CP96" s="970" t="n">
        <v>0.8835499999999999</v>
      </c>
    </row>
    <row r="97">
      <c r="B97" s="204">
        <f>+C97-1</f>
        <v/>
      </c>
      <c r="C97" s="204">
        <f>IF(bands_A!$D$9+1&gt;MONTH(G97),YEAR(G97),YEAR(G97)+1)</f>
        <v/>
      </c>
      <c r="D97" s="204">
        <f>+C97+1</f>
        <v/>
      </c>
      <c r="E97" s="203">
        <f>IF(C97&gt;C96,1,E96+1)</f>
        <v/>
      </c>
      <c r="F97" s="203">
        <f>COUNTIF(C:C,C97)</f>
        <v/>
      </c>
      <c r="G97" s="198">
        <f>+G96+7</f>
        <v/>
      </c>
      <c r="H97" s="205">
        <f>'bands_A-H_Avg'!$H97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v>6.8</v>
      </c>
      <c r="CP97" s="970" t="n">
        <v>0.8835499999999999</v>
      </c>
    </row>
    <row r="98">
      <c r="B98" s="204">
        <f>+C98-1</f>
        <v/>
      </c>
      <c r="C98" s="204">
        <f>IF(bands_A!$D$9+1&gt;MONTH(G98),YEAR(G98),YEAR(G98)+1)</f>
        <v/>
      </c>
      <c r="D98" s="204">
        <f>+C98+1</f>
        <v/>
      </c>
      <c r="E98" s="203">
        <f>IF(C98&gt;C97,1,E97+1)</f>
        <v/>
      </c>
      <c r="F98" s="203">
        <f>COUNTIF(C:C,C98)</f>
        <v/>
      </c>
      <c r="G98" s="198">
        <f>+G97+7</f>
        <v/>
      </c>
      <c r="H98" s="205">
        <f>'bands_A-H_Avg'!$H98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v>6.8</v>
      </c>
      <c r="CP98" s="970" t="n">
        <v>0.8835499999999999</v>
      </c>
    </row>
    <row r="99">
      <c r="B99" s="204">
        <f>+C99-1</f>
        <v/>
      </c>
      <c r="C99" s="204">
        <f>IF(bands_A!$D$9+1&gt;MONTH(G99),YEAR(G99),YEAR(G99)+1)</f>
        <v/>
      </c>
      <c r="D99" s="204">
        <f>+C99+1</f>
        <v/>
      </c>
      <c r="E99" s="203">
        <f>IF(C99&gt;C98,1,E98+1)</f>
        <v/>
      </c>
      <c r="F99" s="203">
        <f>COUNTIF(C:C,C99)</f>
        <v/>
      </c>
      <c r="G99" s="198">
        <f>+G98+7</f>
        <v/>
      </c>
      <c r="H99" s="205">
        <f>'bands_A-H_Avg'!$H99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v>6.8</v>
      </c>
      <c r="CP99" s="970" t="n">
        <v>0.8835499999999999</v>
      </c>
    </row>
    <row r="100">
      <c r="B100" s="204">
        <f>+C100-1</f>
        <v/>
      </c>
      <c r="C100" s="204">
        <f>IF(bands_A!$D$9+1&gt;MONTH(G100),YEAR(G100),YEAR(G100)+1)</f>
        <v/>
      </c>
      <c r="D100" s="204">
        <f>+C100+1</f>
        <v/>
      </c>
      <c r="E100" s="203">
        <f>IF(C100&gt;C99,1,E99+1)</f>
        <v/>
      </c>
      <c r="F100" s="203">
        <f>COUNTIF(C:C,C100)</f>
        <v/>
      </c>
      <c r="G100" s="198">
        <f>+G99+7</f>
        <v/>
      </c>
      <c r="H100" s="205">
        <f>'bands_A-H_Avg'!$H100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v>6.8</v>
      </c>
      <c r="CP100" s="970" t="n">
        <v>0.8835499999999999</v>
      </c>
    </row>
    <row r="101">
      <c r="B101" s="204">
        <f>+C101-1</f>
        <v/>
      </c>
      <c r="C101" s="204">
        <f>IF(bands_A!$D$9+1&gt;MONTH(G101),YEAR(G101),YEAR(G101)+1)</f>
        <v/>
      </c>
      <c r="D101" s="204">
        <f>+C101+1</f>
        <v/>
      </c>
      <c r="E101" s="203">
        <f>IF(C101&gt;C100,1,E100+1)</f>
        <v/>
      </c>
      <c r="F101" s="203">
        <f>COUNTIF(C:C,C101)</f>
        <v/>
      </c>
      <c r="G101" s="198">
        <f>+G100+7</f>
        <v/>
      </c>
      <c r="H101" s="205">
        <f>'bands_A-H_Avg'!$H101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v>6.8</v>
      </c>
      <c r="CP101" s="970" t="n">
        <v>0.8835499999999999</v>
      </c>
    </row>
    <row r="102">
      <c r="B102" s="204">
        <f>+C102-1</f>
        <v/>
      </c>
      <c r="C102" s="204">
        <f>IF(bands_A!$D$9+1&gt;MONTH(G102),YEAR(G102),YEAR(G102)+1)</f>
        <v/>
      </c>
      <c r="D102" s="204">
        <f>+C102+1</f>
        <v/>
      </c>
      <c r="E102" s="203">
        <f>IF(C102&gt;C101,1,E101+1)</f>
        <v/>
      </c>
      <c r="F102" s="203">
        <f>COUNTIF(C:C,C102)</f>
        <v/>
      </c>
      <c r="G102" s="198">
        <f>+G101+7</f>
        <v/>
      </c>
      <c r="H102" s="205">
        <f>'bands_A-H_Avg'!$H102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v>6.8</v>
      </c>
      <c r="CP102" s="970" t="n">
        <v>0.8835499999999999</v>
      </c>
    </row>
    <row r="103">
      <c r="B103" s="204">
        <f>+C103-1</f>
        <v/>
      </c>
      <c r="C103" s="204">
        <f>IF(bands_A!$D$9+1&gt;MONTH(G103),YEAR(G103),YEAR(G103)+1)</f>
        <v/>
      </c>
      <c r="D103" s="204">
        <f>+C103+1</f>
        <v/>
      </c>
      <c r="E103" s="203">
        <f>IF(C103&gt;C102,1,E102+1)</f>
        <v/>
      </c>
      <c r="F103" s="203">
        <f>COUNTIF(C:C,C103)</f>
        <v/>
      </c>
      <c r="G103" s="198">
        <f>+G102+7</f>
        <v/>
      </c>
      <c r="H103" s="205">
        <f>'bands_A-H_Avg'!$H103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v>6.8</v>
      </c>
      <c r="CP103" s="970" t="n">
        <v>0.8835499999999999</v>
      </c>
    </row>
    <row r="104">
      <c r="B104" s="204">
        <f>+C104-1</f>
        <v/>
      </c>
      <c r="C104" s="204">
        <f>IF(bands_A!$D$9+1&gt;MONTH(G104),YEAR(G104),YEAR(G104)+1)</f>
        <v/>
      </c>
      <c r="D104" s="204">
        <f>+C104+1</f>
        <v/>
      </c>
      <c r="E104" s="203">
        <f>IF(C104&gt;C103,1,E103+1)</f>
        <v/>
      </c>
      <c r="F104" s="203">
        <f>COUNTIF(C:C,C104)</f>
        <v/>
      </c>
      <c r="G104" s="198">
        <f>+G103+7</f>
        <v/>
      </c>
      <c r="H104" s="205">
        <f>'bands_A-H_Avg'!$H104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v>6.8</v>
      </c>
      <c r="CP104" s="970" t="n">
        <v>0.8835499999999999</v>
      </c>
    </row>
    <row r="105">
      <c r="B105" s="204">
        <f>+C105-1</f>
        <v/>
      </c>
      <c r="C105" s="204">
        <f>IF(bands_A!$D$9+1&gt;MONTH(G105),YEAR(G105),YEAR(G105)+1)</f>
        <v/>
      </c>
      <c r="D105" s="204">
        <f>+C105+1</f>
        <v/>
      </c>
      <c r="E105" s="203">
        <f>IF(C105&gt;C104,1,E104+1)</f>
        <v/>
      </c>
      <c r="F105" s="203">
        <f>COUNTIF(C:C,C105)</f>
        <v/>
      </c>
      <c r="G105" s="198">
        <f>+G104+7</f>
        <v/>
      </c>
      <c r="H105" s="205">
        <f>'bands_A-H_Avg'!$H105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v>6.8</v>
      </c>
      <c r="CP105" s="970" t="n">
        <v>0.8835499999999999</v>
      </c>
    </row>
    <row r="106">
      <c r="B106" s="204">
        <f>+C106-1</f>
        <v/>
      </c>
      <c r="C106" s="204">
        <f>IF(bands_A!$D$9+1&gt;MONTH(G106),YEAR(G106),YEAR(G106)+1)</f>
        <v/>
      </c>
      <c r="D106" s="204">
        <f>+C106+1</f>
        <v/>
      </c>
      <c r="E106" s="203">
        <f>IF(C106&gt;C105,1,E105+1)</f>
        <v/>
      </c>
      <c r="F106" s="203">
        <f>COUNTIF(C:C,C106)</f>
        <v/>
      </c>
      <c r="G106" s="198">
        <f>+G105+7</f>
        <v/>
      </c>
      <c r="H106" s="205">
        <f>'bands_A-H_Avg'!$H106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v>6.8</v>
      </c>
      <c r="CP106" s="970" t="n">
        <v>0.8835499999999999</v>
      </c>
    </row>
    <row r="107">
      <c r="B107" s="204">
        <f>+C107-1</f>
        <v/>
      </c>
      <c r="C107" s="204">
        <f>IF(bands_A!$D$9+1&gt;MONTH(G107),YEAR(G107),YEAR(G107)+1)</f>
        <v/>
      </c>
      <c r="D107" s="204">
        <f>+C107+1</f>
        <v/>
      </c>
      <c r="E107" s="203">
        <f>IF(C107&gt;C106,1,E106+1)</f>
        <v/>
      </c>
      <c r="F107" s="203">
        <f>COUNTIF(C:C,C107)</f>
        <v/>
      </c>
      <c r="G107" s="198">
        <f>+G106+7</f>
        <v/>
      </c>
      <c r="H107" s="205">
        <f>'bands_A-H_Avg'!$H107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v>6.8</v>
      </c>
      <c r="CP107" s="970" t="n">
        <v>0.8835499999999999</v>
      </c>
    </row>
    <row r="108">
      <c r="B108" s="204">
        <f>+C108-1</f>
        <v/>
      </c>
      <c r="C108" s="204">
        <f>IF(bands_A!$D$9+1&gt;MONTH(G108),YEAR(G108),YEAR(G108)+1)</f>
        <v/>
      </c>
      <c r="D108" s="204">
        <f>+C108+1</f>
        <v/>
      </c>
      <c r="E108" s="203">
        <f>IF(C108&gt;C107,1,E107+1)</f>
        <v/>
      </c>
      <c r="F108" s="203">
        <f>COUNTIF(C:C,C108)</f>
        <v/>
      </c>
      <c r="G108" s="198">
        <f>+G107+7</f>
        <v/>
      </c>
      <c r="H108" s="205">
        <f>'bands_A-H_Avg'!$H108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v>6.8</v>
      </c>
      <c r="CP108" s="970" t="n">
        <v>0.8835499999999999</v>
      </c>
    </row>
    <row r="109">
      <c r="B109" s="204">
        <f>+C109-1</f>
        <v/>
      </c>
      <c r="C109" s="204">
        <f>IF(bands_A!$D$9+1&gt;MONTH(G109),YEAR(G109),YEAR(G109)+1)</f>
        <v/>
      </c>
      <c r="D109" s="204">
        <f>+C109+1</f>
        <v/>
      </c>
      <c r="E109" s="203">
        <f>IF(C109&gt;C108,1,E108+1)</f>
        <v/>
      </c>
      <c r="F109" s="203">
        <f>COUNTIF(C:C,C109)</f>
        <v/>
      </c>
      <c r="G109" s="198">
        <f>+G108+7</f>
        <v/>
      </c>
      <c r="H109" s="205">
        <f>'bands_A-H_Avg'!$H109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v>6.8</v>
      </c>
      <c r="CP109" s="970" t="n">
        <v>0.8835499999999999</v>
      </c>
    </row>
    <row r="110">
      <c r="B110" s="204">
        <f>+C110-1</f>
        <v/>
      </c>
      <c r="C110" s="204">
        <f>IF(bands_A!$D$9+1&gt;MONTH(G110),YEAR(G110),YEAR(G110)+1)</f>
        <v/>
      </c>
      <c r="D110" s="204">
        <f>+C110+1</f>
        <v/>
      </c>
      <c r="E110" s="203">
        <f>IF(C110&gt;C109,1,E109+1)</f>
        <v/>
      </c>
      <c r="F110" s="203">
        <f>COUNTIF(C:C,C110)</f>
        <v/>
      </c>
      <c r="G110" s="198">
        <f>+G109+7</f>
        <v/>
      </c>
      <c r="H110" s="205">
        <f>'bands_A-H_Avg'!$H110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v>6.8</v>
      </c>
      <c r="CP110" s="970" t="n">
        <v>0.8835499999999999</v>
      </c>
    </row>
    <row r="111">
      <c r="B111" s="204">
        <f>+C111-1</f>
        <v/>
      </c>
      <c r="C111" s="204">
        <f>IF(bands_A!$D$9+1&gt;MONTH(G111),YEAR(G111),YEAR(G111)+1)</f>
        <v/>
      </c>
      <c r="D111" s="204">
        <f>+C111+1</f>
        <v/>
      </c>
      <c r="E111" s="203">
        <f>IF(C111&gt;C110,1,E110+1)</f>
        <v/>
      </c>
      <c r="F111" s="203">
        <f>COUNTIF(C:C,C111)</f>
        <v/>
      </c>
      <c r="G111" s="198">
        <f>+G110+7</f>
        <v/>
      </c>
      <c r="H111" s="205">
        <f>'bands_A-H_Avg'!$H111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v>6.8</v>
      </c>
      <c r="CP111" s="970" t="n">
        <v>0.8835499999999999</v>
      </c>
    </row>
    <row r="112">
      <c r="B112" s="204">
        <f>+C112-1</f>
        <v/>
      </c>
      <c r="C112" s="204">
        <f>IF(bands_A!$D$9+1&gt;MONTH(G112),YEAR(G112),YEAR(G112)+1)</f>
        <v/>
      </c>
      <c r="D112" s="204">
        <f>+C112+1</f>
        <v/>
      </c>
      <c r="E112" s="203">
        <f>IF(C112&gt;C111,1,E111+1)</f>
        <v/>
      </c>
      <c r="F112" s="203">
        <f>COUNTIF(C:C,C112)</f>
        <v/>
      </c>
      <c r="G112" s="198">
        <f>+G111+7</f>
        <v/>
      </c>
      <c r="H112" s="205">
        <f>'bands_A-H_Avg'!$H112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v>6.8</v>
      </c>
      <c r="CP112" s="970" t="n">
        <v>0.8835499999999999</v>
      </c>
    </row>
    <row r="113">
      <c r="B113" s="204">
        <f>+C113-1</f>
        <v/>
      </c>
      <c r="C113" s="204">
        <f>IF(bands_A!$D$9+1&gt;MONTH(G113),YEAR(G113),YEAR(G113)+1)</f>
        <v/>
      </c>
      <c r="D113" s="204">
        <f>+C113+1</f>
        <v/>
      </c>
      <c r="E113" s="203">
        <f>IF(C113&gt;C112,1,E112+1)</f>
        <v/>
      </c>
      <c r="F113" s="203">
        <f>COUNTIF(C:C,C113)</f>
        <v/>
      </c>
      <c r="G113" s="198">
        <f>+G112+7</f>
        <v/>
      </c>
      <c r="H113" s="205">
        <f>'bands_A-H_Avg'!$H113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v>6.8</v>
      </c>
      <c r="CP113" s="970" t="n">
        <v>0.8835499999999999</v>
      </c>
    </row>
    <row r="114">
      <c r="B114" s="204">
        <f>+C114-1</f>
        <v/>
      </c>
      <c r="C114" s="204">
        <f>IF(bands_A!$D$9+1&gt;MONTH(G114),YEAR(G114),YEAR(G114)+1)</f>
        <v/>
      </c>
      <c r="D114" s="204">
        <f>+C114+1</f>
        <v/>
      </c>
      <c r="E114" s="203">
        <f>IF(C114&gt;C113,1,E113+1)</f>
        <v/>
      </c>
      <c r="F114" s="203">
        <f>COUNTIF(C:C,C114)</f>
        <v/>
      </c>
      <c r="G114" s="198">
        <f>+G113+7</f>
        <v/>
      </c>
      <c r="H114" s="205">
        <f>'bands_A-H_Avg'!$H114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v>6.8</v>
      </c>
      <c r="CP114" s="970" t="n">
        <v>0.8835499999999999</v>
      </c>
    </row>
    <row r="115">
      <c r="B115" s="204">
        <f>+C115-1</f>
        <v/>
      </c>
      <c r="C115" s="204">
        <f>IF(bands_A!$D$9+1&gt;MONTH(G115),YEAR(G115),YEAR(G115)+1)</f>
        <v/>
      </c>
      <c r="D115" s="204">
        <f>+C115+1</f>
        <v/>
      </c>
      <c r="E115" s="203">
        <f>IF(C115&gt;C114,1,E114+1)</f>
        <v/>
      </c>
      <c r="F115" s="203">
        <f>COUNTIF(C:C,C115)</f>
        <v/>
      </c>
      <c r="G115" s="198">
        <f>+G114+7</f>
        <v/>
      </c>
      <c r="H115" s="205">
        <f>'bands_A-H_Avg'!$H115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v>6.8</v>
      </c>
      <c r="CP115" s="970" t="n">
        <v>0.8835499999999999</v>
      </c>
    </row>
    <row r="116">
      <c r="B116" s="204">
        <f>+C116-1</f>
        <v/>
      </c>
      <c r="C116" s="204">
        <f>IF(bands_A!$D$9+1&gt;MONTH(G116),YEAR(G116),YEAR(G116)+1)</f>
        <v/>
      </c>
      <c r="D116" s="204">
        <f>+C116+1</f>
        <v/>
      </c>
      <c r="E116" s="203">
        <f>IF(C116&gt;C115,1,E115+1)</f>
        <v/>
      </c>
      <c r="F116" s="203">
        <f>COUNTIF(C:C,C116)</f>
        <v/>
      </c>
      <c r="G116" s="198">
        <f>+G115+7</f>
        <v/>
      </c>
      <c r="H116" s="205">
        <f>'bands_A-H_Avg'!$H116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v>6.8</v>
      </c>
      <c r="CP116" s="970" t="n">
        <v>0.8835499999999999</v>
      </c>
    </row>
    <row r="117">
      <c r="B117" s="204">
        <f>+C117-1</f>
        <v/>
      </c>
      <c r="C117" s="204">
        <f>IF(bands_A!$D$9+1&gt;MONTH(G117),YEAR(G117),YEAR(G117)+1)</f>
        <v/>
      </c>
      <c r="D117" s="204">
        <f>+C117+1</f>
        <v/>
      </c>
      <c r="E117" s="203">
        <f>IF(C117&gt;C116,1,E116+1)</f>
        <v/>
      </c>
      <c r="F117" s="203">
        <f>COUNTIF(C:C,C117)</f>
        <v/>
      </c>
      <c r="G117" s="198">
        <f>+G116+7</f>
        <v/>
      </c>
      <c r="H117" s="205">
        <f>'bands_A-H_Avg'!$H117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v>6.8</v>
      </c>
      <c r="CP117" s="970" t="n">
        <v>0.8835499999999999</v>
      </c>
    </row>
    <row r="118">
      <c r="B118" s="204">
        <f>+C118-1</f>
        <v/>
      </c>
      <c r="C118" s="204">
        <f>IF(bands_A!$D$9+1&gt;MONTH(G118),YEAR(G118),YEAR(G118)+1)</f>
        <v/>
      </c>
      <c r="D118" s="204">
        <f>+C118+1</f>
        <v/>
      </c>
      <c r="E118" s="203">
        <f>IF(C118&gt;C117,1,E117+1)</f>
        <v/>
      </c>
      <c r="F118" s="203">
        <f>COUNTIF(C:C,C118)</f>
        <v/>
      </c>
      <c r="G118" s="198">
        <f>+G117+7</f>
        <v/>
      </c>
      <c r="H118" s="205">
        <f>'bands_A-H_Avg'!$H118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v>6.8</v>
      </c>
      <c r="CP118" s="970" t="n">
        <v>0.8835499999999999</v>
      </c>
    </row>
    <row r="119">
      <c r="B119" s="204">
        <f>+C119-1</f>
        <v/>
      </c>
      <c r="C119" s="204">
        <f>IF(bands_A!$D$9+1&gt;MONTH(G119),YEAR(G119),YEAR(G119)+1)</f>
        <v/>
      </c>
      <c r="D119" s="204">
        <f>+C119+1</f>
        <v/>
      </c>
      <c r="E119" s="203">
        <f>IF(C119&gt;C118,1,E118+1)</f>
        <v/>
      </c>
      <c r="F119" s="203">
        <f>COUNTIF(C:C,C119)</f>
        <v/>
      </c>
      <c r="G119" s="198">
        <f>+G118+7</f>
        <v/>
      </c>
      <c r="H119" s="205">
        <f>'bands_A-H_Avg'!$H119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v>6.8</v>
      </c>
      <c r="CP119" s="970" t="n">
        <v>0.8835499999999999</v>
      </c>
    </row>
    <row r="120">
      <c r="B120" s="204">
        <f>+C120-1</f>
        <v/>
      </c>
      <c r="C120" s="204">
        <f>IF(bands_A!$D$9+1&gt;MONTH(G120),YEAR(G120),YEAR(G120)+1)</f>
        <v/>
      </c>
      <c r="D120" s="204">
        <f>+C120+1</f>
        <v/>
      </c>
      <c r="E120" s="203">
        <f>IF(C120&gt;C119,1,E119+1)</f>
        <v/>
      </c>
      <c r="F120" s="203">
        <f>COUNTIF(C:C,C120)</f>
        <v/>
      </c>
      <c r="G120" s="198">
        <f>+G119+7</f>
        <v/>
      </c>
      <c r="H120" s="205">
        <f>'bands_A-H_Avg'!$H120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v>6.8</v>
      </c>
      <c r="CP120" s="970" t="n">
        <v>0.8835499999999999</v>
      </c>
    </row>
    <row r="121">
      <c r="B121" s="204">
        <f>+C121-1</f>
        <v/>
      </c>
      <c r="C121" s="204">
        <f>IF(bands_A!$D$9+1&gt;MONTH(G121),YEAR(G121),YEAR(G121)+1)</f>
        <v/>
      </c>
      <c r="D121" s="204">
        <f>+C121+1</f>
        <v/>
      </c>
      <c r="E121" s="203">
        <f>IF(C121&gt;C120,1,E120+1)</f>
        <v/>
      </c>
      <c r="F121" s="203">
        <f>COUNTIF(C:C,C121)</f>
        <v/>
      </c>
      <c r="G121" s="198">
        <f>+G120+7</f>
        <v/>
      </c>
      <c r="H121" s="205">
        <f>'bands_A-H_Avg'!$H121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v>6.8</v>
      </c>
      <c r="CP121" s="970" t="n">
        <v>0.8835499999999999</v>
      </c>
    </row>
    <row r="122">
      <c r="B122" s="204">
        <f>+C122-1</f>
        <v/>
      </c>
      <c r="C122" s="204">
        <f>IF(bands_A!$D$9+1&gt;MONTH(G122),YEAR(G122),YEAR(G122)+1)</f>
        <v/>
      </c>
      <c r="D122" s="204">
        <f>+C122+1</f>
        <v/>
      </c>
      <c r="E122" s="203">
        <f>IF(C122&gt;C121,1,E121+1)</f>
        <v/>
      </c>
      <c r="F122" s="203">
        <f>COUNTIF(C:C,C122)</f>
        <v/>
      </c>
      <c r="G122" s="198">
        <f>+G121+7</f>
        <v/>
      </c>
      <c r="H122" s="205">
        <f>'bands_A-H_Avg'!$H122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v>6.8</v>
      </c>
      <c r="CP122" s="970" t="n">
        <v>0.8835499999999999</v>
      </c>
    </row>
    <row r="123">
      <c r="B123" s="204">
        <f>+C123-1</f>
        <v/>
      </c>
      <c r="C123" s="204">
        <f>IF(bands_A!$D$9+1&gt;MONTH(G123),YEAR(G123),YEAR(G123)+1)</f>
        <v/>
      </c>
      <c r="D123" s="204">
        <f>+C123+1</f>
        <v/>
      </c>
      <c r="E123" s="203">
        <f>IF(C123&gt;C122,1,E122+1)</f>
        <v/>
      </c>
      <c r="F123" s="203">
        <f>COUNTIF(C:C,C123)</f>
        <v/>
      </c>
      <c r="G123" s="198">
        <f>+G122+7</f>
        <v/>
      </c>
      <c r="H123" s="205">
        <f>'bands_A-H_Avg'!$H123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v>6.8</v>
      </c>
      <c r="CP123" s="970" t="n">
        <v>0.8835499999999999</v>
      </c>
    </row>
    <row r="124">
      <c r="B124" s="204">
        <f>+C124-1</f>
        <v/>
      </c>
      <c r="C124" s="204">
        <f>IF(bands_A!$D$9+1&gt;MONTH(G124),YEAR(G124),YEAR(G124)+1)</f>
        <v/>
      </c>
      <c r="D124" s="204">
        <f>+C124+1</f>
        <v/>
      </c>
      <c r="E124" s="203">
        <f>IF(C124&gt;C123,1,E123+1)</f>
        <v/>
      </c>
      <c r="F124" s="203">
        <f>COUNTIF(C:C,C124)</f>
        <v/>
      </c>
      <c r="G124" s="198">
        <f>+G123+7</f>
        <v/>
      </c>
      <c r="H124" s="205">
        <f>'bands_A-H_Avg'!$H124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v>6.8</v>
      </c>
      <c r="CP124" s="970" t="n">
        <v>0.8835499999999999</v>
      </c>
    </row>
    <row r="125">
      <c r="B125" s="204">
        <f>+C125-1</f>
        <v/>
      </c>
      <c r="C125" s="204">
        <f>IF(bands_A!$D$9+1&gt;MONTH(G125),YEAR(G125),YEAR(G125)+1)</f>
        <v/>
      </c>
      <c r="D125" s="204">
        <f>+C125+1</f>
        <v/>
      </c>
      <c r="E125" s="203">
        <f>IF(C125&gt;C124,1,E124+1)</f>
        <v/>
      </c>
      <c r="F125" s="203">
        <f>COUNTIF(C:C,C125)</f>
        <v/>
      </c>
      <c r="G125" s="198">
        <f>+G124+7</f>
        <v/>
      </c>
      <c r="H125" s="205">
        <f>'bands_A-H_Avg'!$H125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v>6.8</v>
      </c>
      <c r="CP125" s="970" t="n">
        <v>0.8835499999999999</v>
      </c>
    </row>
    <row r="126">
      <c r="B126" s="204">
        <f>+C126-1</f>
        <v/>
      </c>
      <c r="C126" s="204">
        <f>IF(bands_A!$D$9+1&gt;MONTH(G126),YEAR(G126),YEAR(G126)+1)</f>
        <v/>
      </c>
      <c r="D126" s="204">
        <f>+C126+1</f>
        <v/>
      </c>
      <c r="E126" s="203">
        <f>IF(C126&gt;C125,1,E125+1)</f>
        <v/>
      </c>
      <c r="F126" s="203">
        <f>COUNTIF(C:C,C126)</f>
        <v/>
      </c>
      <c r="G126" s="198">
        <f>+G125+7</f>
        <v/>
      </c>
      <c r="H126" s="205">
        <f>'bands_A-H_Avg'!$H126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v>6.8</v>
      </c>
      <c r="CP126" s="970" t="n">
        <v>0.8835499999999999</v>
      </c>
    </row>
    <row r="127">
      <c r="B127" s="204">
        <f>+C127-1</f>
        <v/>
      </c>
      <c r="C127" s="204">
        <f>IF(bands_A!$D$9+1&gt;MONTH(G127),YEAR(G127),YEAR(G127)+1)</f>
        <v/>
      </c>
      <c r="D127" s="204">
        <f>+C127+1</f>
        <v/>
      </c>
      <c r="E127" s="203">
        <f>IF(C127&gt;C126,1,E126+1)</f>
        <v/>
      </c>
      <c r="F127" s="203">
        <f>COUNTIF(C:C,C127)</f>
        <v/>
      </c>
      <c r="G127" s="198">
        <f>+G126+7</f>
        <v/>
      </c>
      <c r="H127" s="205">
        <f>'bands_A-H_Avg'!$H127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v>6.8</v>
      </c>
      <c r="CP127" s="970" t="n">
        <v>0.8835499999999999</v>
      </c>
    </row>
    <row r="128">
      <c r="B128" s="204">
        <f>+C128-1</f>
        <v/>
      </c>
      <c r="C128" s="204">
        <f>IF(bands_A!$D$9+1&gt;MONTH(G128),YEAR(G128),YEAR(G128)+1)</f>
        <v/>
      </c>
      <c r="D128" s="204">
        <f>+C128+1</f>
        <v/>
      </c>
      <c r="E128" s="203">
        <f>IF(C128&gt;C127,1,E127+1)</f>
        <v/>
      </c>
      <c r="F128" s="203">
        <f>COUNTIF(C:C,C128)</f>
        <v/>
      </c>
      <c r="G128" s="198">
        <f>+G127+7</f>
        <v/>
      </c>
      <c r="H128" s="205">
        <f>'bands_A-H_Avg'!$H128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v>6.8</v>
      </c>
      <c r="CP128" s="970" t="n">
        <v>0.8835499999999999</v>
      </c>
    </row>
    <row r="129">
      <c r="B129" s="204">
        <f>+C129-1</f>
        <v/>
      </c>
      <c r="C129" s="204">
        <f>IF(bands_A!$D$9+1&gt;MONTH(G129),YEAR(G129),YEAR(G129)+1)</f>
        <v/>
      </c>
      <c r="D129" s="204">
        <f>+C129+1</f>
        <v/>
      </c>
      <c r="E129" s="203">
        <f>IF(C129&gt;C128,1,E128+1)</f>
        <v/>
      </c>
      <c r="F129" s="203">
        <f>COUNTIF(C:C,C129)</f>
        <v/>
      </c>
      <c r="G129" s="198">
        <f>+G128+7</f>
        <v/>
      </c>
      <c r="H129" s="205">
        <f>'bands_A-H_Avg'!$H129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v>6.8</v>
      </c>
      <c r="CP129" s="970" t="n">
        <v>0.8835499999999999</v>
      </c>
    </row>
    <row r="130">
      <c r="B130" s="204">
        <f>+C130-1</f>
        <v/>
      </c>
      <c r="C130" s="204">
        <f>IF(bands_A!$D$9+1&gt;MONTH(G130),YEAR(G130),YEAR(G130)+1)</f>
        <v/>
      </c>
      <c r="D130" s="204">
        <f>+C130+1</f>
        <v/>
      </c>
      <c r="E130" s="203">
        <f>IF(C130&gt;C129,1,E129+1)</f>
        <v/>
      </c>
      <c r="F130" s="203">
        <f>COUNTIF(C:C,C130)</f>
        <v/>
      </c>
      <c r="G130" s="198">
        <f>+G129+7</f>
        <v/>
      </c>
      <c r="H130" s="205">
        <f>'bands_A-H_Avg'!$H130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v>6.8</v>
      </c>
      <c r="CP130" s="970" t="n">
        <v>0.8835499999999999</v>
      </c>
    </row>
    <row r="131">
      <c r="B131" s="204">
        <f>+C131-1</f>
        <v/>
      </c>
      <c r="C131" s="204">
        <f>IF(bands_A!$D$9+1&gt;MONTH(G131),YEAR(G131),YEAR(G131)+1)</f>
        <v/>
      </c>
      <c r="D131" s="204">
        <f>+C131+1</f>
        <v/>
      </c>
      <c r="E131" s="203">
        <f>IF(C131&gt;C130,1,E130+1)</f>
        <v/>
      </c>
      <c r="F131" s="203">
        <f>COUNTIF(C:C,C131)</f>
        <v/>
      </c>
      <c r="G131" s="198">
        <f>+G130+7</f>
        <v/>
      </c>
      <c r="H131" s="205">
        <f>'bands_A-H_Avg'!$H131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v>6.8</v>
      </c>
      <c r="CP131" s="970" t="n">
        <v>0.8835499999999999</v>
      </c>
    </row>
    <row r="132">
      <c r="B132" s="204">
        <f>+C132-1</f>
        <v/>
      </c>
      <c r="C132" s="204">
        <f>IF(bands_A!$D$9+1&gt;MONTH(G132),YEAR(G132),YEAR(G132)+1)</f>
        <v/>
      </c>
      <c r="D132" s="204">
        <f>+C132+1</f>
        <v/>
      </c>
      <c r="E132" s="203">
        <f>IF(C132&gt;C131,1,E131+1)</f>
        <v/>
      </c>
      <c r="F132" s="203">
        <f>COUNTIF(C:C,C132)</f>
        <v/>
      </c>
      <c r="G132" s="198">
        <f>+G131+7</f>
        <v/>
      </c>
      <c r="H132" s="205">
        <f>'bands_A-H_Avg'!$H132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v>6.8</v>
      </c>
      <c r="CP132" s="970" t="n">
        <v>0.8835499999999999</v>
      </c>
    </row>
    <row r="133">
      <c r="B133" s="204">
        <f>+C133-1</f>
        <v/>
      </c>
      <c r="C133" s="204">
        <f>IF(bands_A!$D$9+1&gt;MONTH(G133),YEAR(G133),YEAR(G133)+1)</f>
        <v/>
      </c>
      <c r="D133" s="204">
        <f>+C133+1</f>
        <v/>
      </c>
      <c r="E133" s="203">
        <f>IF(C133&gt;C132,1,E132+1)</f>
        <v/>
      </c>
      <c r="F133" s="203">
        <f>COUNTIF(C:C,C133)</f>
        <v/>
      </c>
      <c r="G133" s="198">
        <f>+G132+7</f>
        <v/>
      </c>
      <c r="H133" s="205">
        <f>'bands_A-H_Avg'!$H133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v>6.8</v>
      </c>
      <c r="CP133" s="970" t="n">
        <v>0.8835499999999999</v>
      </c>
    </row>
    <row r="134">
      <c r="B134" s="204">
        <f>+C134-1</f>
        <v/>
      </c>
      <c r="C134" s="204">
        <f>IF(bands_A!$D$9+1&gt;MONTH(G134),YEAR(G134),YEAR(G134)+1)</f>
        <v/>
      </c>
      <c r="D134" s="204">
        <f>+C134+1</f>
        <v/>
      </c>
      <c r="E134" s="203">
        <f>IF(C134&gt;C133,1,E133+1)</f>
        <v/>
      </c>
      <c r="F134" s="203">
        <f>COUNTIF(C:C,C134)</f>
        <v/>
      </c>
      <c r="G134" s="198">
        <f>+G133+7</f>
        <v/>
      </c>
      <c r="H134" s="205">
        <f>'bands_A-H_Avg'!$H134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v>6.8</v>
      </c>
      <c r="CP134" s="970" t="n">
        <v>0.8835499999999999</v>
      </c>
    </row>
    <row r="135">
      <c r="B135" s="204">
        <f>+C135-1</f>
        <v/>
      </c>
      <c r="C135" s="204">
        <f>IF(bands_A!$D$9+1&gt;MONTH(G135),YEAR(G135),YEAR(G135)+1)</f>
        <v/>
      </c>
      <c r="D135" s="204">
        <f>+C135+1</f>
        <v/>
      </c>
      <c r="E135" s="203">
        <f>IF(C135&gt;C134,1,E134+1)</f>
        <v/>
      </c>
      <c r="F135" s="203">
        <f>COUNTIF(C:C,C135)</f>
        <v/>
      </c>
      <c r="G135" s="198">
        <f>+G134+7</f>
        <v/>
      </c>
      <c r="H135" s="205">
        <f>'bands_A-H_Avg'!$H135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v>6.8</v>
      </c>
      <c r="CP135" s="970" t="n">
        <v>0.8835499999999999</v>
      </c>
    </row>
    <row r="136">
      <c r="B136" s="204">
        <f>+C136-1</f>
        <v/>
      </c>
      <c r="C136" s="204">
        <f>IF(bands_A!$D$9+1&gt;MONTH(G136),YEAR(G136),YEAR(G136)+1)</f>
        <v/>
      </c>
      <c r="D136" s="204">
        <f>+C136+1</f>
        <v/>
      </c>
      <c r="E136" s="203">
        <f>IF(C136&gt;C135,1,E135+1)</f>
        <v/>
      </c>
      <c r="F136" s="203">
        <f>COUNTIF(C:C,C136)</f>
        <v/>
      </c>
      <c r="G136" s="198">
        <f>+G135+7</f>
        <v/>
      </c>
      <c r="H136" s="205">
        <f>'bands_A-H_Avg'!$H136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v>6.8</v>
      </c>
      <c r="CP136" s="970" t="n">
        <v>0.8835499999999999</v>
      </c>
    </row>
    <row r="137">
      <c r="B137" s="204">
        <f>+C137-1</f>
        <v/>
      </c>
      <c r="C137" s="204">
        <f>IF(bands_A!$D$9+1&gt;MONTH(G137),YEAR(G137),YEAR(G137)+1)</f>
        <v/>
      </c>
      <c r="D137" s="204">
        <f>+C137+1</f>
        <v/>
      </c>
      <c r="E137" s="203">
        <f>IF(C137&gt;C136,1,E136+1)</f>
        <v/>
      </c>
      <c r="F137" s="203">
        <f>COUNTIF(C:C,C137)</f>
        <v/>
      </c>
      <c r="G137" s="198">
        <f>+G136+7</f>
        <v/>
      </c>
      <c r="H137" s="205">
        <f>'bands_A-H_Avg'!$H137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v>6.8</v>
      </c>
      <c r="CP137" s="970" t="n">
        <v>0.8835499999999999</v>
      </c>
    </row>
    <row r="138">
      <c r="B138" s="204">
        <f>+C138-1</f>
        <v/>
      </c>
      <c r="C138" s="204">
        <f>IF(bands_A!$D$9+1&gt;MONTH(G138),YEAR(G138),YEAR(G138)+1)</f>
        <v/>
      </c>
      <c r="D138" s="204">
        <f>+C138+1</f>
        <v/>
      </c>
      <c r="E138" s="203">
        <f>IF(C138&gt;C137,1,E137+1)</f>
        <v/>
      </c>
      <c r="F138" s="203">
        <f>COUNTIF(C:C,C138)</f>
        <v/>
      </c>
      <c r="G138" s="198">
        <f>+G137+7</f>
        <v/>
      </c>
      <c r="H138" s="205">
        <f>'bands_A-H_Avg'!$H138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v>6.8</v>
      </c>
      <c r="CP138" s="970" t="n">
        <v>0.8835499999999999</v>
      </c>
    </row>
    <row r="139">
      <c r="B139" s="204">
        <f>+C139-1</f>
        <v/>
      </c>
      <c r="C139" s="204">
        <f>IF(bands_A!$D$9+1&gt;MONTH(G139),YEAR(G139),YEAR(G139)+1)</f>
        <v/>
      </c>
      <c r="D139" s="204">
        <f>+C139+1</f>
        <v/>
      </c>
      <c r="E139" s="203">
        <f>IF(C139&gt;C138,1,E138+1)</f>
        <v/>
      </c>
      <c r="F139" s="203">
        <f>COUNTIF(C:C,C139)</f>
        <v/>
      </c>
      <c r="G139" s="198">
        <f>+G138+7</f>
        <v/>
      </c>
      <c r="H139" s="205">
        <f>'bands_A-H_Avg'!$H139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v>6.8</v>
      </c>
      <c r="CP139" s="970" t="n">
        <v>0.8835499999999999</v>
      </c>
    </row>
    <row r="140">
      <c r="B140" s="204">
        <f>+C140-1</f>
        <v/>
      </c>
      <c r="C140" s="204">
        <f>IF(bands_A!$D$9+1&gt;MONTH(G140),YEAR(G140),YEAR(G140)+1)</f>
        <v/>
      </c>
      <c r="D140" s="204">
        <f>+C140+1</f>
        <v/>
      </c>
      <c r="E140" s="203">
        <f>IF(C140&gt;C139,1,E139+1)</f>
        <v/>
      </c>
      <c r="F140" s="203">
        <f>COUNTIF(C:C,C140)</f>
        <v/>
      </c>
      <c r="G140" s="198">
        <f>+G139+7</f>
        <v/>
      </c>
      <c r="H140" s="205">
        <f>'bands_A-H_Avg'!$H140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v>6.8</v>
      </c>
      <c r="CP140" s="970" t="n">
        <v>0.8835499999999999</v>
      </c>
    </row>
    <row r="141">
      <c r="B141" s="204">
        <f>+C141-1</f>
        <v/>
      </c>
      <c r="C141" s="204">
        <f>IF(bands_A!$D$9+1&gt;MONTH(G141),YEAR(G141),YEAR(G141)+1)</f>
        <v/>
      </c>
      <c r="D141" s="204">
        <f>+C141+1</f>
        <v/>
      </c>
      <c r="E141" s="203">
        <f>IF(C141&gt;C140,1,E140+1)</f>
        <v/>
      </c>
      <c r="F141" s="203">
        <f>COUNTIF(C:C,C141)</f>
        <v/>
      </c>
      <c r="G141" s="198">
        <f>+G140+7</f>
        <v/>
      </c>
      <c r="H141" s="205">
        <f>'bands_A-H_Avg'!$H141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v>6.8</v>
      </c>
      <c r="CP141" s="970" t="n">
        <v>0.8835499999999999</v>
      </c>
    </row>
    <row r="142">
      <c r="B142" s="204">
        <f>+C142-1</f>
        <v/>
      </c>
      <c r="C142" s="204">
        <f>IF(bands_A!$D$9+1&gt;MONTH(G142),YEAR(G142),YEAR(G142)+1)</f>
        <v/>
      </c>
      <c r="D142" s="204">
        <f>+C142+1</f>
        <v/>
      </c>
      <c r="E142" s="203">
        <f>IF(C142&gt;C141,1,E141+1)</f>
        <v/>
      </c>
      <c r="F142" s="203">
        <f>COUNTIF(C:C,C142)</f>
        <v/>
      </c>
      <c r="G142" s="198">
        <f>+G141+7</f>
        <v/>
      </c>
      <c r="H142" s="205">
        <f>'bands_A-H_Avg'!$H142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v>6.8</v>
      </c>
      <c r="CP142" s="970" t="n">
        <v>0.8835499999999999</v>
      </c>
    </row>
    <row r="143">
      <c r="B143" s="204">
        <f>+C143-1</f>
        <v/>
      </c>
      <c r="C143" s="204">
        <f>IF(bands_A!$D$9+1&gt;MONTH(G143),YEAR(G143),YEAR(G143)+1)</f>
        <v/>
      </c>
      <c r="D143" s="204">
        <f>+C143+1</f>
        <v/>
      </c>
      <c r="E143" s="203">
        <f>IF(C143&gt;C142,1,E142+1)</f>
        <v/>
      </c>
      <c r="F143" s="203">
        <f>COUNTIF(C:C,C143)</f>
        <v/>
      </c>
      <c r="G143" s="198">
        <f>+G142+7</f>
        <v/>
      </c>
      <c r="H143" s="205">
        <f>'bands_A-H_Avg'!$H143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v>6.8</v>
      </c>
      <c r="CP143" s="970" t="n">
        <v>0.8835499999999999</v>
      </c>
    </row>
    <row r="144">
      <c r="B144" s="204">
        <f>+C144-1</f>
        <v/>
      </c>
      <c r="C144" s="204">
        <f>IF(bands_A!$D$9+1&gt;MONTH(G144),YEAR(G144),YEAR(G144)+1)</f>
        <v/>
      </c>
      <c r="D144" s="204">
        <f>+C144+1</f>
        <v/>
      </c>
      <c r="E144" s="203">
        <f>IF(C144&gt;C143,1,E143+1)</f>
        <v/>
      </c>
      <c r="F144" s="203">
        <f>COUNTIF(C:C,C144)</f>
        <v/>
      </c>
      <c r="G144" s="198">
        <f>+G143+7</f>
        <v/>
      </c>
      <c r="H144" s="205">
        <f>'bands_A-H_Avg'!$H144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v>6.8</v>
      </c>
      <c r="CP144" s="970" t="n">
        <v>0.8835499999999999</v>
      </c>
    </row>
    <row r="145">
      <c r="B145" s="204">
        <f>+C145-1</f>
        <v/>
      </c>
      <c r="C145" s="204">
        <f>IF(bands_A!$D$9+1&gt;MONTH(G145),YEAR(G145),YEAR(G145)+1)</f>
        <v/>
      </c>
      <c r="D145" s="204">
        <f>+C145+1</f>
        <v/>
      </c>
      <c r="E145" s="203">
        <f>IF(C145&gt;C144,1,E144+1)</f>
        <v/>
      </c>
      <c r="F145" s="203">
        <f>COUNTIF(C:C,C145)</f>
        <v/>
      </c>
      <c r="G145" s="198">
        <f>+G144+7</f>
        <v/>
      </c>
      <c r="H145" s="205">
        <f>'bands_A-H_Avg'!$H145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v>6.8</v>
      </c>
      <c r="CP145" s="970" t="n">
        <v>0.8835499999999999</v>
      </c>
    </row>
    <row r="146">
      <c r="B146" s="204">
        <f>+C146-1</f>
        <v/>
      </c>
      <c r="C146" s="204">
        <f>IF(bands_A!$D$9+1&gt;MONTH(G146),YEAR(G146),YEAR(G146)+1)</f>
        <v/>
      </c>
      <c r="D146" s="204">
        <f>+C146+1</f>
        <v/>
      </c>
      <c r="E146" s="203">
        <f>IF(C146&gt;C145,1,E145+1)</f>
        <v/>
      </c>
      <c r="F146" s="203">
        <f>COUNTIF(C:C,C146)</f>
        <v/>
      </c>
      <c r="G146" s="198">
        <f>+G145+7</f>
        <v/>
      </c>
      <c r="H146" s="205">
        <f>'bands_A-H_Avg'!$H146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v>6.8</v>
      </c>
      <c r="CP146" s="970" t="n">
        <v>0.8835499999999999</v>
      </c>
    </row>
    <row r="147">
      <c r="B147" s="204">
        <f>+C147-1</f>
        <v/>
      </c>
      <c r="C147" s="204">
        <f>IF(bands_A!$D$9+1&gt;MONTH(G147),YEAR(G147),YEAR(G147)+1)</f>
        <v/>
      </c>
      <c r="D147" s="204">
        <f>+C147+1</f>
        <v/>
      </c>
      <c r="E147" s="203">
        <f>IF(C147&gt;C146,1,E146+1)</f>
        <v/>
      </c>
      <c r="F147" s="203">
        <f>COUNTIF(C:C,C147)</f>
        <v/>
      </c>
      <c r="G147" s="198">
        <f>+G146+7</f>
        <v/>
      </c>
      <c r="H147" s="205">
        <f>'bands_A-H_Avg'!$H147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v>6.8</v>
      </c>
      <c r="CP147" s="970" t="n">
        <v>0.8835499999999999</v>
      </c>
    </row>
    <row r="148">
      <c r="B148" s="204">
        <f>+C148-1</f>
        <v/>
      </c>
      <c r="C148" s="204">
        <f>IF(bands_A!$D$9+1&gt;MONTH(G148),YEAR(G148),YEAR(G148)+1)</f>
        <v/>
      </c>
      <c r="D148" s="204">
        <f>+C148+1</f>
        <v/>
      </c>
      <c r="E148" s="203">
        <f>IF(C148&gt;C147,1,E147+1)</f>
        <v/>
      </c>
      <c r="F148" s="203">
        <f>COUNTIF(C:C,C148)</f>
        <v/>
      </c>
      <c r="G148" s="198">
        <f>+G147+7</f>
        <v/>
      </c>
      <c r="H148" s="205">
        <f>'bands_A-H_Avg'!$H148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v>6.8</v>
      </c>
      <c r="CP148" s="970" t="n">
        <v>0.8835499999999999</v>
      </c>
    </row>
    <row r="149">
      <c r="B149" s="204">
        <f>+C149-1</f>
        <v/>
      </c>
      <c r="C149" s="204">
        <f>IF(bands_A!$D$9+1&gt;MONTH(G149),YEAR(G149),YEAR(G149)+1)</f>
        <v/>
      </c>
      <c r="D149" s="204">
        <f>+C149+1</f>
        <v/>
      </c>
      <c r="E149" s="203">
        <f>IF(C149&gt;C148,1,E148+1)</f>
        <v/>
      </c>
      <c r="F149" s="203">
        <f>COUNTIF(C:C,C149)</f>
        <v/>
      </c>
      <c r="G149" s="198">
        <f>+G148+7</f>
        <v/>
      </c>
      <c r="H149" s="205">
        <f>'bands_A-H_Avg'!$H149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v>6.8</v>
      </c>
      <c r="CP149" s="970" t="n">
        <v>0.8835499999999999</v>
      </c>
    </row>
    <row r="150">
      <c r="B150" s="204">
        <f>+C150-1</f>
        <v/>
      </c>
      <c r="C150" s="204">
        <f>IF(bands_A!$D$9+1&gt;MONTH(G150),YEAR(G150),YEAR(G150)+1)</f>
        <v/>
      </c>
      <c r="D150" s="204">
        <f>+C150+1</f>
        <v/>
      </c>
      <c r="E150" s="203">
        <f>IF(C150&gt;C149,1,E149+1)</f>
        <v/>
      </c>
      <c r="F150" s="203">
        <f>COUNTIF(C:C,C150)</f>
        <v/>
      </c>
      <c r="G150" s="198">
        <f>+G149+7</f>
        <v/>
      </c>
      <c r="H150" s="205">
        <f>'bands_A-H_Avg'!$H150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v>6.8</v>
      </c>
      <c r="CP150" s="970" t="n">
        <v>0.8835499999999999</v>
      </c>
    </row>
    <row r="151">
      <c r="B151" s="204">
        <f>+C151-1</f>
        <v/>
      </c>
      <c r="C151" s="204">
        <f>IF(bands_A!$D$9+1&gt;MONTH(G151),YEAR(G151),YEAR(G151)+1)</f>
        <v/>
      </c>
      <c r="D151" s="204">
        <f>+C151+1</f>
        <v/>
      </c>
      <c r="E151" s="203">
        <f>IF(C151&gt;C150,1,E150+1)</f>
        <v/>
      </c>
      <c r="F151" s="203">
        <f>COUNTIF(C:C,C151)</f>
        <v/>
      </c>
      <c r="G151" s="198">
        <f>+G150+7</f>
        <v/>
      </c>
      <c r="H151" s="205">
        <f>'bands_A-H_Avg'!$H151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v>6.8</v>
      </c>
      <c r="CP151" s="970" t="n">
        <v>0.8835499999999999</v>
      </c>
    </row>
    <row r="152">
      <c r="B152" s="204">
        <f>+C152-1</f>
        <v/>
      </c>
      <c r="C152" s="204">
        <f>IF(bands_A!$D$9+1&gt;MONTH(G152),YEAR(G152),YEAR(G152)+1)</f>
        <v/>
      </c>
      <c r="D152" s="204">
        <f>+C152+1</f>
        <v/>
      </c>
      <c r="E152" s="203">
        <f>IF(C152&gt;C151,1,E151+1)</f>
        <v/>
      </c>
      <c r="F152" s="203">
        <f>COUNTIF(C:C,C152)</f>
        <v/>
      </c>
      <c r="G152" s="198">
        <f>+G151+7</f>
        <v/>
      </c>
      <c r="H152" s="205">
        <f>'bands_A-H_Avg'!$H152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v>6.8</v>
      </c>
      <c r="CP152" s="970" t="n">
        <v>0.8835499999999999</v>
      </c>
    </row>
    <row r="153">
      <c r="B153" s="204">
        <f>+C153-1</f>
        <v/>
      </c>
      <c r="C153" s="204">
        <f>IF(bands_A!$D$9+1&gt;MONTH(G153),YEAR(G153),YEAR(G153)+1)</f>
        <v/>
      </c>
      <c r="D153" s="204">
        <f>+C153+1</f>
        <v/>
      </c>
      <c r="E153" s="203">
        <f>IF(C153&gt;C152,1,E152+1)</f>
        <v/>
      </c>
      <c r="F153" s="203">
        <f>COUNTIF(C:C,C153)</f>
        <v/>
      </c>
      <c r="G153" s="198">
        <f>+G152+7</f>
        <v/>
      </c>
      <c r="H153" s="205">
        <f>'bands_A-H_Avg'!$H153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v>6.8</v>
      </c>
      <c r="CP153" s="970" t="n">
        <v>0.8835499999999999</v>
      </c>
    </row>
    <row r="154">
      <c r="B154" s="204">
        <f>+C154-1</f>
        <v/>
      </c>
      <c r="C154" s="204">
        <f>IF(bands_A!$D$9+1&gt;MONTH(G154),YEAR(G154),YEAR(G154)+1)</f>
        <v/>
      </c>
      <c r="D154" s="204">
        <f>+C154+1</f>
        <v/>
      </c>
      <c r="E154" s="203">
        <f>IF(C154&gt;C153,1,E153+1)</f>
        <v/>
      </c>
      <c r="F154" s="203">
        <f>COUNTIF(C:C,C154)</f>
        <v/>
      </c>
      <c r="G154" s="198">
        <f>+G153+7</f>
        <v/>
      </c>
      <c r="H154" s="205">
        <f>'bands_A-H_Avg'!$H154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v>6.8</v>
      </c>
      <c r="CP154" s="970" t="n">
        <v>0.8835499999999999</v>
      </c>
    </row>
    <row r="155">
      <c r="B155" s="204">
        <f>+C155-1</f>
        <v/>
      </c>
      <c r="C155" s="204">
        <f>IF(bands_A!$D$9+1&gt;MONTH(G155),YEAR(G155),YEAR(G155)+1)</f>
        <v/>
      </c>
      <c r="D155" s="204">
        <f>+C155+1</f>
        <v/>
      </c>
      <c r="E155" s="203">
        <f>IF(C155&gt;C154,1,E154+1)</f>
        <v/>
      </c>
      <c r="F155" s="203">
        <f>COUNTIF(C:C,C155)</f>
        <v/>
      </c>
      <c r="G155" s="198">
        <f>+G154+7</f>
        <v/>
      </c>
      <c r="H155" s="205">
        <f>'bands_A-H_Avg'!$H155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v>6.8</v>
      </c>
      <c r="CP155" s="970" t="n">
        <v>0.8835499999999999</v>
      </c>
    </row>
    <row r="156">
      <c r="B156" s="204">
        <f>+C156-1</f>
        <v/>
      </c>
      <c r="C156" s="204">
        <f>IF(bands_A!$D$9+1&gt;MONTH(G156),YEAR(G156),YEAR(G156)+1)</f>
        <v/>
      </c>
      <c r="D156" s="204">
        <f>+C156+1</f>
        <v/>
      </c>
      <c r="E156" s="203">
        <f>IF(C156&gt;C155,1,E155+1)</f>
        <v/>
      </c>
      <c r="F156" s="203">
        <f>COUNTIF(C:C,C156)</f>
        <v/>
      </c>
      <c r="G156" s="198">
        <f>+G155+7</f>
        <v/>
      </c>
      <c r="H156" s="205">
        <f>'bands_A-H_Avg'!$H156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v>6.8</v>
      </c>
      <c r="CP156" s="970" t="n">
        <v>0.8835499999999999</v>
      </c>
    </row>
    <row r="157">
      <c r="B157" s="204">
        <f>+C157-1</f>
        <v/>
      </c>
      <c r="C157" s="204">
        <f>IF(bands_A!$D$9+1&gt;MONTH(G157),YEAR(G157),YEAR(G157)+1)</f>
        <v/>
      </c>
      <c r="D157" s="204">
        <f>+C157+1</f>
        <v/>
      </c>
      <c r="E157" s="203">
        <f>IF(C157&gt;C156,1,E156+1)</f>
        <v/>
      </c>
      <c r="F157" s="203">
        <f>COUNTIF(C:C,C157)</f>
        <v/>
      </c>
      <c r="G157" s="198">
        <f>+G156+7</f>
        <v/>
      </c>
      <c r="H157" s="205">
        <f>'bands_A-H_Avg'!$H157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v>6.8</v>
      </c>
      <c r="CP157" s="970" t="n">
        <v>0.8835499999999999</v>
      </c>
    </row>
    <row r="158">
      <c r="B158" s="204">
        <f>+C158-1</f>
        <v/>
      </c>
      <c r="C158" s="204">
        <f>IF(bands_A!$D$9+1&gt;MONTH(G158),YEAR(G158),YEAR(G158)+1)</f>
        <v/>
      </c>
      <c r="D158" s="204">
        <f>+C158+1</f>
        <v/>
      </c>
      <c r="E158" s="203">
        <f>IF(C158&gt;C157,1,E157+1)</f>
        <v/>
      </c>
      <c r="F158" s="203">
        <f>COUNTIF(C:C,C158)</f>
        <v/>
      </c>
      <c r="G158" s="198">
        <f>+G157+7</f>
        <v/>
      </c>
      <c r="H158" s="205">
        <f>'bands_A-H_Avg'!$H158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v>6.8</v>
      </c>
      <c r="CP158" s="970" t="n">
        <v>0.8835499999999999</v>
      </c>
    </row>
    <row r="159">
      <c r="B159" s="204">
        <f>+C159-1</f>
        <v/>
      </c>
      <c r="C159" s="204">
        <f>IF(bands_A!$D$9+1&gt;MONTH(G159),YEAR(G159),YEAR(G159)+1)</f>
        <v/>
      </c>
      <c r="D159" s="204">
        <f>+C159+1</f>
        <v/>
      </c>
      <c r="E159" s="203">
        <f>IF(C159&gt;C158,1,E158+1)</f>
        <v/>
      </c>
      <c r="F159" s="203">
        <f>COUNTIF(C:C,C159)</f>
        <v/>
      </c>
      <c r="G159" s="198">
        <f>+G158+7</f>
        <v/>
      </c>
      <c r="H159" s="205">
        <f>'bands_A-H_Avg'!$H159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v>6.8</v>
      </c>
      <c r="CP159" s="970" t="n">
        <v>0.8835499999999999</v>
      </c>
    </row>
    <row r="160">
      <c r="B160" s="204">
        <f>+C160-1</f>
        <v/>
      </c>
      <c r="C160" s="204">
        <f>IF(bands_A!$D$9+1&gt;MONTH(G160),YEAR(G160),YEAR(G160)+1)</f>
        <v/>
      </c>
      <c r="D160" s="204">
        <f>+C160+1</f>
        <v/>
      </c>
      <c r="E160" s="203">
        <f>IF(C160&gt;C159,1,E159+1)</f>
        <v/>
      </c>
      <c r="F160" s="203">
        <f>COUNTIF(C:C,C160)</f>
        <v/>
      </c>
      <c r="G160" s="198">
        <f>+G159+7</f>
        <v/>
      </c>
      <c r="H160" s="205">
        <f>'bands_A-H_Avg'!$H160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v>6.8</v>
      </c>
      <c r="CP160" s="970" t="n">
        <v>0.8835499999999999</v>
      </c>
    </row>
    <row r="161">
      <c r="B161" s="204">
        <f>+C161-1</f>
        <v/>
      </c>
      <c r="C161" s="204">
        <f>IF(bands_A!$D$9+1&gt;MONTH(G161),YEAR(G161),YEAR(G161)+1)</f>
        <v/>
      </c>
      <c r="D161" s="204">
        <f>+C161+1</f>
        <v/>
      </c>
      <c r="E161" s="203">
        <f>IF(C161&gt;C160,1,E160+1)</f>
        <v/>
      </c>
      <c r="F161" s="203">
        <f>COUNTIF(C:C,C161)</f>
        <v/>
      </c>
      <c r="G161" s="198">
        <f>+G160+7</f>
        <v/>
      </c>
      <c r="H161" s="205">
        <f>'bands_A-H_Avg'!$H161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v>6.8</v>
      </c>
      <c r="CP161" s="970" t="n">
        <v>0.8835499999999999</v>
      </c>
    </row>
    <row r="162">
      <c r="B162" s="204">
        <f>+C162-1</f>
        <v/>
      </c>
      <c r="C162" s="204">
        <f>IF(bands_A!$D$9+1&gt;MONTH(G162),YEAR(G162),YEAR(G162)+1)</f>
        <v/>
      </c>
      <c r="D162" s="204">
        <f>+C162+1</f>
        <v/>
      </c>
      <c r="E162" s="203">
        <f>IF(C162&gt;C161,1,E161+1)</f>
        <v/>
      </c>
      <c r="F162" s="203">
        <f>COUNTIF(C:C,C162)</f>
        <v/>
      </c>
      <c r="G162" s="198">
        <f>+G161+7</f>
        <v/>
      </c>
      <c r="H162" s="205">
        <f>'bands_A-H_Avg'!$H162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v>6.8</v>
      </c>
      <c r="CP162" s="970" t="n">
        <v>0.8835499999999999</v>
      </c>
    </row>
    <row r="163">
      <c r="B163" s="204">
        <f>+C163-1</f>
        <v/>
      </c>
      <c r="C163" s="204">
        <f>IF(bands_A!$D$9+1&gt;MONTH(G163),YEAR(G163),YEAR(G163)+1)</f>
        <v/>
      </c>
      <c r="D163" s="204">
        <f>+C163+1</f>
        <v/>
      </c>
      <c r="E163" s="203">
        <f>IF(C163&gt;C162,1,E162+1)</f>
        <v/>
      </c>
      <c r="F163" s="203">
        <f>COUNTIF(C:C,C163)</f>
        <v/>
      </c>
      <c r="G163" s="198">
        <f>+G162+7</f>
        <v/>
      </c>
      <c r="H163" s="205">
        <f>'bands_A-H_Avg'!$H163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v>6.8</v>
      </c>
      <c r="CP163" s="970" t="n">
        <v>0.8835499999999999</v>
      </c>
    </row>
    <row r="164">
      <c r="B164" s="204">
        <f>+C164-1</f>
        <v/>
      </c>
      <c r="C164" s="204">
        <f>IF(bands_A!$D$9+1&gt;MONTH(G164),YEAR(G164),YEAR(G164)+1)</f>
        <v/>
      </c>
      <c r="D164" s="204">
        <f>+C164+1</f>
        <v/>
      </c>
      <c r="E164" s="203">
        <f>IF(C164&gt;C163,1,E163+1)</f>
        <v/>
      </c>
      <c r="F164" s="203">
        <f>COUNTIF(C:C,C164)</f>
        <v/>
      </c>
      <c r="G164" s="198">
        <f>+G163+7</f>
        <v/>
      </c>
      <c r="H164" s="205">
        <f>'bands_A-H_Avg'!$H164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v>6.8</v>
      </c>
      <c r="CP164" s="970" t="n">
        <v>0.8835499999999999</v>
      </c>
    </row>
    <row r="165">
      <c r="B165" s="204">
        <f>+C165-1</f>
        <v/>
      </c>
      <c r="C165" s="204">
        <f>IF(bands_A!$D$9+1&gt;MONTH(G165),YEAR(G165),YEAR(G165)+1)</f>
        <v/>
      </c>
      <c r="D165" s="204">
        <f>+C165+1</f>
        <v/>
      </c>
      <c r="E165" s="203">
        <f>IF(C165&gt;C164,1,E164+1)</f>
        <v/>
      </c>
      <c r="F165" s="203">
        <f>COUNTIF(C:C,C165)</f>
        <v/>
      </c>
      <c r="G165" s="198">
        <f>+G164+7</f>
        <v/>
      </c>
      <c r="H165" s="205">
        <f>'bands_A-H_Avg'!$H165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v>6.8</v>
      </c>
      <c r="CP165" s="970" t="n">
        <v>0.8835499999999999</v>
      </c>
    </row>
    <row r="166">
      <c r="B166" s="204">
        <f>+C166-1</f>
        <v/>
      </c>
      <c r="C166" s="204">
        <f>IF(bands_A!$D$9+1&gt;MONTH(G166),YEAR(G166),YEAR(G166)+1)</f>
        <v/>
      </c>
      <c r="D166" s="204">
        <f>+C166+1</f>
        <v/>
      </c>
      <c r="E166" s="203">
        <f>IF(C166&gt;C165,1,E165+1)</f>
        <v/>
      </c>
      <c r="F166" s="203">
        <f>COUNTIF(C:C,C166)</f>
        <v/>
      </c>
      <c r="G166" s="198">
        <f>+G165+7</f>
        <v/>
      </c>
      <c r="H166" s="205">
        <f>'bands_A-H_Avg'!$H166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v>6.8</v>
      </c>
      <c r="CP166" s="970" t="n">
        <v>0.8835499999999999</v>
      </c>
    </row>
    <row r="167">
      <c r="B167" s="204">
        <f>+C167-1</f>
        <v/>
      </c>
      <c r="C167" s="204">
        <f>IF(bands_A!$D$9+1&gt;MONTH(G167),YEAR(G167),YEAR(G167)+1)</f>
        <v/>
      </c>
      <c r="D167" s="204">
        <f>+C167+1</f>
        <v/>
      </c>
      <c r="E167" s="203">
        <f>IF(C167&gt;C166,1,E166+1)</f>
        <v/>
      </c>
      <c r="F167" s="203">
        <f>COUNTIF(C:C,C167)</f>
        <v/>
      </c>
      <c r="G167" s="198">
        <f>+G166+7</f>
        <v/>
      </c>
      <c r="H167" s="205">
        <f>'bands_A-H_Avg'!$H167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v>6.8</v>
      </c>
      <c r="CP167" s="970" t="n">
        <v>0.8835499999999999</v>
      </c>
    </row>
    <row r="168">
      <c r="B168" s="204">
        <f>+C168-1</f>
        <v/>
      </c>
      <c r="C168" s="204">
        <f>IF(bands_A!$D$9+1&gt;MONTH(G168),YEAR(G168),YEAR(G168)+1)</f>
        <v/>
      </c>
      <c r="D168" s="204">
        <f>+C168+1</f>
        <v/>
      </c>
      <c r="E168" s="203">
        <f>IF(C168&gt;C167,1,E167+1)</f>
        <v/>
      </c>
      <c r="F168" s="203">
        <f>COUNTIF(C:C,C168)</f>
        <v/>
      </c>
      <c r="G168" s="198">
        <f>+G167+7</f>
        <v/>
      </c>
      <c r="H168" s="205">
        <f>'bands_A-H_Avg'!$H168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v>6.8</v>
      </c>
      <c r="CP168" s="970" t="n">
        <v>0.8835499999999999</v>
      </c>
    </row>
    <row r="169">
      <c r="B169" s="204">
        <f>+C169-1</f>
        <v/>
      </c>
      <c r="C169" s="204">
        <f>IF(bands_A!$D$9+1&gt;MONTH(G169),YEAR(G169),YEAR(G169)+1)</f>
        <v/>
      </c>
      <c r="D169" s="204">
        <f>+C169+1</f>
        <v/>
      </c>
      <c r="E169" s="203">
        <f>IF(C169&gt;C168,1,E168+1)</f>
        <v/>
      </c>
      <c r="F169" s="203">
        <f>COUNTIF(C:C,C169)</f>
        <v/>
      </c>
      <c r="G169" s="198">
        <f>+G168+7</f>
        <v/>
      </c>
      <c r="H169" s="205">
        <f>'bands_A-H_Avg'!$H169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v>6.8</v>
      </c>
      <c r="CP169" s="970" t="n">
        <v>0.8835499999999999</v>
      </c>
    </row>
    <row r="170">
      <c r="B170" s="204">
        <f>+C170-1</f>
        <v/>
      </c>
      <c r="C170" s="204">
        <f>IF(bands_A!$D$9+1&gt;MONTH(G170),YEAR(G170),YEAR(G170)+1)</f>
        <v/>
      </c>
      <c r="D170" s="204">
        <f>+C170+1</f>
        <v/>
      </c>
      <c r="E170" s="203">
        <f>IF(C170&gt;C169,1,E169+1)</f>
        <v/>
      </c>
      <c r="F170" s="203">
        <f>COUNTIF(C:C,C170)</f>
        <v/>
      </c>
      <c r="G170" s="198">
        <f>+G169+7</f>
        <v/>
      </c>
      <c r="H170" s="205">
        <f>'bands_A-H_Avg'!$H170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v>6.8</v>
      </c>
      <c r="CP170" s="970" t="n">
        <v>0.8835499999999999</v>
      </c>
    </row>
    <row r="171">
      <c r="B171" s="204">
        <f>+C171-1</f>
        <v/>
      </c>
      <c r="C171" s="204">
        <f>IF(bands_A!$D$9+1&gt;MONTH(G171),YEAR(G171),YEAR(G171)+1)</f>
        <v/>
      </c>
      <c r="D171" s="204">
        <f>+C171+1</f>
        <v/>
      </c>
      <c r="E171" s="203">
        <f>IF(C171&gt;C170,1,E170+1)</f>
        <v/>
      </c>
      <c r="F171" s="203">
        <f>COUNTIF(C:C,C171)</f>
        <v/>
      </c>
      <c r="G171" s="198">
        <f>+G170+7</f>
        <v/>
      </c>
      <c r="H171" s="205">
        <f>'bands_A-H_Avg'!$H171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v>6.8</v>
      </c>
      <c r="CP171" s="970" t="n">
        <v>0.8835499999999999</v>
      </c>
    </row>
    <row r="172">
      <c r="B172" s="204">
        <f>+C172-1</f>
        <v/>
      </c>
      <c r="C172" s="204">
        <f>IF(bands_A!$D$9+1&gt;MONTH(G172),YEAR(G172),YEAR(G172)+1)</f>
        <v/>
      </c>
      <c r="D172" s="204">
        <f>+C172+1</f>
        <v/>
      </c>
      <c r="E172" s="203">
        <f>IF(C172&gt;C171,1,E171+1)</f>
        <v/>
      </c>
      <c r="F172" s="203">
        <f>COUNTIF(C:C,C172)</f>
        <v/>
      </c>
      <c r="G172" s="198">
        <f>+G171+7</f>
        <v/>
      </c>
      <c r="H172" s="205">
        <f>'bands_A-H_Avg'!$H172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v>6.8</v>
      </c>
      <c r="CP172" s="970" t="n">
        <v>0.8835499999999999</v>
      </c>
    </row>
    <row r="173">
      <c r="B173" s="204">
        <f>+C173-1</f>
        <v/>
      </c>
      <c r="C173" s="204">
        <f>IF(bands_A!$D$9+1&gt;MONTH(G173),YEAR(G173),YEAR(G173)+1)</f>
        <v/>
      </c>
      <c r="D173" s="204">
        <f>+C173+1</f>
        <v/>
      </c>
      <c r="E173" s="203">
        <f>IF(C173&gt;C172,1,E172+1)</f>
        <v/>
      </c>
      <c r="F173" s="203">
        <f>COUNTIF(C:C,C173)</f>
        <v/>
      </c>
      <c r="G173" s="198">
        <f>+G172+7</f>
        <v/>
      </c>
      <c r="H173" s="205">
        <f>'bands_A-H_Avg'!$H173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v>6.8</v>
      </c>
      <c r="CP173" s="970" t="n">
        <v>0.8835499999999999</v>
      </c>
    </row>
    <row r="174">
      <c r="B174" s="204">
        <f>+C174-1</f>
        <v/>
      </c>
      <c r="C174" s="204">
        <f>IF(bands_A!$D$9+1&gt;MONTH(G174),YEAR(G174),YEAR(G174)+1)</f>
        <v/>
      </c>
      <c r="D174" s="204">
        <f>+C174+1</f>
        <v/>
      </c>
      <c r="E174" s="203">
        <f>IF(C174&gt;C173,1,E173+1)</f>
        <v/>
      </c>
      <c r="F174" s="203">
        <f>COUNTIF(C:C,C174)</f>
        <v/>
      </c>
      <c r="G174" s="198">
        <f>+G173+7</f>
        <v/>
      </c>
      <c r="H174" s="205">
        <f>'bands_A-H_Avg'!$H174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v>6.8</v>
      </c>
      <c r="CP174" s="970" t="n">
        <v>0.8835499999999999</v>
      </c>
    </row>
    <row r="175">
      <c r="B175" s="204">
        <f>+C175-1</f>
        <v/>
      </c>
      <c r="C175" s="204">
        <f>IF(bands_A!$D$9+1&gt;MONTH(G175),YEAR(G175),YEAR(G175)+1)</f>
        <v/>
      </c>
      <c r="D175" s="204">
        <f>+C175+1</f>
        <v/>
      </c>
      <c r="E175" s="203">
        <f>IF(C175&gt;C174,1,E174+1)</f>
        <v/>
      </c>
      <c r="F175" s="203">
        <f>COUNTIF(C:C,C175)</f>
        <v/>
      </c>
      <c r="G175" s="198">
        <f>+G174+7</f>
        <v/>
      </c>
      <c r="H175" s="205">
        <f>'bands_A-H_Avg'!$H175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v>6.8</v>
      </c>
      <c r="CP175" s="970" t="n">
        <v>0.8835499999999999</v>
      </c>
    </row>
    <row r="176">
      <c r="B176" s="204">
        <f>+C176-1</f>
        <v/>
      </c>
      <c r="C176" s="204">
        <f>IF(bands_A!$D$9+1&gt;MONTH(G176),YEAR(G176),YEAR(G176)+1)</f>
        <v/>
      </c>
      <c r="D176" s="204">
        <f>+C176+1</f>
        <v/>
      </c>
      <c r="E176" s="203">
        <f>IF(C176&gt;C175,1,E175+1)</f>
        <v/>
      </c>
      <c r="F176" s="203">
        <f>COUNTIF(C:C,C176)</f>
        <v/>
      </c>
      <c r="G176" s="198">
        <f>+G175+7</f>
        <v/>
      </c>
      <c r="H176" s="205">
        <f>'bands_A-H_Avg'!$H176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v>6.8</v>
      </c>
      <c r="CP176" s="970" t="n">
        <v>0.8835499999999999</v>
      </c>
    </row>
    <row r="177">
      <c r="B177" s="204">
        <f>+C177-1</f>
        <v/>
      </c>
      <c r="C177" s="204">
        <f>IF(bands_A!$D$9+1&gt;MONTH(G177),YEAR(G177),YEAR(G177)+1)</f>
        <v/>
      </c>
      <c r="D177" s="204">
        <f>+C177+1</f>
        <v/>
      </c>
      <c r="E177" s="203">
        <f>IF(C177&gt;C176,1,E176+1)</f>
        <v/>
      </c>
      <c r="F177" s="203">
        <f>COUNTIF(C:C,C177)</f>
        <v/>
      </c>
      <c r="G177" s="198">
        <f>+G176+7</f>
        <v/>
      </c>
      <c r="H177" s="205">
        <f>'bands_A-H_Avg'!$H177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v>6.8</v>
      </c>
      <c r="CP177" s="970" t="n">
        <v>0.8835499999999999</v>
      </c>
    </row>
    <row r="178">
      <c r="B178" s="204">
        <f>+C178-1</f>
        <v/>
      </c>
      <c r="C178" s="204">
        <f>IF(bands_A!$D$9+1&gt;MONTH(G178),YEAR(G178),YEAR(G178)+1)</f>
        <v/>
      </c>
      <c r="D178" s="204">
        <f>+C178+1</f>
        <v/>
      </c>
      <c r="E178" s="203">
        <f>IF(C178&gt;C177,1,E177+1)</f>
        <v/>
      </c>
      <c r="F178" s="203">
        <f>COUNTIF(C:C,C178)</f>
        <v/>
      </c>
      <c r="G178" s="198">
        <f>+G177+7</f>
        <v/>
      </c>
      <c r="H178" s="205">
        <f>'bands_A-H_Avg'!$H178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v>6.8</v>
      </c>
      <c r="CP178" s="970" t="n">
        <v>0.8835499999999999</v>
      </c>
    </row>
    <row r="179">
      <c r="B179" s="204">
        <f>+C179-1</f>
        <v/>
      </c>
      <c r="C179" s="204">
        <f>IF(bands_A!$D$9+1&gt;MONTH(G179),YEAR(G179),YEAR(G179)+1)</f>
        <v/>
      </c>
      <c r="D179" s="204">
        <f>+C179+1</f>
        <v/>
      </c>
      <c r="E179" s="203">
        <f>IF(C179&gt;C178,1,E178+1)</f>
        <v/>
      </c>
      <c r="F179" s="203">
        <f>COUNTIF(C:C,C179)</f>
        <v/>
      </c>
      <c r="G179" s="198">
        <f>+G178+7</f>
        <v/>
      </c>
      <c r="H179" s="205">
        <f>'bands_A-H_Avg'!$H179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v>6.8</v>
      </c>
      <c r="CP179" s="970" t="n">
        <v>0.8835499999999999</v>
      </c>
    </row>
    <row r="180">
      <c r="B180" s="204">
        <f>+C180-1</f>
        <v/>
      </c>
      <c r="C180" s="204">
        <f>IF(bands_A!$D$9+1&gt;MONTH(G180),YEAR(G180),YEAR(G180)+1)</f>
        <v/>
      </c>
      <c r="D180" s="204">
        <f>+C180+1</f>
        <v/>
      </c>
      <c r="E180" s="203">
        <f>IF(C180&gt;C179,1,E179+1)</f>
        <v/>
      </c>
      <c r="F180" s="203">
        <f>COUNTIF(C:C,C180)</f>
        <v/>
      </c>
      <c r="G180" s="198">
        <f>+G179+7</f>
        <v/>
      </c>
      <c r="H180" s="205">
        <f>'bands_A-H_Avg'!$H180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v>6.8</v>
      </c>
      <c r="CP180" s="970" t="n">
        <v>0.8835499999999999</v>
      </c>
    </row>
    <row r="181">
      <c r="B181" s="204">
        <f>+C181-1</f>
        <v/>
      </c>
      <c r="C181" s="204">
        <f>IF(bands_A!$D$9+1&gt;MONTH(G181),YEAR(G181),YEAR(G181)+1)</f>
        <v/>
      </c>
      <c r="D181" s="204">
        <f>+C181+1</f>
        <v/>
      </c>
      <c r="E181" s="203">
        <f>IF(C181&gt;C180,1,E180+1)</f>
        <v/>
      </c>
      <c r="F181" s="203">
        <f>COUNTIF(C:C,C181)</f>
        <v/>
      </c>
      <c r="G181" s="198">
        <f>+G180+7</f>
        <v/>
      </c>
      <c r="H181" s="205">
        <f>'bands_A-H_Avg'!$H181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v>6.8</v>
      </c>
      <c r="CP181" s="970" t="n">
        <v>0.8835499999999999</v>
      </c>
    </row>
    <row r="182">
      <c r="B182" s="204">
        <f>+C182-1</f>
        <v/>
      </c>
      <c r="C182" s="204">
        <f>IF(bands_A!$D$9+1&gt;MONTH(G182),YEAR(G182),YEAR(G182)+1)</f>
        <v/>
      </c>
      <c r="D182" s="204">
        <f>+C182+1</f>
        <v/>
      </c>
      <c r="E182" s="203">
        <f>IF(C182&gt;C181,1,E181+1)</f>
        <v/>
      </c>
      <c r="F182" s="203">
        <f>COUNTIF(C:C,C182)</f>
        <v/>
      </c>
      <c r="G182" s="198">
        <f>+G181+7</f>
        <v/>
      </c>
      <c r="H182" s="205">
        <f>'bands_A-H_Avg'!$H182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v>6.8</v>
      </c>
      <c r="CP182" s="970" t="n">
        <v>0.8835499999999999</v>
      </c>
    </row>
    <row r="183">
      <c r="B183" s="204">
        <f>+C183-1</f>
        <v/>
      </c>
      <c r="C183" s="204">
        <f>IF(bands_A!$D$9+1&gt;MONTH(G183),YEAR(G183),YEAR(G183)+1)</f>
        <v/>
      </c>
      <c r="D183" s="204">
        <f>+C183+1</f>
        <v/>
      </c>
      <c r="E183" s="203">
        <f>IF(C183&gt;C182,1,E182+1)</f>
        <v/>
      </c>
      <c r="F183" s="203">
        <f>COUNTIF(C:C,C183)</f>
        <v/>
      </c>
      <c r="G183" s="198">
        <f>+G182+7</f>
        <v/>
      </c>
      <c r="H183" s="205">
        <f>'bands_A-H_Avg'!$H183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v>6.8</v>
      </c>
      <c r="CP183" s="970" t="n">
        <v>0.8835499999999999</v>
      </c>
    </row>
    <row r="184">
      <c r="B184" s="204">
        <f>+C184-1</f>
        <v/>
      </c>
      <c r="C184" s="204">
        <f>IF(bands_A!$D$9+1&gt;MONTH(G184),YEAR(G184),YEAR(G184)+1)</f>
        <v/>
      </c>
      <c r="D184" s="204">
        <f>+C184+1</f>
        <v/>
      </c>
      <c r="E184" s="203">
        <f>IF(C184&gt;C183,1,E183+1)</f>
        <v/>
      </c>
      <c r="F184" s="203">
        <f>COUNTIF(C:C,C184)</f>
        <v/>
      </c>
      <c r="G184" s="198">
        <f>+G183+7</f>
        <v/>
      </c>
      <c r="H184" s="205">
        <f>'bands_A-H_Avg'!$H184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v>6.8</v>
      </c>
      <c r="CP184" s="970" t="n">
        <v>0.8835499999999999</v>
      </c>
    </row>
    <row r="185">
      <c r="B185" s="204">
        <f>+C185-1</f>
        <v/>
      </c>
      <c r="C185" s="204">
        <f>IF(bands_A!$D$9+1&gt;MONTH(G185),YEAR(G185),YEAR(G185)+1)</f>
        <v/>
      </c>
      <c r="D185" s="204">
        <f>+C185+1</f>
        <v/>
      </c>
      <c r="E185" s="203">
        <f>IF(C185&gt;C184,1,E184+1)</f>
        <v/>
      </c>
      <c r="F185" s="203">
        <f>COUNTIF(C:C,C185)</f>
        <v/>
      </c>
      <c r="G185" s="198">
        <f>+G184+7</f>
        <v/>
      </c>
      <c r="H185" s="205">
        <f>'bands_A-H_Avg'!$H185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v>6.8</v>
      </c>
      <c r="CP185" s="970" t="n">
        <v>0.8835499999999999</v>
      </c>
    </row>
    <row r="186">
      <c r="B186" s="204">
        <f>+C186-1</f>
        <v/>
      </c>
      <c r="C186" s="204">
        <f>IF(bands_A!$D$9+1&gt;MONTH(G186),YEAR(G186),YEAR(G186)+1)</f>
        <v/>
      </c>
      <c r="D186" s="204">
        <f>+C186+1</f>
        <v/>
      </c>
      <c r="E186" s="203">
        <f>IF(C186&gt;C185,1,E185+1)</f>
        <v/>
      </c>
      <c r="F186" s="203">
        <f>COUNTIF(C:C,C186)</f>
        <v/>
      </c>
      <c r="G186" s="198">
        <f>+G185+7</f>
        <v/>
      </c>
      <c r="H186" s="205">
        <f>'bands_A-H_Avg'!$H186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v>6.8</v>
      </c>
      <c r="CP186" s="970" t="n">
        <v>0.8835499999999999</v>
      </c>
    </row>
    <row r="187">
      <c r="B187" s="204">
        <f>+C187-1</f>
        <v/>
      </c>
      <c r="C187" s="204">
        <f>IF(bands_A!$D$9+1&gt;MONTH(G187),YEAR(G187),YEAR(G187)+1)</f>
        <v/>
      </c>
      <c r="D187" s="204">
        <f>+C187+1</f>
        <v/>
      </c>
      <c r="E187" s="203">
        <f>IF(C187&gt;C186,1,E186+1)</f>
        <v/>
      </c>
      <c r="F187" s="203">
        <f>COUNTIF(C:C,C187)</f>
        <v/>
      </c>
      <c r="G187" s="198">
        <f>+G186+7</f>
        <v/>
      </c>
      <c r="H187" s="205">
        <f>'bands_A-H_Avg'!$H187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v>6.8</v>
      </c>
      <c r="CP187" s="970" t="n">
        <v>0.8835499999999999</v>
      </c>
    </row>
    <row r="188">
      <c r="B188" s="204">
        <f>+C188-1</f>
        <v/>
      </c>
      <c r="C188" s="204">
        <f>IF(bands_A!$D$9+1&gt;MONTH(G188),YEAR(G188),YEAR(G188)+1)</f>
        <v/>
      </c>
      <c r="D188" s="204">
        <f>+C188+1</f>
        <v/>
      </c>
      <c r="E188" s="203">
        <f>IF(C188&gt;C187,1,E187+1)</f>
        <v/>
      </c>
      <c r="F188" s="203">
        <f>COUNTIF(C:C,C188)</f>
        <v/>
      </c>
      <c r="G188" s="198">
        <f>+G187+7</f>
        <v/>
      </c>
      <c r="H188" s="205">
        <f>'bands_A-H_Avg'!$H188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v>6.8</v>
      </c>
      <c r="CP188" s="970" t="n">
        <v>0.8835499999999999</v>
      </c>
    </row>
    <row r="189">
      <c r="B189" s="204">
        <f>+C189-1</f>
        <v/>
      </c>
      <c r="C189" s="204">
        <f>IF(bands_A!$D$9+1&gt;MONTH(G189),YEAR(G189),YEAR(G189)+1)</f>
        <v/>
      </c>
      <c r="D189" s="204">
        <f>+C189+1</f>
        <v/>
      </c>
      <c r="E189" s="203">
        <f>IF(C189&gt;C188,1,E188+1)</f>
        <v/>
      </c>
      <c r="F189" s="203">
        <f>COUNTIF(C:C,C189)</f>
        <v/>
      </c>
      <c r="G189" s="198">
        <f>+G188+7</f>
        <v/>
      </c>
      <c r="H189" s="205">
        <f>'bands_A-H_Avg'!$H189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v>6.8</v>
      </c>
      <c r="CP189" s="970" t="n">
        <v>0.8835499999999999</v>
      </c>
    </row>
    <row r="190">
      <c r="B190" s="204">
        <f>+C190-1</f>
        <v/>
      </c>
      <c r="C190" s="204">
        <f>IF(bands_A!$D$9+1&gt;MONTH(G190),YEAR(G190),YEAR(G190)+1)</f>
        <v/>
      </c>
      <c r="D190" s="204">
        <f>+C190+1</f>
        <v/>
      </c>
      <c r="E190" s="203">
        <f>IF(C190&gt;C189,1,E189+1)</f>
        <v/>
      </c>
      <c r="F190" s="203">
        <f>COUNTIF(C:C,C190)</f>
        <v/>
      </c>
      <c r="G190" s="198">
        <f>+G189+7</f>
        <v/>
      </c>
      <c r="H190" s="205">
        <f>'bands_A-H_Avg'!$H190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v>6.8</v>
      </c>
      <c r="CP190" s="970" t="n">
        <v>0.8835499999999999</v>
      </c>
    </row>
    <row r="191">
      <c r="B191" s="204">
        <f>+C191-1</f>
        <v/>
      </c>
      <c r="C191" s="204">
        <f>IF(bands_A!$D$9+1&gt;MONTH(G191),YEAR(G191),YEAR(G191)+1)</f>
        <v/>
      </c>
      <c r="D191" s="204">
        <f>+C191+1</f>
        <v/>
      </c>
      <c r="E191" s="203">
        <f>IF(C191&gt;C190,1,E190+1)</f>
        <v/>
      </c>
      <c r="F191" s="203">
        <f>COUNTIF(C:C,C191)</f>
        <v/>
      </c>
      <c r="G191" s="198">
        <f>+G190+7</f>
        <v/>
      </c>
      <c r="H191" s="205">
        <f>'bands_A-H_Avg'!$H191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v>6.8</v>
      </c>
      <c r="CP191" s="970" t="n">
        <v>0.8835499999999999</v>
      </c>
    </row>
    <row r="192">
      <c r="B192" s="204">
        <f>+C192-1</f>
        <v/>
      </c>
      <c r="C192" s="204">
        <f>IF(bands_A!$D$9+1&gt;MONTH(G192),YEAR(G192),YEAR(G192)+1)</f>
        <v/>
      </c>
      <c r="D192" s="204">
        <f>+C192+1</f>
        <v/>
      </c>
      <c r="E192" s="203">
        <f>IF(C192&gt;C191,1,E191+1)</f>
        <v/>
      </c>
      <c r="F192" s="203">
        <f>COUNTIF(C:C,C192)</f>
        <v/>
      </c>
      <c r="G192" s="198">
        <f>+G191+7</f>
        <v/>
      </c>
      <c r="H192" s="205">
        <f>'bands_A-H_Avg'!$H192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v>6.8</v>
      </c>
      <c r="CP192" s="970" t="n">
        <v>0.8835499999999999</v>
      </c>
    </row>
    <row r="193">
      <c r="B193" s="204">
        <f>+C193-1</f>
        <v/>
      </c>
      <c r="C193" s="204">
        <f>IF(bands_A!$D$9+1&gt;MONTH(G193),YEAR(G193),YEAR(G193)+1)</f>
        <v/>
      </c>
      <c r="D193" s="204">
        <f>+C193+1</f>
        <v/>
      </c>
      <c r="E193" s="203">
        <f>IF(C193&gt;C192,1,E192+1)</f>
        <v/>
      </c>
      <c r="F193" s="203">
        <f>COUNTIF(C:C,C193)</f>
        <v/>
      </c>
      <c r="G193" s="198">
        <f>+G192+7</f>
        <v/>
      </c>
      <c r="H193" s="205">
        <f>'bands_A-H_Avg'!$H193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v>6.8</v>
      </c>
      <c r="CP193" s="970" t="n">
        <v>0.8835499999999999</v>
      </c>
    </row>
    <row r="194">
      <c r="B194" s="204">
        <f>+C194-1</f>
        <v/>
      </c>
      <c r="C194" s="204">
        <f>IF(bands_A!$D$9+1&gt;MONTH(G194),YEAR(G194),YEAR(G194)+1)</f>
        <v/>
      </c>
      <c r="D194" s="204">
        <f>+C194+1</f>
        <v/>
      </c>
      <c r="E194" s="203">
        <f>IF(C194&gt;C193,1,E193+1)</f>
        <v/>
      </c>
      <c r="F194" s="203">
        <f>COUNTIF(C:C,C194)</f>
        <v/>
      </c>
      <c r="G194" s="198">
        <f>+G193+7</f>
        <v/>
      </c>
      <c r="H194" s="205">
        <f>'bands_A-H_Avg'!$H194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v>6.8</v>
      </c>
      <c r="CP194" s="970" t="n">
        <v>0.8835499999999999</v>
      </c>
    </row>
    <row r="195">
      <c r="B195" s="204">
        <f>+C195-1</f>
        <v/>
      </c>
      <c r="C195" s="204">
        <f>IF(bands_A!$D$9+1&gt;MONTH(G195),YEAR(G195),YEAR(G195)+1)</f>
        <v/>
      </c>
      <c r="D195" s="204">
        <f>+C195+1</f>
        <v/>
      </c>
      <c r="E195" s="203">
        <f>IF(C195&gt;C194,1,E194+1)</f>
        <v/>
      </c>
      <c r="F195" s="203">
        <f>COUNTIF(C:C,C195)</f>
        <v/>
      </c>
      <c r="G195" s="198">
        <f>+G194+7</f>
        <v/>
      </c>
      <c r="H195" s="205">
        <f>'bands_A-H_Avg'!$H195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v>6.8</v>
      </c>
      <c r="CP195" s="970" t="n">
        <v>0.8835499999999999</v>
      </c>
    </row>
    <row r="196">
      <c r="B196" s="204">
        <f>+C196-1</f>
        <v/>
      </c>
      <c r="C196" s="204">
        <f>IF(bands_A!$D$9+1&gt;MONTH(G196),YEAR(G196),YEAR(G196)+1)</f>
        <v/>
      </c>
      <c r="D196" s="204">
        <f>+C196+1</f>
        <v/>
      </c>
      <c r="E196" s="203">
        <f>IF(C196&gt;C195,1,E195+1)</f>
        <v/>
      </c>
      <c r="F196" s="203">
        <f>COUNTIF(C:C,C196)</f>
        <v/>
      </c>
      <c r="G196" s="198">
        <f>+G195+7</f>
        <v/>
      </c>
      <c r="H196" s="205">
        <f>'bands_A-H_Avg'!$H196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v>6.8</v>
      </c>
      <c r="CP196" s="970" t="n">
        <v>0.8835499999999999</v>
      </c>
    </row>
    <row r="197">
      <c r="B197" s="204">
        <f>+C197-1</f>
        <v/>
      </c>
      <c r="C197" s="204">
        <f>IF(bands_A!$D$9+1&gt;MONTH(G197),YEAR(G197),YEAR(G197)+1)</f>
        <v/>
      </c>
      <c r="D197" s="204">
        <f>+C197+1</f>
        <v/>
      </c>
      <c r="E197" s="203">
        <f>IF(C197&gt;C196,1,E196+1)</f>
        <v/>
      </c>
      <c r="F197" s="203">
        <f>COUNTIF(C:C,C197)</f>
        <v/>
      </c>
      <c r="G197" s="198">
        <f>+G196+7</f>
        <v/>
      </c>
      <c r="H197" s="205">
        <f>'bands_A-H_Avg'!$H197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v>6.8</v>
      </c>
      <c r="CP197" s="970" t="n">
        <v>0.8835499999999999</v>
      </c>
    </row>
    <row r="198">
      <c r="B198" s="204">
        <f>+C198-1</f>
        <v/>
      </c>
      <c r="C198" s="204">
        <f>IF(bands_A!$D$9+1&gt;MONTH(G198),YEAR(G198),YEAR(G198)+1)</f>
        <v/>
      </c>
      <c r="D198" s="204">
        <f>+C198+1</f>
        <v/>
      </c>
      <c r="E198" s="203">
        <f>IF(C198&gt;C197,1,E197+1)</f>
        <v/>
      </c>
      <c r="F198" s="203">
        <f>COUNTIF(C:C,C198)</f>
        <v/>
      </c>
      <c r="G198" s="198">
        <f>+G197+7</f>
        <v/>
      </c>
      <c r="H198" s="205">
        <f>'bands_A-H_Avg'!$H198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v>6.8</v>
      </c>
      <c r="CP198" s="970" t="n">
        <v>0.8835499999999999</v>
      </c>
    </row>
    <row r="199">
      <c r="B199" s="204">
        <f>+C199-1</f>
        <v/>
      </c>
      <c r="C199" s="204">
        <f>IF(bands_A!$D$9+1&gt;MONTH(G199),YEAR(G199),YEAR(G199)+1)</f>
        <v/>
      </c>
      <c r="D199" s="204">
        <f>+C199+1</f>
        <v/>
      </c>
      <c r="E199" s="203">
        <f>IF(C199&gt;C198,1,E198+1)</f>
        <v/>
      </c>
      <c r="F199" s="203">
        <f>COUNTIF(C:C,C199)</f>
        <v/>
      </c>
      <c r="G199" s="198">
        <f>+G198+7</f>
        <v/>
      </c>
      <c r="H199" s="205">
        <f>'bands_A-H_Avg'!$H199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v>6.8</v>
      </c>
      <c r="CP199" s="970" t="n">
        <v>0.8835499999999999</v>
      </c>
    </row>
    <row r="200">
      <c r="B200" s="204">
        <f>+C200-1</f>
        <v/>
      </c>
      <c r="C200" s="204">
        <f>IF(bands_A!$D$9+1&gt;MONTH(G200),YEAR(G200),YEAR(G200)+1)</f>
        <v/>
      </c>
      <c r="D200" s="204">
        <f>+C200+1</f>
        <v/>
      </c>
      <c r="E200" s="203">
        <f>IF(C200&gt;C199,1,E199+1)</f>
        <v/>
      </c>
      <c r="F200" s="203">
        <f>COUNTIF(C:C,C200)</f>
        <v/>
      </c>
      <c r="G200" s="198">
        <f>+G199+7</f>
        <v/>
      </c>
      <c r="H200" s="205">
        <f>'bands_A-H_Avg'!$H200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v>6.8</v>
      </c>
      <c r="CP200" s="970" t="n">
        <v>0.8835499999999999</v>
      </c>
    </row>
    <row r="201">
      <c r="B201" s="204">
        <f>+C201-1</f>
        <v/>
      </c>
      <c r="C201" s="204">
        <f>IF(bands_A!$D$9+1&gt;MONTH(G201),YEAR(G201),YEAR(G201)+1)</f>
        <v/>
      </c>
      <c r="D201" s="204">
        <f>+C201+1</f>
        <v/>
      </c>
      <c r="E201" s="203">
        <f>IF(C201&gt;C200,1,E200+1)</f>
        <v/>
      </c>
      <c r="F201" s="203">
        <f>COUNTIF(C:C,C201)</f>
        <v/>
      </c>
      <c r="G201" s="198">
        <f>+G200+7</f>
        <v/>
      </c>
      <c r="H201" s="205">
        <f>'bands_A-H_Avg'!$H201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v>6.8</v>
      </c>
      <c r="CP201" s="970" t="n">
        <v>0.8835499999999999</v>
      </c>
    </row>
    <row r="202">
      <c r="B202" s="204">
        <f>+C202-1</f>
        <v/>
      </c>
      <c r="C202" s="204">
        <f>IF(bands_A!$D$9+1&gt;MONTH(G202),YEAR(G202),YEAR(G202)+1)</f>
        <v/>
      </c>
      <c r="D202" s="204">
        <f>+C202+1</f>
        <v/>
      </c>
      <c r="E202" s="203">
        <f>IF(C202&gt;C201,1,E201+1)</f>
        <v/>
      </c>
      <c r="F202" s="203">
        <f>COUNTIF(C:C,C202)</f>
        <v/>
      </c>
      <c r="G202" s="198">
        <f>+G201+7</f>
        <v/>
      </c>
      <c r="H202" s="205">
        <f>'bands_A-H_Avg'!$H202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v>6.8</v>
      </c>
      <c r="CP202" s="970" t="n">
        <v>0.8835499999999999</v>
      </c>
    </row>
    <row r="203">
      <c r="B203" s="204">
        <f>+C203-1</f>
        <v/>
      </c>
      <c r="C203" s="204">
        <f>IF(bands_A!$D$9+1&gt;MONTH(G203),YEAR(G203),YEAR(G203)+1)</f>
        <v/>
      </c>
      <c r="D203" s="204">
        <f>+C203+1</f>
        <v/>
      </c>
      <c r="E203" s="203">
        <f>IF(C203&gt;C202,1,E202+1)</f>
        <v/>
      </c>
      <c r="F203" s="203">
        <f>COUNTIF(C:C,C203)</f>
        <v/>
      </c>
      <c r="G203" s="198">
        <f>+G202+7</f>
        <v/>
      </c>
      <c r="H203" s="205">
        <f>'bands_A-H_Avg'!$H203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v>6.8</v>
      </c>
      <c r="CP203" s="970" t="n">
        <v>0.8835499999999999</v>
      </c>
    </row>
    <row r="204">
      <c r="B204" s="204">
        <f>+C204-1</f>
        <v/>
      </c>
      <c r="C204" s="204">
        <f>IF(bands_A!$D$9+1&gt;MONTH(G204),YEAR(G204),YEAR(G204)+1)</f>
        <v/>
      </c>
      <c r="D204" s="204">
        <f>+C204+1</f>
        <v/>
      </c>
      <c r="E204" s="203">
        <f>IF(C204&gt;C203,1,E203+1)</f>
        <v/>
      </c>
      <c r="F204" s="203">
        <f>COUNTIF(C:C,C204)</f>
        <v/>
      </c>
      <c r="G204" s="198">
        <f>+G203+7</f>
        <v/>
      </c>
      <c r="H204" s="205">
        <f>'bands_A-H_Avg'!$H204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v>6.8</v>
      </c>
      <c r="CP204" s="970" t="n">
        <v>0.8835499999999999</v>
      </c>
    </row>
    <row r="205">
      <c r="B205" s="204">
        <f>+C205-1</f>
        <v/>
      </c>
      <c r="C205" s="204">
        <f>IF(bands_A!$D$9+1&gt;MONTH(G205),YEAR(G205),YEAR(G205)+1)</f>
        <v/>
      </c>
      <c r="D205" s="204">
        <f>+C205+1</f>
        <v/>
      </c>
      <c r="E205" s="203">
        <f>IF(C205&gt;C204,1,E204+1)</f>
        <v/>
      </c>
      <c r="F205" s="203">
        <f>COUNTIF(C:C,C205)</f>
        <v/>
      </c>
      <c r="G205" s="198">
        <f>+G204+7</f>
        <v/>
      </c>
      <c r="H205" s="205">
        <f>'bands_A-H_Avg'!$H205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v>6.8</v>
      </c>
      <c r="CP205" s="970" t="n">
        <v>0.8835499999999999</v>
      </c>
    </row>
    <row r="206">
      <c r="B206" s="204">
        <f>+C206-1</f>
        <v/>
      </c>
      <c r="C206" s="204">
        <f>IF(bands_A!$D$9+1&gt;MONTH(G206),YEAR(G206),YEAR(G206)+1)</f>
        <v/>
      </c>
      <c r="D206" s="204">
        <f>+C206+1</f>
        <v/>
      </c>
      <c r="E206" s="203">
        <f>IF(C206&gt;C205,1,E205+1)</f>
        <v/>
      </c>
      <c r="F206" s="203">
        <f>COUNTIF(C:C,C206)</f>
        <v/>
      </c>
      <c r="G206" s="198">
        <f>+G205+7</f>
        <v/>
      </c>
      <c r="H206" s="205">
        <f>'bands_A-H_Avg'!$H206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v>6.8</v>
      </c>
      <c r="CP206" s="970" t="n">
        <v>0.8835499999999999</v>
      </c>
    </row>
    <row r="207">
      <c r="B207" s="204">
        <f>+C207-1</f>
        <v/>
      </c>
      <c r="C207" s="204">
        <f>IF(bands_A!$D$9+1&gt;MONTH(G207),YEAR(G207),YEAR(G207)+1)</f>
        <v/>
      </c>
      <c r="D207" s="204">
        <f>+C207+1</f>
        <v/>
      </c>
      <c r="E207" s="203">
        <f>IF(C207&gt;C206,1,E206+1)</f>
        <v/>
      </c>
      <c r="F207" s="203">
        <f>COUNTIF(C:C,C207)</f>
        <v/>
      </c>
      <c r="G207" s="198">
        <f>+G206+7</f>
        <v/>
      </c>
      <c r="H207" s="205">
        <f>'bands_A-H_Avg'!$H207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v>6.8</v>
      </c>
      <c r="CP207" s="970" t="n">
        <v>0.8835499999999999</v>
      </c>
    </row>
    <row r="208">
      <c r="B208" s="204">
        <f>+C208-1</f>
        <v/>
      </c>
      <c r="C208" s="204">
        <f>IF(bands_A!$D$9+1&gt;MONTH(G208),YEAR(G208),YEAR(G208)+1)</f>
        <v/>
      </c>
      <c r="D208" s="204">
        <f>+C208+1</f>
        <v/>
      </c>
      <c r="E208" s="203">
        <f>IF(C208&gt;C207,1,E207+1)</f>
        <v/>
      </c>
      <c r="F208" s="203">
        <f>COUNTIF(C:C,C208)</f>
        <v/>
      </c>
      <c r="G208" s="198">
        <f>+G207+7</f>
        <v/>
      </c>
      <c r="H208" s="205">
        <f>'bands_A-H_Avg'!$H208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v>6.8</v>
      </c>
      <c r="CP208" s="970" t="n">
        <v>0.8835499999999999</v>
      </c>
    </row>
    <row r="209">
      <c r="B209" s="204">
        <f>+C209-1</f>
        <v/>
      </c>
      <c r="C209" s="204">
        <f>IF(bands_A!$D$9+1&gt;MONTH(G209),YEAR(G209),YEAR(G209)+1)</f>
        <v/>
      </c>
      <c r="D209" s="204">
        <f>+C209+1</f>
        <v/>
      </c>
      <c r="E209" s="203">
        <f>IF(C209&gt;C208,1,E208+1)</f>
        <v/>
      </c>
      <c r="F209" s="203">
        <f>COUNTIF(C:C,C209)</f>
        <v/>
      </c>
      <c r="G209" s="198">
        <f>+G208+7</f>
        <v/>
      </c>
      <c r="H209" s="205">
        <f>'bands_A-H_Avg'!$H209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v>6.8</v>
      </c>
      <c r="CP209" s="970" t="n">
        <v>0.8835499999999999</v>
      </c>
    </row>
    <row r="210">
      <c r="B210" s="204">
        <f>+C210-1</f>
        <v/>
      </c>
      <c r="C210" s="204">
        <f>IF(bands_A!$D$9+1&gt;MONTH(G210),YEAR(G210),YEAR(G210)+1)</f>
        <v/>
      </c>
      <c r="D210" s="204">
        <f>+C210+1</f>
        <v/>
      </c>
      <c r="E210" s="203">
        <f>IF(C210&gt;C209,1,E209+1)</f>
        <v/>
      </c>
      <c r="F210" s="203">
        <f>COUNTIF(C:C,C210)</f>
        <v/>
      </c>
      <c r="G210" s="198">
        <f>+G209+7</f>
        <v/>
      </c>
      <c r="H210" s="205">
        <f>'bands_A-H_Avg'!$H210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v>6.8</v>
      </c>
      <c r="CP210" s="970" t="n">
        <v>0.8835499999999999</v>
      </c>
    </row>
    <row r="211">
      <c r="B211" s="204">
        <f>+C211-1</f>
        <v/>
      </c>
      <c r="C211" s="204">
        <f>IF(bands_A!$D$9+1&gt;MONTH(G211),YEAR(G211),YEAR(G211)+1)</f>
        <v/>
      </c>
      <c r="D211" s="204">
        <f>+C211+1</f>
        <v/>
      </c>
      <c r="E211" s="203">
        <f>IF(C211&gt;C210,1,E210+1)</f>
        <v/>
      </c>
      <c r="F211" s="203">
        <f>COUNTIF(C:C,C211)</f>
        <v/>
      </c>
      <c r="G211" s="198">
        <f>+G210+7</f>
        <v/>
      </c>
      <c r="H211" s="205">
        <f>'bands_A-H_Avg'!$H211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v>6.8</v>
      </c>
      <c r="CP211" s="970" t="n">
        <v>0.8835499999999999</v>
      </c>
    </row>
    <row r="212">
      <c r="B212" s="204">
        <f>+C212-1</f>
        <v/>
      </c>
      <c r="C212" s="204">
        <f>IF(bands_A!$D$9+1&gt;MONTH(G212),YEAR(G212),YEAR(G212)+1)</f>
        <v/>
      </c>
      <c r="D212" s="204">
        <f>+C212+1</f>
        <v/>
      </c>
      <c r="E212" s="203">
        <f>IF(C212&gt;C211,1,E211+1)</f>
        <v/>
      </c>
      <c r="F212" s="203">
        <f>COUNTIF(C:C,C212)</f>
        <v/>
      </c>
      <c r="G212" s="198">
        <f>+G211+7</f>
        <v/>
      </c>
      <c r="H212" s="205">
        <f>'bands_A-H_Avg'!$H212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v>6.8</v>
      </c>
      <c r="CP212" s="970" t="n">
        <v>0.8835499999999999</v>
      </c>
    </row>
    <row r="213">
      <c r="B213" s="204">
        <f>+C213-1</f>
        <v/>
      </c>
      <c r="C213" s="204">
        <f>IF(bands_A!$D$9+1&gt;MONTH(G213),YEAR(G213),YEAR(G213)+1)</f>
        <v/>
      </c>
      <c r="D213" s="204">
        <f>+C213+1</f>
        <v/>
      </c>
      <c r="E213" s="203">
        <f>IF(C213&gt;C212,1,E212+1)</f>
        <v/>
      </c>
      <c r="F213" s="203">
        <f>COUNTIF(C:C,C213)</f>
        <v/>
      </c>
      <c r="G213" s="198">
        <f>+G212+7</f>
        <v/>
      </c>
      <c r="H213" s="205">
        <f>'bands_A-H_Avg'!$H213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v>6.8</v>
      </c>
      <c r="CP213" s="970" t="n">
        <v>0.8835499999999999</v>
      </c>
    </row>
    <row r="214">
      <c r="B214" s="204">
        <f>+C214-1</f>
        <v/>
      </c>
      <c r="C214" s="204">
        <f>IF(bands_A!$D$9+1&gt;MONTH(G214),YEAR(G214),YEAR(G214)+1)</f>
        <v/>
      </c>
      <c r="D214" s="204">
        <f>+C214+1</f>
        <v/>
      </c>
      <c r="E214" s="203">
        <f>IF(C214&gt;C213,1,E213+1)</f>
        <v/>
      </c>
      <c r="F214" s="203">
        <f>COUNTIF(C:C,C214)</f>
        <v/>
      </c>
      <c r="G214" s="198">
        <f>+G213+7</f>
        <v/>
      </c>
      <c r="H214" s="205">
        <f>'bands_A-H_Avg'!$H214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v>6.8</v>
      </c>
      <c r="CP214" s="970" t="n">
        <v>0.8835499999999999</v>
      </c>
    </row>
    <row r="215">
      <c r="B215" s="204">
        <f>+C215-1</f>
        <v/>
      </c>
      <c r="C215" s="204">
        <f>IF(bands_A!$D$9+1&gt;MONTH(G215),YEAR(G215),YEAR(G215)+1)</f>
        <v/>
      </c>
      <c r="D215" s="204">
        <f>+C215+1</f>
        <v/>
      </c>
      <c r="E215" s="203">
        <f>IF(C215&gt;C214,1,E214+1)</f>
        <v/>
      </c>
      <c r="F215" s="203">
        <f>COUNTIF(C:C,C215)</f>
        <v/>
      </c>
      <c r="G215" s="198">
        <f>+G214+7</f>
        <v/>
      </c>
      <c r="H215" s="205">
        <f>'bands_A-H_Avg'!$H215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v>6.8</v>
      </c>
      <c r="CP215" s="970" t="n">
        <v>0.8835499999999999</v>
      </c>
    </row>
    <row r="216">
      <c r="B216" s="204">
        <f>+C216-1</f>
        <v/>
      </c>
      <c r="C216" s="204">
        <f>IF(bands_A!$D$9+1&gt;MONTH(G216),YEAR(G216),YEAR(G216)+1)</f>
        <v/>
      </c>
      <c r="D216" s="204">
        <f>+C216+1</f>
        <v/>
      </c>
      <c r="E216" s="203">
        <f>IF(C216&gt;C215,1,E215+1)</f>
        <v/>
      </c>
      <c r="F216" s="203">
        <f>COUNTIF(C:C,C216)</f>
        <v/>
      </c>
      <c r="G216" s="198">
        <f>+G215+7</f>
        <v/>
      </c>
      <c r="H216" s="205">
        <f>'bands_A-H_Avg'!$H216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v>6.8</v>
      </c>
      <c r="CP216" s="970" t="n">
        <v>0.8835499999999999</v>
      </c>
    </row>
    <row r="217">
      <c r="B217" s="204">
        <f>+C217-1</f>
        <v/>
      </c>
      <c r="C217" s="204">
        <f>IF(bands_A!$D$9+1&gt;MONTH(G217),YEAR(G217),YEAR(G217)+1)</f>
        <v/>
      </c>
      <c r="D217" s="204">
        <f>+C217+1</f>
        <v/>
      </c>
      <c r="E217" s="203">
        <f>IF(C217&gt;C216,1,E216+1)</f>
        <v/>
      </c>
      <c r="F217" s="203">
        <f>COUNTIF(C:C,C217)</f>
        <v/>
      </c>
      <c r="G217" s="198">
        <f>+G216+7</f>
        <v/>
      </c>
      <c r="H217" s="205">
        <f>'bands_A-H_Avg'!$H217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v>6.8</v>
      </c>
      <c r="CP217" s="970" t="n">
        <v>0.8835499999999999</v>
      </c>
    </row>
    <row r="218">
      <c r="B218" s="204">
        <f>+C218-1</f>
        <v/>
      </c>
      <c r="C218" s="204">
        <f>IF(bands_A!$D$9+1&gt;MONTH(G218),YEAR(G218),YEAR(G218)+1)</f>
        <v/>
      </c>
      <c r="D218" s="204">
        <f>+C218+1</f>
        <v/>
      </c>
      <c r="E218" s="203">
        <f>IF(C218&gt;C217,1,E217+1)</f>
        <v/>
      </c>
      <c r="F218" s="203">
        <f>COUNTIF(C:C,C218)</f>
        <v/>
      </c>
      <c r="G218" s="198">
        <f>+G217+7</f>
        <v/>
      </c>
      <c r="H218" s="205">
        <f>'bands_A-H_Avg'!$H218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v>6.8</v>
      </c>
      <c r="CP218" s="970" t="n">
        <v>0.8835499999999999</v>
      </c>
    </row>
    <row r="219">
      <c r="B219" s="204">
        <f>+C219-1</f>
        <v/>
      </c>
      <c r="C219" s="204">
        <f>IF(bands_A!$D$9+1&gt;MONTH(G219),YEAR(G219),YEAR(G219)+1)</f>
        <v/>
      </c>
      <c r="D219" s="204">
        <f>+C219+1</f>
        <v/>
      </c>
      <c r="E219" s="203">
        <f>IF(C219&gt;C218,1,E218+1)</f>
        <v/>
      </c>
      <c r="F219" s="203">
        <f>COUNTIF(C:C,C219)</f>
        <v/>
      </c>
      <c r="G219" s="198">
        <f>+G218+7</f>
        <v/>
      </c>
      <c r="H219" s="205">
        <f>'bands_A-H_Avg'!$H219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v>6.8</v>
      </c>
      <c r="CP219" s="970" t="n">
        <v>0.8835499999999999</v>
      </c>
    </row>
    <row r="220">
      <c r="B220" s="204">
        <f>+C220-1</f>
        <v/>
      </c>
      <c r="C220" s="204">
        <f>IF(bands_A!$D$9+1&gt;MONTH(G220),YEAR(G220),YEAR(G220)+1)</f>
        <v/>
      </c>
      <c r="D220" s="204">
        <f>+C220+1</f>
        <v/>
      </c>
      <c r="E220" s="203">
        <f>IF(C220&gt;C219,1,E219+1)</f>
        <v/>
      </c>
      <c r="F220" s="203">
        <f>COUNTIF(C:C,C220)</f>
        <v/>
      </c>
      <c r="G220" s="198">
        <f>+G219+7</f>
        <v/>
      </c>
      <c r="H220" s="205">
        <f>'bands_A-H_Avg'!$H220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v>6.8</v>
      </c>
      <c r="CP220" s="970" t="n">
        <v>0.8835499999999999</v>
      </c>
    </row>
    <row r="221">
      <c r="B221" s="204">
        <f>+C221-1</f>
        <v/>
      </c>
      <c r="C221" s="204">
        <f>IF(bands_A!$D$9+1&gt;MONTH(G221),YEAR(G221),YEAR(G221)+1)</f>
        <v/>
      </c>
      <c r="D221" s="204">
        <f>+C221+1</f>
        <v/>
      </c>
      <c r="E221" s="203">
        <f>IF(C221&gt;C220,1,E220+1)</f>
        <v/>
      </c>
      <c r="F221" s="203">
        <f>COUNTIF(C:C,C221)</f>
        <v/>
      </c>
      <c r="G221" s="198">
        <f>+G220+7</f>
        <v/>
      </c>
      <c r="H221" s="205">
        <f>'bands_A-H_Avg'!$H221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v>6.8</v>
      </c>
      <c r="CP221" s="970" t="n">
        <v>0.8835499999999999</v>
      </c>
    </row>
    <row r="222">
      <c r="B222" s="204">
        <f>+C222-1</f>
        <v/>
      </c>
      <c r="C222" s="204">
        <f>IF(bands_A!$D$9+1&gt;MONTH(G222),YEAR(G222),YEAR(G222)+1)</f>
        <v/>
      </c>
      <c r="D222" s="204">
        <f>+C222+1</f>
        <v/>
      </c>
      <c r="E222" s="203">
        <f>IF(C222&gt;C221,1,E221+1)</f>
        <v/>
      </c>
      <c r="F222" s="203">
        <f>COUNTIF(C:C,C222)</f>
        <v/>
      </c>
      <c r="G222" s="198">
        <f>+G221+7</f>
        <v/>
      </c>
      <c r="H222" s="205">
        <f>'bands_A-H_Avg'!$H222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v>6.8</v>
      </c>
      <c r="CP222" s="970" t="n">
        <v>0.8835499999999999</v>
      </c>
    </row>
    <row r="223">
      <c r="B223" s="204">
        <f>+C223-1</f>
        <v/>
      </c>
      <c r="C223" s="204">
        <f>IF(bands_A!$D$9+1&gt;MONTH(G223),YEAR(G223),YEAR(G223)+1)</f>
        <v/>
      </c>
      <c r="D223" s="204">
        <f>+C223+1</f>
        <v/>
      </c>
      <c r="E223" s="203">
        <f>IF(C223&gt;C222,1,E222+1)</f>
        <v/>
      </c>
      <c r="F223" s="203">
        <f>COUNTIF(C:C,C223)</f>
        <v/>
      </c>
      <c r="G223" s="198">
        <f>+G222+7</f>
        <v/>
      </c>
      <c r="H223" s="205">
        <f>'bands_A-H_Avg'!$H223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v>6.8</v>
      </c>
      <c r="CP223" s="970" t="n">
        <v>0.8835499999999999</v>
      </c>
    </row>
    <row r="224">
      <c r="B224" s="204">
        <f>+C224-1</f>
        <v/>
      </c>
      <c r="C224" s="204">
        <f>IF(bands_A!$D$9+1&gt;MONTH(G224),YEAR(G224),YEAR(G224)+1)</f>
        <v/>
      </c>
      <c r="D224" s="204">
        <f>+C224+1</f>
        <v/>
      </c>
      <c r="E224" s="203">
        <f>IF(C224&gt;C223,1,E223+1)</f>
        <v/>
      </c>
      <c r="F224" s="203">
        <f>COUNTIF(C:C,C224)</f>
        <v/>
      </c>
      <c r="G224" s="198">
        <f>+G223+7</f>
        <v/>
      </c>
      <c r="H224" s="205">
        <f>'bands_A-H_Avg'!$H224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v>6.8</v>
      </c>
      <c r="CP224" s="970" t="n">
        <v>0.8835499999999999</v>
      </c>
    </row>
    <row r="225">
      <c r="B225" s="204">
        <f>+C225-1</f>
        <v/>
      </c>
      <c r="C225" s="204">
        <f>IF(bands_A!$D$9+1&gt;MONTH(G225),YEAR(G225),YEAR(G225)+1)</f>
        <v/>
      </c>
      <c r="D225" s="204">
        <f>+C225+1</f>
        <v/>
      </c>
      <c r="E225" s="203">
        <f>IF(C225&gt;C224,1,E224+1)</f>
        <v/>
      </c>
      <c r="F225" s="203">
        <f>COUNTIF(C:C,C225)</f>
        <v/>
      </c>
      <c r="G225" s="198">
        <f>+G224+7</f>
        <v/>
      </c>
      <c r="H225" s="205">
        <f>'bands_A-H_Avg'!$H225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v>6.8</v>
      </c>
      <c r="CP225" s="970" t="n">
        <v>0.8835499999999999</v>
      </c>
    </row>
    <row r="226">
      <c r="B226" s="204">
        <f>+C226-1</f>
        <v/>
      </c>
      <c r="C226" s="204">
        <f>IF(bands_A!$D$9+1&gt;MONTH(G226),YEAR(G226),YEAR(G226)+1)</f>
        <v/>
      </c>
      <c r="D226" s="204">
        <f>+C226+1</f>
        <v/>
      </c>
      <c r="E226" s="203">
        <f>IF(C226&gt;C225,1,E225+1)</f>
        <v/>
      </c>
      <c r="F226" s="203">
        <f>COUNTIF(C:C,C226)</f>
        <v/>
      </c>
      <c r="G226" s="198">
        <f>+G225+7</f>
        <v/>
      </c>
      <c r="H226" s="205">
        <f>'bands_A-H_Avg'!$H226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v>6.8</v>
      </c>
      <c r="CP226" s="970" t="n">
        <v>0.8835499999999999</v>
      </c>
    </row>
    <row r="227">
      <c r="B227" s="204">
        <f>+C227-1</f>
        <v/>
      </c>
      <c r="C227" s="204">
        <f>IF(bands_A!$D$9+1&gt;MONTH(G227),YEAR(G227),YEAR(G227)+1)</f>
        <v/>
      </c>
      <c r="D227" s="204">
        <f>+C227+1</f>
        <v/>
      </c>
      <c r="E227" s="203">
        <f>IF(C227&gt;C226,1,E226+1)</f>
        <v/>
      </c>
      <c r="F227" s="203">
        <f>COUNTIF(C:C,C227)</f>
        <v/>
      </c>
      <c r="G227" s="198">
        <f>+G226+7</f>
        <v/>
      </c>
      <c r="H227" s="205">
        <f>'bands_A-H_Avg'!$H227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v>6.8</v>
      </c>
      <c r="CP227" s="970" t="n">
        <v>0.8835499999999999</v>
      </c>
    </row>
    <row r="228">
      <c r="B228" s="204">
        <f>+C228-1</f>
        <v/>
      </c>
      <c r="C228" s="204">
        <f>IF(bands_A!$D$9+1&gt;MONTH(G228),YEAR(G228),YEAR(G228)+1)</f>
        <v/>
      </c>
      <c r="D228" s="204">
        <f>+C228+1</f>
        <v/>
      </c>
      <c r="E228" s="203">
        <f>IF(C228&gt;C227,1,E227+1)</f>
        <v/>
      </c>
      <c r="F228" s="203">
        <f>COUNTIF(C:C,C228)</f>
        <v/>
      </c>
      <c r="G228" s="198">
        <f>+G227+7</f>
        <v/>
      </c>
      <c r="H228" s="205">
        <f>'bands_A-H_Avg'!$H228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v>6.8</v>
      </c>
      <c r="CP228" s="970" t="n">
        <v>0.8835499999999999</v>
      </c>
    </row>
    <row r="229">
      <c r="B229" s="204">
        <f>+C229-1</f>
        <v/>
      </c>
      <c r="C229" s="204">
        <f>IF(bands_A!$D$9+1&gt;MONTH(G229),YEAR(G229),YEAR(G229)+1)</f>
        <v/>
      </c>
      <c r="D229" s="204">
        <f>+C229+1</f>
        <v/>
      </c>
      <c r="E229" s="203">
        <f>IF(C229&gt;C228,1,E228+1)</f>
        <v/>
      </c>
      <c r="F229" s="203">
        <f>COUNTIF(C:C,C229)</f>
        <v/>
      </c>
      <c r="G229" s="198">
        <f>+G228+7</f>
        <v/>
      </c>
      <c r="H229" s="205">
        <f>'bands_A-H_Avg'!$H229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v>6.8</v>
      </c>
      <c r="CP229" s="970" t="n">
        <v>0.8835499999999999</v>
      </c>
    </row>
    <row r="230">
      <c r="B230" s="204">
        <f>+C230-1</f>
        <v/>
      </c>
      <c r="C230" s="204">
        <f>IF(bands_A!$D$9+1&gt;MONTH(G230),YEAR(G230),YEAR(G230)+1)</f>
        <v/>
      </c>
      <c r="D230" s="204">
        <f>+C230+1</f>
        <v/>
      </c>
      <c r="E230" s="203">
        <f>IF(C230&gt;C229,1,E229+1)</f>
        <v/>
      </c>
      <c r="F230" s="203">
        <f>COUNTIF(C:C,C230)</f>
        <v/>
      </c>
      <c r="G230" s="198">
        <f>+G229+7</f>
        <v/>
      </c>
      <c r="H230" s="205">
        <f>'bands_A-H_Avg'!$H230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v>6.8</v>
      </c>
      <c r="CP230" s="970" t="n">
        <v>0.8835499999999999</v>
      </c>
    </row>
    <row r="231">
      <c r="B231" s="204">
        <f>+C231-1</f>
        <v/>
      </c>
      <c r="C231" s="204">
        <f>IF(bands_A!$D$9+1&gt;MONTH(G231),YEAR(G231),YEAR(G231)+1)</f>
        <v/>
      </c>
      <c r="D231" s="204">
        <f>+C231+1</f>
        <v/>
      </c>
      <c r="E231" s="203">
        <f>IF(C231&gt;C230,1,E230+1)</f>
        <v/>
      </c>
      <c r="F231" s="203">
        <f>COUNTIF(C:C,C231)</f>
        <v/>
      </c>
      <c r="G231" s="198">
        <f>+G230+7</f>
        <v/>
      </c>
      <c r="H231" s="205">
        <f>'bands_A-H_Avg'!$H231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v>6.8</v>
      </c>
      <c r="CP231" s="970" t="n">
        <v>0.8835499999999999</v>
      </c>
    </row>
    <row r="232">
      <c r="B232" s="204">
        <f>+C232-1</f>
        <v/>
      </c>
      <c r="C232" s="204">
        <f>IF(bands_A!$D$9+1&gt;MONTH(G232),YEAR(G232),YEAR(G232)+1)</f>
        <v/>
      </c>
      <c r="D232" s="204">
        <f>+C232+1</f>
        <v/>
      </c>
      <c r="E232" s="203">
        <f>IF(C232&gt;C231,1,E231+1)</f>
        <v/>
      </c>
      <c r="F232" s="203">
        <f>COUNTIF(C:C,C232)</f>
        <v/>
      </c>
      <c r="G232" s="198">
        <f>+G231+7</f>
        <v/>
      </c>
      <c r="H232" s="205">
        <f>'bands_A-H_Avg'!$H232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v>6.8</v>
      </c>
      <c r="CP232" s="970" t="n">
        <v>0.8835499999999999</v>
      </c>
    </row>
    <row r="233">
      <c r="B233" s="204">
        <f>+C233-1</f>
        <v/>
      </c>
      <c r="C233" s="204">
        <f>IF(bands_A!$D$9+1&gt;MONTH(G233),YEAR(G233),YEAR(G233)+1)</f>
        <v/>
      </c>
      <c r="D233" s="204">
        <f>+C233+1</f>
        <v/>
      </c>
      <c r="E233" s="203">
        <f>IF(C233&gt;C232,1,E232+1)</f>
        <v/>
      </c>
      <c r="F233" s="203">
        <f>COUNTIF(C:C,C233)</f>
        <v/>
      </c>
      <c r="G233" s="198">
        <f>+G232+7</f>
        <v/>
      </c>
      <c r="H233" s="205">
        <f>'bands_A-H_Avg'!$H233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v>6.8</v>
      </c>
      <c r="CP233" s="970" t="n">
        <v>0.8835499999999999</v>
      </c>
    </row>
    <row r="234">
      <c r="B234" s="204">
        <f>+C234-1</f>
        <v/>
      </c>
      <c r="C234" s="204">
        <f>IF(bands_A!$D$9+1&gt;MONTH(G234),YEAR(G234),YEAR(G234)+1)</f>
        <v/>
      </c>
      <c r="D234" s="204">
        <f>+C234+1</f>
        <v/>
      </c>
      <c r="E234" s="203">
        <f>IF(C234&gt;C233,1,E233+1)</f>
        <v/>
      </c>
      <c r="F234" s="203">
        <f>COUNTIF(C:C,C234)</f>
        <v/>
      </c>
      <c r="G234" s="198">
        <f>+G233+7</f>
        <v/>
      </c>
      <c r="H234" s="205">
        <f>'bands_A-H_Avg'!$H234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v>6.8</v>
      </c>
      <c r="CP234" s="970" t="n">
        <v>0.8835499999999999</v>
      </c>
    </row>
    <row r="235">
      <c r="B235" s="204">
        <f>+C235-1</f>
        <v/>
      </c>
      <c r="C235" s="204">
        <f>IF(bands_A!$D$9+1&gt;MONTH(G235),YEAR(G235),YEAR(G235)+1)</f>
        <v/>
      </c>
      <c r="D235" s="204">
        <f>+C235+1</f>
        <v/>
      </c>
      <c r="E235" s="203">
        <f>IF(C235&gt;C234,1,E234+1)</f>
        <v/>
      </c>
      <c r="F235" s="203">
        <f>COUNTIF(C:C,C235)</f>
        <v/>
      </c>
      <c r="G235" s="198">
        <f>+G234+7</f>
        <v/>
      </c>
      <c r="H235" s="205">
        <f>'bands_A-H_Avg'!$H235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v>6.8</v>
      </c>
      <c r="CP235" s="970" t="n">
        <v>0.8835499999999999</v>
      </c>
    </row>
    <row r="236">
      <c r="B236" s="204">
        <f>+C236-1</f>
        <v/>
      </c>
      <c r="C236" s="204">
        <f>IF(bands_A!$D$9+1&gt;MONTH(G236),YEAR(G236),YEAR(G236)+1)</f>
        <v/>
      </c>
      <c r="D236" s="204">
        <f>+C236+1</f>
        <v/>
      </c>
      <c r="E236" s="203">
        <f>IF(C236&gt;C235,1,E235+1)</f>
        <v/>
      </c>
      <c r="F236" s="203">
        <f>COUNTIF(C:C,C236)</f>
        <v/>
      </c>
      <c r="G236" s="198">
        <f>+G235+7</f>
        <v/>
      </c>
      <c r="H236" s="205">
        <f>'bands_A-H_Avg'!$H236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v>6.8</v>
      </c>
      <c r="CP236" s="970" t="n">
        <v>0.8835499999999999</v>
      </c>
    </row>
    <row r="237">
      <c r="B237" s="204">
        <f>+C237-1</f>
        <v/>
      </c>
      <c r="C237" s="204">
        <f>IF(bands_A!$D$9+1&gt;MONTH(G237),YEAR(G237),YEAR(G237)+1)</f>
        <v/>
      </c>
      <c r="D237" s="204">
        <f>+C237+1</f>
        <v/>
      </c>
      <c r="E237" s="203">
        <f>IF(C237&gt;C236,1,E236+1)</f>
        <v/>
      </c>
      <c r="F237" s="203">
        <f>COUNTIF(C:C,C237)</f>
        <v/>
      </c>
      <c r="G237" s="198">
        <f>+G236+7</f>
        <v/>
      </c>
      <c r="H237" s="205">
        <f>'bands_A-H_Avg'!$H237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v>6.8</v>
      </c>
      <c r="CP237" s="970" t="n">
        <v>0.8835499999999999</v>
      </c>
    </row>
    <row r="238">
      <c r="B238" s="204">
        <f>+C238-1</f>
        <v/>
      </c>
      <c r="C238" s="204">
        <f>IF(bands_A!$D$9+1&gt;MONTH(G238),YEAR(G238),YEAR(G238)+1)</f>
        <v/>
      </c>
      <c r="D238" s="204">
        <f>+C238+1</f>
        <v/>
      </c>
      <c r="E238" s="203">
        <f>IF(C238&gt;C237,1,E237+1)</f>
        <v/>
      </c>
      <c r="F238" s="203">
        <f>COUNTIF(C:C,C238)</f>
        <v/>
      </c>
      <c r="G238" s="198">
        <f>+G237+7</f>
        <v/>
      </c>
      <c r="H238" s="205">
        <f>'bands_A-H_Avg'!$H238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v>6.8</v>
      </c>
      <c r="CP238" s="970" t="n">
        <v>0.8835499999999999</v>
      </c>
    </row>
    <row r="239">
      <c r="B239" s="204">
        <f>+C239-1</f>
        <v/>
      </c>
      <c r="C239" s="204">
        <f>IF(bands_A!$D$9+1&gt;MONTH(G239),YEAR(G239),YEAR(G239)+1)</f>
        <v/>
      </c>
      <c r="D239" s="204">
        <f>+C239+1</f>
        <v/>
      </c>
      <c r="E239" s="203">
        <f>IF(C239&gt;C238,1,E238+1)</f>
        <v/>
      </c>
      <c r="F239" s="203">
        <f>COUNTIF(C:C,C239)</f>
        <v/>
      </c>
      <c r="G239" s="198">
        <f>+G238+7</f>
        <v/>
      </c>
      <c r="H239" s="205">
        <f>'bands_A-H_Avg'!$H239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v>6.8</v>
      </c>
      <c r="CP239" s="970" t="n">
        <v>0.8835499999999999</v>
      </c>
    </row>
    <row r="240">
      <c r="B240" s="204">
        <f>+C240-1</f>
        <v/>
      </c>
      <c r="C240" s="204">
        <f>IF(bands_A!$D$9+1&gt;MONTH(G240),YEAR(G240),YEAR(G240)+1)</f>
        <v/>
      </c>
      <c r="D240" s="204">
        <f>+C240+1</f>
        <v/>
      </c>
      <c r="E240" s="203">
        <f>IF(C240&gt;C239,1,E239+1)</f>
        <v/>
      </c>
      <c r="F240" s="203">
        <f>COUNTIF(C:C,C240)</f>
        <v/>
      </c>
      <c r="G240" s="198">
        <f>+G239+7</f>
        <v/>
      </c>
      <c r="H240" s="205">
        <f>'bands_A-H_Avg'!$H240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v>6.8</v>
      </c>
      <c r="CP240" s="970" t="n">
        <v>0.8835499999999999</v>
      </c>
    </row>
    <row r="241">
      <c r="B241" s="204">
        <f>+C241-1</f>
        <v/>
      </c>
      <c r="C241" s="204">
        <f>IF(bands_A!$D$9+1&gt;MONTH(G241),YEAR(G241),YEAR(G241)+1)</f>
        <v/>
      </c>
      <c r="D241" s="204">
        <f>+C241+1</f>
        <v/>
      </c>
      <c r="E241" s="203">
        <f>IF(C241&gt;C240,1,E240+1)</f>
        <v/>
      </c>
      <c r="F241" s="203">
        <f>COUNTIF(C:C,C241)</f>
        <v/>
      </c>
      <c r="G241" s="198">
        <f>+G240+7</f>
        <v/>
      </c>
      <c r="H241" s="361">
        <f>+CO241/CP241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6.8</v>
      </c>
      <c r="CP241" s="970" t="n">
        <v>0.8835499999999999</v>
      </c>
    </row>
    <row r="242">
      <c r="B242" s="204">
        <f>+C242-1</f>
        <v/>
      </c>
      <c r="C242" s="204">
        <f>IF(bands_A!$D$9+1&gt;MONTH(G242),YEAR(G242),YEAR(G242)+1)</f>
        <v/>
      </c>
      <c r="D242" s="204">
        <f>+C242+1</f>
        <v/>
      </c>
      <c r="E242" s="203">
        <f>IF(C242&gt;C241,1,E241+1)</f>
        <v/>
      </c>
      <c r="F242" s="203">
        <f>COUNTIF(C:C,C242)</f>
        <v/>
      </c>
      <c r="G242" s="198">
        <f>+G241+7</f>
        <v/>
      </c>
      <c r="H242" s="361">
        <f>+CO242/CP242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7.01</v>
      </c>
      <c r="CP242" s="970" t="n">
        <v>0.8832100000000001</v>
      </c>
    </row>
    <row r="243">
      <c r="B243" s="204">
        <f>+C243-1</f>
        <v/>
      </c>
      <c r="C243" s="204">
        <f>IF(bands_A!$D$9+1&gt;MONTH(G243),YEAR(G243),YEAR(G243)+1)</f>
        <v/>
      </c>
      <c r="D243" s="204">
        <f>+C243+1</f>
        <v/>
      </c>
      <c r="E243" s="203">
        <f>IF(C243&gt;C242,1,E242+1)</f>
        <v/>
      </c>
      <c r="F243" s="203">
        <f>COUNTIF(C:C,C243)</f>
        <v/>
      </c>
      <c r="G243" s="198">
        <f>+G242+7</f>
        <v/>
      </c>
      <c r="H243" s="361">
        <f>+CO243/CP243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6.75</v>
      </c>
      <c r="CP243" s="970" t="n">
        <v>0.88196</v>
      </c>
    </row>
    <row r="244">
      <c r="B244" s="204">
        <f>+C244-1</f>
        <v/>
      </c>
      <c r="C244" s="204">
        <f>IF(bands_A!$D$9+1&gt;MONTH(G244),YEAR(G244),YEAR(G244)+1)</f>
        <v/>
      </c>
      <c r="D244" s="204">
        <f>+C244+1</f>
        <v/>
      </c>
      <c r="E244" s="203">
        <f>IF(C244&gt;C243,1,E243+1)</f>
        <v/>
      </c>
      <c r="F244" s="203">
        <f>COUNTIF(C:C,C244)</f>
        <v/>
      </c>
      <c r="G244" s="198">
        <f>+G243+7</f>
        <v/>
      </c>
      <c r="H244" s="361">
        <f>+CO244/CP244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6.01</v>
      </c>
      <c r="CP244" s="970" t="n">
        <v>0.88271</v>
      </c>
    </row>
    <row r="245">
      <c r="B245" s="204">
        <f>+C245-1</f>
        <v/>
      </c>
      <c r="C245" s="204">
        <f>IF(bands_A!$D$9+1&gt;MONTH(G245),YEAR(G245),YEAR(G245)+1)</f>
        <v/>
      </c>
      <c r="D245" s="204">
        <f>+C245+1</f>
        <v/>
      </c>
      <c r="E245" s="203">
        <f>IF(C245&gt;C244,1,E244+1)</f>
        <v/>
      </c>
      <c r="F245" s="203">
        <f>COUNTIF(C:C,C245)</f>
        <v/>
      </c>
      <c r="G245" s="198">
        <f>+G244+7</f>
        <v/>
      </c>
      <c r="H245" s="361">
        <f>+CO245/CP245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5.78</v>
      </c>
      <c r="CP245" s="970" t="n">
        <v>0.88179</v>
      </c>
    </row>
    <row r="246">
      <c r="B246" s="204">
        <f>+C246-1</f>
        <v/>
      </c>
      <c r="C246" s="204">
        <f>IF(bands_A!$D$9+1&gt;MONTH(G246),YEAR(G246),YEAR(G246)+1)</f>
        <v/>
      </c>
      <c r="D246" s="204">
        <f>+C246+1</f>
        <v/>
      </c>
      <c r="E246" s="203">
        <f>IF(C246&gt;C245,1,E245+1)</f>
        <v/>
      </c>
      <c r="F246" s="203">
        <f>COUNTIF(C:C,C246)</f>
        <v/>
      </c>
      <c r="G246" s="198">
        <f>+G245+7</f>
        <v/>
      </c>
      <c r="H246" s="361">
        <f>+CO246/CP246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6.33</v>
      </c>
      <c r="CP246" s="970" t="n">
        <v>0.88181</v>
      </c>
    </row>
    <row r="247">
      <c r="B247" s="204">
        <f>+C247-1</f>
        <v/>
      </c>
      <c r="C247" s="204">
        <f>IF(bands_A!$D$9+1&gt;MONTH(G247),YEAR(G247),YEAR(G247)+1)</f>
        <v/>
      </c>
      <c r="D247" s="204">
        <f>+C247+1</f>
        <v/>
      </c>
      <c r="E247" s="203">
        <f>IF(C247&gt;C246,1,E246+1)</f>
        <v/>
      </c>
      <c r="F247" s="203">
        <f>COUNTIF(C:C,C247)</f>
        <v/>
      </c>
      <c r="G247" s="198">
        <f>+G246+7</f>
        <v/>
      </c>
      <c r="H247" s="361">
        <f>+CO247/CP247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6.22</v>
      </c>
      <c r="CP247" s="970" t="n">
        <v>0.88126</v>
      </c>
    </row>
    <row r="248">
      <c r="B248" s="204">
        <f>+C248-1</f>
        <v/>
      </c>
      <c r="C248" s="204">
        <f>IF(bands_A!$D$9+1&gt;MONTH(G248),YEAR(G248),YEAR(G248)+1)</f>
        <v/>
      </c>
      <c r="D248" s="204">
        <f>+C248+1</f>
        <v/>
      </c>
      <c r="E248" s="203">
        <f>IF(C248&gt;C247,1,E247+1)</f>
        <v/>
      </c>
      <c r="F248" s="203">
        <f>COUNTIF(C:C,C248)</f>
        <v/>
      </c>
      <c r="G248" s="198">
        <f>+G247+7</f>
        <v/>
      </c>
      <c r="H248" s="361">
        <f>+CO248/CP248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6.21</v>
      </c>
      <c r="CP248" s="970" t="n">
        <v>0.88159</v>
      </c>
    </row>
    <row r="249">
      <c r="B249" s="204">
        <f>+C249-1</f>
        <v/>
      </c>
      <c r="C249" s="204">
        <f>IF(bands_A!$D$9+1&gt;MONTH(G249),YEAR(G249),YEAR(G249)+1)</f>
        <v/>
      </c>
      <c r="D249" s="204">
        <f>+C249+1</f>
        <v/>
      </c>
      <c r="E249" s="203">
        <f>IF(C249&gt;C248,1,E248+1)</f>
        <v/>
      </c>
      <c r="F249" s="203">
        <f>COUNTIF(C:C,C249)</f>
        <v/>
      </c>
      <c r="G249" s="198">
        <f>+G248+7</f>
        <v/>
      </c>
      <c r="H249" s="361">
        <f>+CO249/CP249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6.21</v>
      </c>
      <c r="CP249" s="970" t="n">
        <v>0.88142</v>
      </c>
    </row>
    <row r="250">
      <c r="B250" s="204">
        <f>+C250-1</f>
        <v/>
      </c>
      <c r="C250" s="204">
        <f>IF(bands_A!$D$9+1&gt;MONTH(G250),YEAR(G250),YEAR(G250)+1)</f>
        <v/>
      </c>
      <c r="D250" s="204">
        <f>+C250+1</f>
        <v/>
      </c>
      <c r="E250" s="203">
        <f>IF(C250&gt;C249,1,E249+1)</f>
        <v/>
      </c>
      <c r="F250" s="203">
        <f>COUNTIF(C:C,C250)</f>
        <v/>
      </c>
      <c r="G250" s="198">
        <f>+G249+7</f>
        <v/>
      </c>
      <c r="H250" s="361">
        <f>+CO250/CP250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6.85</v>
      </c>
      <c r="CP250" s="970" t="n">
        <v>0.8816000000000001</v>
      </c>
    </row>
    <row r="251">
      <c r="B251" s="204">
        <f>+C251-1</f>
        <v/>
      </c>
      <c r="C251" s="204">
        <f>IF(bands_A!$D$9+1&gt;MONTH(G251),YEAR(G251),YEAR(G251)+1)</f>
        <v/>
      </c>
      <c r="D251" s="204">
        <f>+C251+1</f>
        <v/>
      </c>
      <c r="E251" s="203">
        <f>IF(C251&gt;C250,1,E250+1)</f>
        <v/>
      </c>
      <c r="F251" s="203">
        <f>COUNTIF(C:C,C251)</f>
        <v/>
      </c>
      <c r="G251" s="198">
        <f>+G250+7</f>
        <v/>
      </c>
      <c r="H251" s="361">
        <f>+CO251/CP251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8.16</v>
      </c>
      <c r="CP251" s="970" t="n">
        <v>0.88136</v>
      </c>
    </row>
    <row r="252">
      <c r="B252" s="204">
        <f>+C252-1</f>
        <v/>
      </c>
      <c r="C252" s="204">
        <f>IF(bands_A!$D$9+1&gt;MONTH(G252),YEAR(G252),YEAR(G252)+1)</f>
        <v/>
      </c>
      <c r="D252" s="204">
        <f>+C252+1</f>
        <v/>
      </c>
      <c r="E252" s="203">
        <f>IF(C252&gt;C251,1,E251+1)</f>
        <v/>
      </c>
      <c r="F252" s="203">
        <f>COUNTIF(C:C,C252)</f>
        <v/>
      </c>
      <c r="G252" s="198">
        <f>+G251+7</f>
        <v/>
      </c>
      <c r="H252" s="361">
        <f>+CO252/CP252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8.300000000000001</v>
      </c>
      <c r="CP252" s="970" t="n">
        <v>0.88164</v>
      </c>
    </row>
    <row r="253">
      <c r="B253" s="204">
        <f>+C253-1</f>
        <v/>
      </c>
      <c r="C253" s="204">
        <f>IF(bands_A!$D$9+1&gt;MONTH(G253),YEAR(G253),YEAR(G253)+1)</f>
        <v/>
      </c>
      <c r="D253" s="204">
        <f>+C253+1</f>
        <v/>
      </c>
      <c r="E253" s="203">
        <f>IF(C253&gt;C252,1,E252+1)</f>
        <v/>
      </c>
      <c r="F253" s="203">
        <f>COUNTIF(C:C,C253)</f>
        <v/>
      </c>
      <c r="G253" s="198">
        <f>+G252+7</f>
        <v/>
      </c>
      <c r="H253" s="361">
        <f>+CO253/CP253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6.75</v>
      </c>
      <c r="CP253" s="970" t="n">
        <v>0.88196</v>
      </c>
    </row>
    <row r="254">
      <c r="B254" s="204">
        <f>+C254-1</f>
        <v/>
      </c>
      <c r="C254" s="204">
        <f>IF(bands_A!$D$9+1&gt;MONTH(G254),YEAR(G254),YEAR(G254)+1)</f>
        <v/>
      </c>
      <c r="D254" s="204">
        <f>+C254+1</f>
        <v/>
      </c>
      <c r="E254" s="203">
        <f>IF(C254&gt;C253,1,E253+1)</f>
        <v/>
      </c>
      <c r="F254" s="203">
        <f>COUNTIF(C:C,C254)</f>
        <v/>
      </c>
      <c r="G254" s="198">
        <f>+G253+7</f>
        <v/>
      </c>
      <c r="H254" s="361">
        <f>+CO254/CP254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7.37</v>
      </c>
      <c r="CP254" s="970" t="n">
        <v>0.88195</v>
      </c>
    </row>
    <row r="255">
      <c r="B255" s="204">
        <f>+C255-1</f>
        <v/>
      </c>
      <c r="C255" s="204">
        <f>IF(bands_A!$D$9+1&gt;MONTH(G255),YEAR(G255),YEAR(G255)+1)</f>
        <v/>
      </c>
      <c r="D255" s="204">
        <f>+C255+1</f>
        <v/>
      </c>
      <c r="E255" s="203">
        <f>IF(C255&gt;C254,1,E254+1)</f>
        <v/>
      </c>
      <c r="F255" s="203">
        <f>COUNTIF(C:C,C255)</f>
        <v/>
      </c>
      <c r="G255" s="198">
        <f>+G254+7</f>
        <v/>
      </c>
      <c r="H255" s="361">
        <f>+CO255/CP255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6.96</v>
      </c>
      <c r="CP255" s="970" t="n">
        <v>0.88204</v>
      </c>
    </row>
    <row r="256">
      <c r="B256" s="204">
        <f>+C256-1</f>
        <v/>
      </c>
      <c r="C256" s="204">
        <f>IF(bands_A!$D$9+1&gt;MONTH(G256),YEAR(G256),YEAR(G256)+1)</f>
        <v/>
      </c>
      <c r="D256" s="204">
        <f>+C256+1</f>
        <v/>
      </c>
      <c r="E256" s="203">
        <f>IF(C256&gt;C255,1,E255+1)</f>
        <v/>
      </c>
      <c r="F256" s="203">
        <f>COUNTIF(C:C,C256)</f>
        <v/>
      </c>
      <c r="G256" s="198">
        <f>+G255+7</f>
        <v/>
      </c>
      <c r="H256" s="361">
        <f>+CO256/CP256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7.28</v>
      </c>
      <c r="CP256" s="970" t="n">
        <v>0.88092</v>
      </c>
    </row>
    <row r="257">
      <c r="B257" s="204">
        <f>+C257-1</f>
        <v/>
      </c>
      <c r="C257" s="204">
        <f>IF(bands_A!$D$9+1&gt;MONTH(G257),YEAR(G257),YEAR(G257)+1)</f>
        <v/>
      </c>
      <c r="D257" s="204">
        <f>+C257+1</f>
        <v/>
      </c>
      <c r="E257" s="203">
        <f>IF(C257&gt;C256,1,E256+1)</f>
        <v/>
      </c>
      <c r="F257" s="203">
        <f>COUNTIF(C:C,C257)</f>
        <v/>
      </c>
      <c r="G257" s="198">
        <f>+G256+7</f>
        <v/>
      </c>
      <c r="H257" s="361">
        <f>+CO257/CP257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7.57</v>
      </c>
      <c r="CP257" s="970" t="n">
        <v>0.8816000000000001</v>
      </c>
    </row>
    <row r="258">
      <c r="B258" s="204">
        <f>+C258-1</f>
        <v/>
      </c>
      <c r="C258" s="204">
        <f>IF(bands_A!$D$9+1&gt;MONTH(G258),YEAR(G258),YEAR(G258)+1)</f>
        <v/>
      </c>
      <c r="D258" s="204">
        <f>+C258+1</f>
        <v/>
      </c>
      <c r="E258" s="203">
        <f>IF(C258&gt;C257,1,E257+1)</f>
        <v/>
      </c>
      <c r="F258" s="203">
        <f>COUNTIF(C:C,C258)</f>
        <v/>
      </c>
      <c r="G258" s="198">
        <f>+G257+7</f>
        <v/>
      </c>
      <c r="H258" s="361">
        <f>+CO258/CP258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7.66</v>
      </c>
      <c r="CP258" s="970" t="n">
        <v>0.88191</v>
      </c>
    </row>
    <row r="259">
      <c r="B259" s="204">
        <f>+C259-1</f>
        <v/>
      </c>
      <c r="C259" s="204">
        <f>IF(bands_A!$D$9+1&gt;MONTH(G259),YEAR(G259),YEAR(G259)+1)</f>
        <v/>
      </c>
      <c r="D259" s="204">
        <f>+C259+1</f>
        <v/>
      </c>
      <c r="E259" s="203">
        <f>IF(C259&gt;C258,1,E258+1)</f>
        <v/>
      </c>
      <c r="F259" s="203">
        <f>COUNTIF(C:C,C259)</f>
        <v/>
      </c>
      <c r="G259" s="198">
        <f>+G258+7</f>
        <v/>
      </c>
      <c r="H259" s="361">
        <f>+CO259/CP259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7.72</v>
      </c>
      <c r="CP259" s="970" t="n">
        <v>0.8817</v>
      </c>
    </row>
    <row r="260">
      <c r="B260" s="204">
        <f>+C260-1</f>
        <v/>
      </c>
      <c r="C260" s="204">
        <f>IF(bands_A!$D$9+1&gt;MONTH(G260),YEAR(G260),YEAR(G260)+1)</f>
        <v/>
      </c>
      <c r="D260" s="204">
        <f>+C260+1</f>
        <v/>
      </c>
      <c r="E260" s="203">
        <f>IF(C260&gt;C259,1,E259+1)</f>
        <v/>
      </c>
      <c r="F260" s="203">
        <f>COUNTIF(C:C,C260)</f>
        <v/>
      </c>
      <c r="G260" s="198">
        <f>+G259+7</f>
        <v/>
      </c>
      <c r="H260" s="361">
        <f>+CO260/CP260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9.27</v>
      </c>
      <c r="CP260" s="970" t="n">
        <v>0.88161</v>
      </c>
    </row>
    <row r="261">
      <c r="B261" s="204">
        <f>+C261-1</f>
        <v/>
      </c>
      <c r="C261" s="204">
        <f>IF(bands_A!$D$9+1&gt;MONTH(G261),YEAR(G261),YEAR(G261)+1)</f>
        <v/>
      </c>
      <c r="D261" s="204">
        <f>+C261+1</f>
        <v/>
      </c>
      <c r="E261" s="203">
        <f>IF(C261&gt;C260,1,E260+1)</f>
        <v/>
      </c>
      <c r="F261" s="203">
        <f>COUNTIF(C:C,C261)</f>
        <v/>
      </c>
      <c r="G261" s="198">
        <f>+G260+7</f>
        <v/>
      </c>
      <c r="H261" s="361">
        <f>+CO261/CP261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9.27</v>
      </c>
      <c r="CP261" s="970" t="n">
        <v>0.88092</v>
      </c>
    </row>
    <row r="262">
      <c r="B262" s="204">
        <f>+C262-1</f>
        <v/>
      </c>
      <c r="C262" s="204">
        <f>IF(bands_A!$D$9+1&gt;MONTH(G262),YEAR(G262),YEAR(G262)+1)</f>
        <v/>
      </c>
      <c r="D262" s="204">
        <f>+C262+1</f>
        <v/>
      </c>
      <c r="E262" s="203">
        <f>IF(C262&gt;C261,1,E261+1)</f>
        <v/>
      </c>
      <c r="F262" s="203">
        <f>COUNTIF(C:C,C262)</f>
        <v/>
      </c>
      <c r="G262" s="198">
        <f>+G261+7</f>
        <v/>
      </c>
      <c r="H262" s="361">
        <f>+CO262/CP262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8.69</v>
      </c>
      <c r="CP262" s="970" t="n">
        <v>0.8801</v>
      </c>
    </row>
    <row r="263">
      <c r="B263" s="204">
        <f>+C263-1</f>
        <v/>
      </c>
      <c r="C263" s="204">
        <f>IF(bands_A!$D$9+1&gt;MONTH(G263),YEAR(G263),YEAR(G263)+1)</f>
        <v/>
      </c>
      <c r="D263" s="204">
        <f>+C263+1</f>
        <v/>
      </c>
      <c r="E263" s="203">
        <f>IF(C263&gt;C262,1,E262+1)</f>
        <v/>
      </c>
      <c r="F263" s="203">
        <f>COUNTIF(C:C,C263)</f>
        <v/>
      </c>
      <c r="G263" s="198">
        <f>+G262+7</f>
        <v/>
      </c>
      <c r="H263" s="361">
        <f>+CO263/CP263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10.63</v>
      </c>
      <c r="CP263" s="970" t="n">
        <v>0.88021</v>
      </c>
    </row>
    <row r="264">
      <c r="B264" s="204">
        <f>+C264-1</f>
        <v/>
      </c>
      <c r="C264" s="204">
        <f>IF(bands_A!$D$9+1&gt;MONTH(G264),YEAR(G264),YEAR(G264)+1)</f>
        <v/>
      </c>
      <c r="D264" s="204">
        <f>+C264+1</f>
        <v/>
      </c>
      <c r="E264" s="203">
        <f>IF(C264&gt;C263,1,E263+1)</f>
        <v/>
      </c>
      <c r="F264" s="203">
        <f>COUNTIF(C:C,C264)</f>
        <v/>
      </c>
      <c r="G264" s="198">
        <f>+G263+7</f>
        <v/>
      </c>
      <c r="H264" s="361">
        <f>+CO264/CP264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10.09</v>
      </c>
      <c r="CP264" s="970" t="n">
        <v>0.88061</v>
      </c>
    </row>
    <row r="265">
      <c r="B265" s="204">
        <f>+C265-1</f>
        <v/>
      </c>
      <c r="C265" s="204">
        <f>IF(bands_A!$D$9+1&gt;MONTH(G265),YEAR(G265),YEAR(G265)+1)</f>
        <v/>
      </c>
      <c r="D265" s="204">
        <f>+C265+1</f>
        <v/>
      </c>
      <c r="E265" s="203">
        <f>IF(C265&gt;C264,1,E264+1)</f>
        <v/>
      </c>
      <c r="F265" s="203">
        <f>COUNTIF(C:C,C265)</f>
        <v/>
      </c>
      <c r="G265" s="198">
        <f>+G264+7</f>
        <v/>
      </c>
      <c r="H265" s="361">
        <f>+CO265/CP265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10.59</v>
      </c>
      <c r="CP265" s="970" t="n">
        <v>0.8801600000000001</v>
      </c>
    </row>
    <row r="266">
      <c r="B266" s="204">
        <f>+C266-1</f>
        <v/>
      </c>
      <c r="C266" s="204">
        <f>IF(bands_A!$D$9+1&gt;MONTH(G266),YEAR(G266),YEAR(G266)+1)</f>
        <v/>
      </c>
      <c r="D266" s="204">
        <f>+C266+1</f>
        <v/>
      </c>
      <c r="E266" s="203">
        <f>IF(C266&gt;C265,1,E265+1)</f>
        <v/>
      </c>
      <c r="F266" s="203">
        <f>COUNTIF(C:C,C266)</f>
        <v/>
      </c>
      <c r="G266" s="198">
        <f>+G265+7</f>
        <v/>
      </c>
      <c r="H266" s="361">
        <f>+CO266/CP266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10.74</v>
      </c>
      <c r="CP266" s="970" t="n">
        <v>0.88091</v>
      </c>
    </row>
    <row r="267">
      <c r="B267" s="204">
        <f>+C267-1</f>
        <v/>
      </c>
      <c r="C267" s="204">
        <f>IF(bands_A!$D$9+1&gt;MONTH(G267),YEAR(G267),YEAR(G267)+1)</f>
        <v/>
      </c>
      <c r="D267" s="204">
        <f>+C267+1</f>
        <v/>
      </c>
      <c r="E267" s="203">
        <f>IF(C267&gt;C266,1,E266+1)</f>
        <v/>
      </c>
      <c r="F267" s="203">
        <f>COUNTIF(C:C,C267)</f>
        <v/>
      </c>
      <c r="G267" s="198">
        <f>+G266+7</f>
        <v/>
      </c>
      <c r="H267" s="361">
        <f>+CO267/CP267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10.95</v>
      </c>
      <c r="CP267" s="970" t="n">
        <v>0.88151</v>
      </c>
    </row>
    <row r="268">
      <c r="B268" s="204">
        <f>+C268-1</f>
        <v/>
      </c>
      <c r="C268" s="204">
        <f>IF(bands_A!$D$9+1&gt;MONTH(G268),YEAR(G268),YEAR(G268)+1)</f>
        <v/>
      </c>
      <c r="D268" s="204">
        <f>+C268+1</f>
        <v/>
      </c>
      <c r="E268" s="203">
        <f>IF(C268&gt;C267,1,E267+1)</f>
        <v/>
      </c>
      <c r="F268" s="203">
        <f>COUNTIF(C:C,C268)</f>
        <v/>
      </c>
      <c r="G268" s="198">
        <f>+G267+7</f>
        <v/>
      </c>
      <c r="H268" s="361">
        <f>+CO268/CP268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10.31</v>
      </c>
      <c r="CP268" s="970" t="n">
        <v>0.88193</v>
      </c>
    </row>
    <row r="269">
      <c r="B269" s="204">
        <f>+C269-1</f>
        <v/>
      </c>
      <c r="C269" s="204">
        <f>IF(bands_A!$D$9+1&gt;MONTH(G269),YEAR(G269),YEAR(G269)+1)</f>
        <v/>
      </c>
      <c r="D269" s="204">
        <f>+C269+1</f>
        <v/>
      </c>
      <c r="E269" s="203">
        <f>IF(C269&gt;C268,1,E268+1)</f>
        <v/>
      </c>
      <c r="F269" s="203">
        <f>COUNTIF(C:C,C269)</f>
        <v/>
      </c>
      <c r="G269" s="198">
        <f>+G268+7</f>
        <v/>
      </c>
      <c r="H269" s="361">
        <f>+CO269/CP269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10.43</v>
      </c>
      <c r="CP269" s="970" t="n">
        <v>0.8821</v>
      </c>
    </row>
    <row r="270">
      <c r="B270" s="204">
        <f>+C270-1</f>
        <v/>
      </c>
      <c r="C270" s="204">
        <f>IF(bands_A!$D$9+1&gt;MONTH(G270),YEAR(G270),YEAR(G270)+1)</f>
        <v/>
      </c>
      <c r="D270" s="204">
        <f>+C270+1</f>
        <v/>
      </c>
      <c r="E270" s="203">
        <f>IF(C270&gt;C269,1,E269+1)</f>
        <v/>
      </c>
      <c r="F270" s="203">
        <f>COUNTIF(C:C,C270)</f>
        <v/>
      </c>
      <c r="G270" s="198">
        <f>+G269+7</f>
        <v/>
      </c>
      <c r="H270" s="361">
        <f>+CO270/CP270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10.62</v>
      </c>
      <c r="CP270" s="970" t="n">
        <v>0.8817700000000001</v>
      </c>
    </row>
    <row r="271">
      <c r="B271" s="204">
        <f>+C271-1</f>
        <v/>
      </c>
      <c r="C271" s="204">
        <f>IF(bands_A!$D$9+1&gt;MONTH(G271),YEAR(G271),YEAR(G271)+1)</f>
        <v/>
      </c>
      <c r="D271" s="204">
        <f>+C271+1</f>
        <v/>
      </c>
      <c r="E271" s="203">
        <f>IF(C271&gt;C270,1,E270+1)</f>
        <v/>
      </c>
      <c r="F271" s="203">
        <f>COUNTIF(C:C,C271)</f>
        <v/>
      </c>
      <c r="G271" s="198">
        <f>+G270+7</f>
        <v/>
      </c>
      <c r="H271" s="361">
        <f>+CO271/CP271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10.45</v>
      </c>
      <c r="CP271" s="970" t="n">
        <v>0.88156</v>
      </c>
    </row>
    <row r="272">
      <c r="B272" s="204">
        <f>+C272-1</f>
        <v/>
      </c>
      <c r="C272" s="204">
        <f>IF(bands_A!$D$9+1&gt;MONTH(G272),YEAR(G272),YEAR(G272)+1)</f>
        <v/>
      </c>
      <c r="D272" s="204">
        <f>+C272+1</f>
        <v/>
      </c>
      <c r="E272" s="203">
        <f>IF(C272&gt;C271,1,E271+1)</f>
        <v/>
      </c>
      <c r="F272" s="203">
        <f>COUNTIF(C:C,C272)</f>
        <v/>
      </c>
      <c r="G272" s="198">
        <f>+G271+7</f>
        <v/>
      </c>
      <c r="H272" s="361">
        <f>+CO272/CP272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11.16</v>
      </c>
      <c r="CP272" s="970" t="n">
        <v>0.88161</v>
      </c>
    </row>
    <row r="273">
      <c r="B273" s="204">
        <f>+C273-1</f>
        <v/>
      </c>
      <c r="C273" s="204">
        <f>IF(bands_A!$D$9+1&gt;MONTH(G273),YEAR(G273),YEAR(G273)+1)</f>
        <v/>
      </c>
      <c r="D273" s="204">
        <f>+C273+1</f>
        <v/>
      </c>
      <c r="E273" s="203">
        <f>IF(C273&gt;C272,1,E272+1)</f>
        <v/>
      </c>
      <c r="F273" s="203">
        <f>COUNTIF(C:C,C273)</f>
        <v/>
      </c>
      <c r="G273" s="198">
        <f>+G272+7</f>
        <v/>
      </c>
      <c r="H273" s="361">
        <f>+CO273/CP273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11.08</v>
      </c>
      <c r="CP273" s="970" t="n">
        <v>0.8815</v>
      </c>
    </row>
    <row r="274">
      <c r="B274" s="204">
        <f>+C274-1</f>
        <v/>
      </c>
      <c r="C274" s="204">
        <f>IF(bands_A!$D$9+1&gt;MONTH(G274),YEAR(G274),YEAR(G274)+1)</f>
        <v/>
      </c>
      <c r="D274" s="204">
        <f>+C274+1</f>
        <v/>
      </c>
      <c r="E274" s="203">
        <f>IF(C274&gt;C273,1,E273+1)</f>
        <v/>
      </c>
      <c r="F274" s="203">
        <f>COUNTIF(C:C,C274)</f>
        <v/>
      </c>
      <c r="G274" s="198">
        <f>+G273+7</f>
        <v/>
      </c>
      <c r="H274" s="361">
        <f>+CO274/CP274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11.06</v>
      </c>
      <c r="CP274" s="970" t="n">
        <v>0.88149</v>
      </c>
    </row>
    <row r="275">
      <c r="B275" s="204">
        <f>+C275-1</f>
        <v/>
      </c>
      <c r="C275" s="204">
        <f>IF(bands_A!$D$9+1&gt;MONTH(G275),YEAR(G275),YEAR(G275)+1)</f>
        <v/>
      </c>
      <c r="D275" s="204">
        <f>+C275+1</f>
        <v/>
      </c>
      <c r="E275" s="203">
        <f>IF(C275&gt;C274,1,E274+1)</f>
        <v/>
      </c>
      <c r="F275" s="203">
        <f>COUNTIF(C:C,C275)</f>
        <v/>
      </c>
      <c r="G275" s="198">
        <f>+G274+7</f>
        <v/>
      </c>
      <c r="H275" s="361">
        <f>+CO275/CP275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12.7</v>
      </c>
      <c r="CP275" s="970" t="n">
        <v>0.88156</v>
      </c>
    </row>
    <row r="276">
      <c r="B276" s="204">
        <f>+C276-1</f>
        <v/>
      </c>
      <c r="C276" s="204">
        <f>IF(bands_A!$D$9+1&gt;MONTH(G276),YEAR(G276),YEAR(G276)+1)</f>
        <v/>
      </c>
      <c r="D276" s="204">
        <f>+C276+1</f>
        <v/>
      </c>
      <c r="E276" s="203">
        <f>IF(C276&gt;C275,1,E275+1)</f>
        <v/>
      </c>
      <c r="F276" s="203">
        <f>COUNTIF(C:C,C276)</f>
        <v/>
      </c>
      <c r="G276" s="198">
        <f>+G275+7</f>
        <v/>
      </c>
      <c r="H276" s="361">
        <f>+CO276/CP276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11.57</v>
      </c>
      <c r="CP276" s="970" t="n">
        <v>0.88146</v>
      </c>
    </row>
    <row r="277">
      <c r="B277" s="204">
        <f>+C277-1</f>
        <v/>
      </c>
      <c r="C277" s="204">
        <f>IF(bands_A!$D$9+1&gt;MONTH(G277),YEAR(G277),YEAR(G277)+1)</f>
        <v/>
      </c>
      <c r="D277" s="204">
        <f>+C277+1</f>
        <v/>
      </c>
      <c r="E277" s="203">
        <f>IF(C277&gt;C276,1,E276+1)</f>
        <v/>
      </c>
      <c r="F277" s="203">
        <f>COUNTIF(C:C,C277)</f>
        <v/>
      </c>
      <c r="G277" s="198">
        <f>+G276+7</f>
        <v/>
      </c>
      <c r="H277" s="361">
        <f>+CO277/CP277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10.08</v>
      </c>
      <c r="CP277" s="970" t="n">
        <v>0.88178</v>
      </c>
    </row>
    <row r="278">
      <c r="B278" s="204">
        <f>+C278-1</f>
        <v/>
      </c>
      <c r="C278" s="204">
        <f>IF(bands_A!$D$9+1&gt;MONTH(G278),YEAR(G278),YEAR(G278)+1)</f>
        <v/>
      </c>
      <c r="D278" s="204">
        <f>+C278+1</f>
        <v/>
      </c>
      <c r="E278" s="203">
        <f>IF(C278&gt;C277,1,E277+1)</f>
        <v/>
      </c>
      <c r="F278" s="203">
        <f>COUNTIF(C:C,C278)</f>
        <v/>
      </c>
      <c r="G278" s="198">
        <f>+G277+7</f>
        <v/>
      </c>
      <c r="H278" s="361">
        <f>+CO278/CP278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9.710000000000001</v>
      </c>
      <c r="CP278" s="970" t="n">
        <v>0.88135</v>
      </c>
    </row>
    <row r="279">
      <c r="B279" s="204">
        <f>+C279-1</f>
        <v/>
      </c>
      <c r="C279" s="204">
        <f>IF(bands_A!$D$9+1&gt;MONTH(G279),YEAR(G279),YEAR(G279)+1)</f>
        <v/>
      </c>
      <c r="D279" s="204">
        <f>+C279+1</f>
        <v/>
      </c>
      <c r="E279" s="203">
        <f>IF(C279&gt;C278,1,E278+1)</f>
        <v/>
      </c>
      <c r="F279" s="203">
        <f>COUNTIF(C:C,C279)</f>
        <v/>
      </c>
      <c r="G279" s="198">
        <f>+G278+7</f>
        <v/>
      </c>
      <c r="H279" s="361">
        <f>+CO279/CP279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9.289999999999999</v>
      </c>
      <c r="CP279" s="970" t="n">
        <v>0.88118</v>
      </c>
    </row>
    <row r="280">
      <c r="B280" s="204">
        <f>+C280-1</f>
        <v/>
      </c>
      <c r="C280" s="204">
        <f>IF(bands_A!$D$9+1&gt;MONTH(G280),YEAR(G280),YEAR(G280)+1)</f>
        <v/>
      </c>
      <c r="D280" s="204">
        <f>+C280+1</f>
        <v/>
      </c>
      <c r="E280" s="203">
        <f>IF(C280&gt;C279,1,E279+1)</f>
        <v/>
      </c>
      <c r="F280" s="203">
        <f>COUNTIF(C:C,C280)</f>
        <v/>
      </c>
      <c r="G280" s="198">
        <f>+G279+7</f>
        <v/>
      </c>
      <c r="H280" s="361">
        <f>+CO280/CP280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9.19</v>
      </c>
      <c r="CP280" s="970" t="n">
        <v>0.88122</v>
      </c>
    </row>
    <row r="281">
      <c r="B281" s="204">
        <f>+C281-1</f>
        <v/>
      </c>
      <c r="C281" s="204">
        <f>IF(bands_A!$D$9+1&gt;MONTH(G281),YEAR(G281),YEAR(G281)+1)</f>
        <v/>
      </c>
      <c r="D281" s="204">
        <f>+C281+1</f>
        <v/>
      </c>
      <c r="E281" s="203">
        <f>IF(C281&gt;C280,1,E280+1)</f>
        <v/>
      </c>
      <c r="F281" s="203">
        <f>COUNTIF(C:C,C281)</f>
        <v/>
      </c>
      <c r="G281" s="198">
        <f>+G280+7</f>
        <v/>
      </c>
      <c r="H281" s="361">
        <f>+CO281/CP281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9.34</v>
      </c>
      <c r="CP281" s="970" t="n">
        <v>0.8811600000000001</v>
      </c>
    </row>
    <row r="282">
      <c r="B282" s="204">
        <f>+C282-1</f>
        <v/>
      </c>
      <c r="C282" s="204">
        <f>IF(bands_A!$D$9+1&gt;MONTH(G282),YEAR(G282),YEAR(G282)+1)</f>
        <v/>
      </c>
      <c r="D282" s="204">
        <f>+C282+1</f>
        <v/>
      </c>
      <c r="E282" s="203">
        <f>IF(C282&gt;C281,1,E281+1)</f>
        <v/>
      </c>
      <c r="F282" s="203">
        <f>COUNTIF(C:C,C282)</f>
        <v/>
      </c>
      <c r="G282" s="198">
        <f>+G281+7</f>
        <v/>
      </c>
      <c r="H282" s="361">
        <f>+CO282/CP282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9.550000000000001</v>
      </c>
      <c r="CP282" s="970" t="n">
        <v>0.8809399999999999</v>
      </c>
    </row>
    <row r="283">
      <c r="B283" s="204">
        <f>+C283-1</f>
        <v/>
      </c>
      <c r="C283" s="204">
        <f>IF(bands_A!$D$9+1&gt;MONTH(G283),YEAR(G283),YEAR(G283)+1)</f>
        <v/>
      </c>
      <c r="D283" s="204">
        <f>+C283+1</f>
        <v/>
      </c>
      <c r="E283" s="203">
        <f>IF(C283&gt;C282,1,E282+1)</f>
        <v/>
      </c>
      <c r="F283" s="203">
        <f>COUNTIF(C:C,C283)</f>
        <v/>
      </c>
      <c r="G283" s="198">
        <f>+G282+7</f>
        <v/>
      </c>
      <c r="H283" s="361">
        <f>+CO283/CP283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9.19</v>
      </c>
      <c r="CP283" s="970" t="n">
        <v>0.88108</v>
      </c>
    </row>
    <row r="284">
      <c r="B284" s="204">
        <f>+C284-1</f>
        <v/>
      </c>
      <c r="C284" s="204">
        <f>IF(bands_A!$D$9+1&gt;MONTH(G284),YEAR(G284),YEAR(G284)+1)</f>
        <v/>
      </c>
      <c r="D284" s="204">
        <f>+C284+1</f>
        <v/>
      </c>
      <c r="E284" s="203">
        <f>IF(C284&gt;C283,1,E283+1)</f>
        <v/>
      </c>
      <c r="F284" s="203">
        <f>COUNTIF(C:C,C284)</f>
        <v/>
      </c>
      <c r="G284" s="198">
        <f>+G283+7</f>
        <v/>
      </c>
      <c r="H284" s="361">
        <f>+CO284/CP284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8.99</v>
      </c>
      <c r="CP284" s="970" t="n">
        <v>0.88084</v>
      </c>
    </row>
    <row r="285">
      <c r="B285" s="204">
        <f>+C285-1</f>
        <v/>
      </c>
      <c r="C285" s="204">
        <f>IF(bands_A!$D$9+1&gt;MONTH(G285),YEAR(G285),YEAR(G285)+1)</f>
        <v/>
      </c>
      <c r="D285" s="204">
        <f>+C285+1</f>
        <v/>
      </c>
      <c r="E285" s="203">
        <f>IF(C285&gt;C284,1,E284+1)</f>
        <v/>
      </c>
      <c r="F285" s="203">
        <f>COUNTIF(C:C,C285)</f>
        <v/>
      </c>
      <c r="G285" s="198">
        <f>+G284+7</f>
        <v/>
      </c>
      <c r="H285" s="361">
        <f>+CO285/CP285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9.35</v>
      </c>
      <c r="CP285" s="970" t="n">
        <v>0.8807</v>
      </c>
    </row>
    <row r="286">
      <c r="B286" s="204">
        <f>+C286-1</f>
        <v/>
      </c>
      <c r="C286" s="204">
        <f>IF(bands_A!$D$9+1&gt;MONTH(G286),YEAR(G286),YEAR(G286)+1)</f>
        <v/>
      </c>
      <c r="D286" s="204">
        <f>+C286+1</f>
        <v/>
      </c>
      <c r="E286" s="203">
        <f>IF(C286&gt;C285,1,E285+1)</f>
        <v/>
      </c>
      <c r="F286" s="203">
        <f>COUNTIF(C:C,C286)</f>
        <v/>
      </c>
      <c r="G286" s="198">
        <f>+G285+7</f>
        <v/>
      </c>
      <c r="H286" s="361">
        <f>+CO286/CP286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9.449999999999999</v>
      </c>
      <c r="CP286" s="970" t="n">
        <v>0.88084</v>
      </c>
    </row>
    <row r="287">
      <c r="B287" s="204">
        <f>+C287-1</f>
        <v/>
      </c>
      <c r="C287" s="204">
        <f>IF(bands_A!$D$9+1&gt;MONTH(G287),YEAR(G287),YEAR(G287)+1)</f>
        <v/>
      </c>
      <c r="D287" s="204">
        <f>+C287+1</f>
        <v/>
      </c>
      <c r="E287" s="203">
        <f>IF(C287&gt;C286,1,E286+1)</f>
        <v/>
      </c>
      <c r="F287" s="203">
        <f>COUNTIF(C:C,C287)</f>
        <v/>
      </c>
      <c r="G287" s="198">
        <f>+G286+7</f>
        <v/>
      </c>
      <c r="H287" s="361">
        <f>+CO287/CP287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9.68</v>
      </c>
      <c r="CP287" s="970" t="n">
        <v>0.88108</v>
      </c>
    </row>
    <row r="288">
      <c r="B288" s="204">
        <f>+C288-1</f>
        <v/>
      </c>
      <c r="C288" s="204">
        <f>IF(bands_A!$D$9+1&gt;MONTH(G288),YEAR(G288),YEAR(G288)+1)</f>
        <v/>
      </c>
      <c r="D288" s="204">
        <f>+C288+1</f>
        <v/>
      </c>
      <c r="E288" s="203">
        <f>IF(C288&gt;C287,1,E287+1)</f>
        <v/>
      </c>
      <c r="F288" s="203">
        <f>COUNTIF(C:C,C288)</f>
        <v/>
      </c>
      <c r="G288" s="198">
        <f>+G287+7</f>
        <v/>
      </c>
      <c r="H288" s="361">
        <f>+CO288/CP288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9.199999999999999</v>
      </c>
      <c r="CP288" s="970" t="n">
        <v>0.88095</v>
      </c>
    </row>
    <row r="289">
      <c r="B289" s="204">
        <f>+C289-1</f>
        <v/>
      </c>
      <c r="C289" s="204">
        <f>IF(bands_A!$D$9+1&gt;MONTH(G289),YEAR(G289),YEAR(G289)+1)</f>
        <v/>
      </c>
      <c r="D289" s="204">
        <f>+C289+1</f>
        <v/>
      </c>
      <c r="E289" s="203">
        <f>IF(C289&gt;C288,1,E288+1)</f>
        <v/>
      </c>
      <c r="F289" s="203">
        <f>COUNTIF(C:C,C289)</f>
        <v/>
      </c>
      <c r="G289" s="198">
        <f>+G288+7</f>
        <v/>
      </c>
      <c r="H289" s="361">
        <f>+CO289/CP289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10.07</v>
      </c>
      <c r="CP289" s="970" t="n">
        <v>0.88093</v>
      </c>
    </row>
    <row r="290">
      <c r="B290" s="204">
        <f>+C290-1</f>
        <v/>
      </c>
      <c r="C290" s="204">
        <f>IF(bands_A!$D$9+1&gt;MONTH(G290),YEAR(G290),YEAR(G290)+1)</f>
        <v/>
      </c>
      <c r="D290" s="204">
        <f>+C290+1</f>
        <v/>
      </c>
      <c r="E290" s="203">
        <f>IF(C290&gt;C289,1,E289+1)</f>
        <v/>
      </c>
      <c r="F290" s="203">
        <f>COUNTIF(C:C,C290)</f>
        <v/>
      </c>
      <c r="G290" s="198">
        <f>+G289+7</f>
        <v/>
      </c>
      <c r="H290" s="361">
        <f>+CO290/CP290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10.45</v>
      </c>
      <c r="CP290" s="970" t="n">
        <v>0.88078</v>
      </c>
    </row>
    <row r="291">
      <c r="B291" s="204">
        <f>+C291-1</f>
        <v/>
      </c>
      <c r="C291" s="204">
        <f>IF(bands_A!$D$9+1&gt;MONTH(G291),YEAR(G291),YEAR(G291)+1)</f>
        <v/>
      </c>
      <c r="D291" s="204">
        <f>+C291+1</f>
        <v/>
      </c>
      <c r="E291" s="203">
        <f>IF(C291&gt;C290,1,E290+1)</f>
        <v/>
      </c>
      <c r="F291" s="203">
        <f>COUNTIF(C:C,C291)</f>
        <v/>
      </c>
      <c r="G291" s="198">
        <f>+G290+7</f>
        <v/>
      </c>
      <c r="H291" s="361">
        <f>+CO291/CP291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10.87</v>
      </c>
      <c r="CP291" s="970" t="n">
        <v>0.88098</v>
      </c>
    </row>
    <row r="292">
      <c r="B292" s="204">
        <f>+C292-1</f>
        <v/>
      </c>
      <c r="C292" s="204">
        <f>IF(bands_A!$D$9+1&gt;MONTH(G292),YEAR(G292),YEAR(G292)+1)</f>
        <v/>
      </c>
      <c r="D292" s="204">
        <f>+C292+1</f>
        <v/>
      </c>
      <c r="E292" s="203">
        <f>IF(C292&gt;C291,1,E291+1)</f>
        <v/>
      </c>
      <c r="F292" s="203">
        <f>COUNTIF(C:C,C292)</f>
        <v/>
      </c>
      <c r="G292" s="198">
        <f>+G291+7</f>
        <v/>
      </c>
      <c r="H292" s="361">
        <f>+CO292/CP292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9.890000000000001</v>
      </c>
      <c r="CP292" s="970" t="n">
        <v>0.88106</v>
      </c>
    </row>
    <row r="293">
      <c r="B293" s="204">
        <f>+C293-1</f>
        <v/>
      </c>
      <c r="C293" s="204">
        <f>IF(bands_A!$D$9+1&gt;MONTH(G293),YEAR(G293),YEAR(G293)+1)</f>
        <v/>
      </c>
      <c r="D293" s="204">
        <f>+C293+1</f>
        <v/>
      </c>
      <c r="E293" s="203">
        <f>IF(C293&gt;C292,1,E292+1)</f>
        <v/>
      </c>
      <c r="F293" s="203">
        <f>COUNTIF(C:C,C293)</f>
        <v/>
      </c>
      <c r="G293" s="198">
        <f>+G292+7</f>
        <v/>
      </c>
      <c r="H293" s="361">
        <f>+CO293/CP293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10.11</v>
      </c>
      <c r="CP293" s="970" t="n">
        <v>0.88088</v>
      </c>
    </row>
    <row r="294">
      <c r="B294" s="204">
        <f>+C294-1</f>
        <v/>
      </c>
      <c r="C294" s="204">
        <f>IF(bands_A!$D$9+1&gt;MONTH(G294),YEAR(G294),YEAR(G294)+1)</f>
        <v/>
      </c>
      <c r="D294" s="204">
        <f>+C294+1</f>
        <v/>
      </c>
      <c r="E294" s="203">
        <f>IF(C294&gt;C293,1,E293+1)</f>
        <v/>
      </c>
      <c r="F294" s="203">
        <f>COUNTIF(C:C,C294)</f>
        <v/>
      </c>
      <c r="G294" s="198">
        <f>+G293+7</f>
        <v/>
      </c>
      <c r="H294" s="361">
        <f>+CO294/CP294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10.13</v>
      </c>
      <c r="CP294" s="970" t="n">
        <v>0.88091</v>
      </c>
    </row>
    <row r="295">
      <c r="B295" s="204">
        <f>+C295-1</f>
        <v/>
      </c>
      <c r="C295" s="204">
        <f>IF(bands_A!$D$9+1&gt;MONTH(G295),YEAR(G295),YEAR(G295)+1)</f>
        <v/>
      </c>
      <c r="D295" s="204">
        <f>+C295+1</f>
        <v/>
      </c>
      <c r="E295" s="203">
        <f>IF(C295&gt;C294,1,E294+1)</f>
        <v/>
      </c>
      <c r="F295" s="203">
        <f>COUNTIF(C:C,C295)</f>
        <v/>
      </c>
      <c r="G295" s="198">
        <f>+G294+7</f>
        <v/>
      </c>
      <c r="H295" s="361">
        <f>+CO295/CP295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9.24</v>
      </c>
      <c r="CP295" s="970" t="n">
        <v>0.88013</v>
      </c>
    </row>
    <row r="296">
      <c r="B296" s="204">
        <f>+C296-1</f>
        <v/>
      </c>
      <c r="C296" s="204">
        <f>IF(bands_A!$D$9+1&gt;MONTH(G296),YEAR(G296),YEAR(G296)+1)</f>
        <v/>
      </c>
      <c r="D296" s="204">
        <f>+C296+1</f>
        <v/>
      </c>
      <c r="E296" s="203">
        <f>IF(C296&gt;C295,1,E295+1)</f>
        <v/>
      </c>
      <c r="F296" s="203">
        <f>COUNTIF(C:C,C296)</f>
        <v/>
      </c>
      <c r="G296" s="198">
        <f>+G295+7</f>
        <v/>
      </c>
      <c r="H296" s="361">
        <f>+CO296/CP296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9.300000000000001</v>
      </c>
      <c r="CP296" s="970" t="n">
        <v>0.88022</v>
      </c>
    </row>
    <row r="297">
      <c r="B297" s="204">
        <f>+C297-1</f>
        <v/>
      </c>
      <c r="C297" s="204">
        <f>IF(bands_A!$D$9+1&gt;MONTH(G297),YEAR(G297),YEAR(G297)+1)</f>
        <v/>
      </c>
      <c r="D297" s="204">
        <f>+C297+1</f>
        <v/>
      </c>
      <c r="E297" s="203">
        <f>IF(C297&gt;C296,1,E296+1)</f>
        <v/>
      </c>
      <c r="F297" s="203">
        <f>COUNTIF(C:C,C297)</f>
        <v/>
      </c>
      <c r="G297" s="198">
        <f>+G296+7</f>
        <v/>
      </c>
      <c r="H297" s="361">
        <f>+CO297/CP297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9.619999999999999</v>
      </c>
      <c r="CP297" s="970" t="n">
        <v>0.88032</v>
      </c>
    </row>
    <row r="298">
      <c r="B298" s="204">
        <f>+C298-1</f>
        <v/>
      </c>
      <c r="C298" s="204">
        <f>IF(bands_A!$D$9+1&gt;MONTH(G298),YEAR(G298),YEAR(G298)+1)</f>
        <v/>
      </c>
      <c r="D298" s="204">
        <f>+C298+1</f>
        <v/>
      </c>
      <c r="E298" s="203">
        <f>IF(C298&gt;C297,1,E297+1)</f>
        <v/>
      </c>
      <c r="F298" s="203">
        <f>COUNTIF(C:C,C298)</f>
        <v/>
      </c>
      <c r="G298" s="198">
        <f>+G297+7</f>
        <v/>
      </c>
      <c r="H298" s="361">
        <f>+CO298/CP298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9.369999999999999</v>
      </c>
      <c r="CP298" s="970" t="n">
        <v>0.88029</v>
      </c>
    </row>
    <row r="299">
      <c r="B299" s="204">
        <f>+C299-1</f>
        <v/>
      </c>
      <c r="C299" s="204">
        <f>IF(bands_A!$D$9+1&gt;MONTH(G299),YEAR(G299),YEAR(G299)+1)</f>
        <v/>
      </c>
      <c r="D299" s="204">
        <f>+C299+1</f>
        <v/>
      </c>
      <c r="E299" s="203">
        <f>IF(C299&gt;C298,1,E298+1)</f>
        <v/>
      </c>
      <c r="F299" s="203">
        <f>COUNTIF(C:C,C299)</f>
        <v/>
      </c>
      <c r="G299" s="198">
        <f>+G298+7</f>
        <v/>
      </c>
      <c r="H299" s="361">
        <f>+CO299/CP299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9.609999999999999</v>
      </c>
      <c r="CP299" s="970" t="n">
        <v>0.8797199999999999</v>
      </c>
    </row>
    <row r="300">
      <c r="B300" s="204">
        <f>+C300-1</f>
        <v/>
      </c>
      <c r="C300" s="204">
        <f>IF(bands_A!$D$9+1&gt;MONTH(G300),YEAR(G300),YEAR(G300)+1)</f>
        <v/>
      </c>
      <c r="D300" s="204">
        <f>+C300+1</f>
        <v/>
      </c>
      <c r="E300" s="203">
        <f>IF(C300&gt;C299,1,E299+1)</f>
        <v/>
      </c>
      <c r="F300" s="203">
        <f>COUNTIF(C:C,C300)</f>
        <v/>
      </c>
      <c r="G300" s="198">
        <f>+G299+7</f>
        <v/>
      </c>
      <c r="H300" s="361">
        <f>+CO300/CP300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9.66</v>
      </c>
      <c r="CP300" s="970" t="n">
        <v>0.87837</v>
      </c>
    </row>
    <row r="301">
      <c r="B301" s="204">
        <f>+C301-1</f>
        <v/>
      </c>
      <c r="C301" s="204">
        <f>IF(bands_A!$D$9+1&gt;MONTH(G301),YEAR(G301),YEAR(G301)+1)</f>
        <v/>
      </c>
      <c r="D301" s="204">
        <f>+C301+1</f>
        <v/>
      </c>
      <c r="E301" s="203">
        <f>IF(C301&gt;C300,1,E300+1)</f>
        <v/>
      </c>
      <c r="F301" s="203">
        <f>COUNTIF(C:C,C301)</f>
        <v/>
      </c>
      <c r="G301" s="198">
        <f>+G300+7</f>
        <v/>
      </c>
      <c r="H301" s="361">
        <f>+CO301/CP301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9.1</v>
      </c>
      <c r="CP301" s="970" t="n">
        <v>0.87924</v>
      </c>
    </row>
    <row r="302">
      <c r="B302" s="204">
        <f>+C302-1</f>
        <v/>
      </c>
      <c r="C302" s="204">
        <f>IF(bands_A!$D$9+1&gt;MONTH(G302),YEAR(G302),YEAR(G302)+1)</f>
        <v/>
      </c>
      <c r="D302" s="204">
        <f>+C302+1</f>
        <v/>
      </c>
      <c r="E302" s="203">
        <f>IF(C302&gt;C301,1,E301+1)</f>
        <v/>
      </c>
      <c r="F302" s="203">
        <f>COUNTIF(C:C,C302)</f>
        <v/>
      </c>
      <c r="G302" s="198">
        <f>+G301+7</f>
        <v/>
      </c>
      <c r="H302" s="361">
        <f>+CO302/CP302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8.77</v>
      </c>
      <c r="CP302" s="970" t="n">
        <v>0.87851</v>
      </c>
    </row>
    <row r="303">
      <c r="B303" s="204">
        <f>+C303-1</f>
        <v/>
      </c>
      <c r="C303" s="204">
        <f>IF(bands_A!$D$9+1&gt;MONTH(G303),YEAR(G303),YEAR(G303)+1)</f>
        <v/>
      </c>
      <c r="D303" s="204">
        <f>+C303+1</f>
        <v/>
      </c>
      <c r="E303" s="203">
        <f>IF(C303&gt;C302,1,E302+1)</f>
        <v/>
      </c>
      <c r="F303" s="203">
        <f>COUNTIF(C:C,C303)</f>
        <v/>
      </c>
      <c r="G303" s="198">
        <f>+G302+7</f>
        <v/>
      </c>
      <c r="H303" s="361">
        <f>+CO303/CP303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8.99</v>
      </c>
      <c r="CP303" s="970" t="n">
        <v>0.87945</v>
      </c>
    </row>
    <row r="304">
      <c r="B304" s="204">
        <f>+C304-1</f>
        <v/>
      </c>
      <c r="C304" s="204">
        <f>IF(bands_A!$D$9+1&gt;MONTH(G304),YEAR(G304),YEAR(G304)+1)</f>
        <v/>
      </c>
      <c r="D304" s="204">
        <f>+C304+1</f>
        <v/>
      </c>
      <c r="E304" s="203">
        <f>IF(C304&gt;C303,1,E303+1)</f>
        <v/>
      </c>
      <c r="F304" s="203">
        <f>COUNTIF(C:C,C304)</f>
        <v/>
      </c>
      <c r="G304" s="198">
        <f>+G303+7</f>
        <v/>
      </c>
      <c r="H304" s="361">
        <f>+CO304/CP304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8.99</v>
      </c>
      <c r="CP304" s="970" t="n">
        <v>0.87995</v>
      </c>
    </row>
    <row r="305">
      <c r="B305" s="204">
        <f>+C305-1</f>
        <v/>
      </c>
      <c r="C305" s="204">
        <f>IF(bands_A!$D$9+1&gt;MONTH(G305),YEAR(G305),YEAR(G305)+1)</f>
        <v/>
      </c>
      <c r="D305" s="204">
        <f>+C305+1</f>
        <v/>
      </c>
      <c r="E305" s="203">
        <f>IF(C305&gt;C304,1,E304+1)</f>
        <v/>
      </c>
      <c r="F305" s="203">
        <f>COUNTIF(C:C,C305)</f>
        <v/>
      </c>
      <c r="G305" s="198">
        <f>+G304+7</f>
        <v/>
      </c>
      <c r="H305" s="361">
        <f>+CO305/CP305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9.16</v>
      </c>
      <c r="CP305" s="970" t="n">
        <v>0.87935</v>
      </c>
    </row>
    <row r="306">
      <c r="B306" s="204">
        <f>+C306-1</f>
        <v/>
      </c>
      <c r="C306" s="204">
        <f>IF(bands_A!$D$9+1&gt;MONTH(G306),YEAR(G306),YEAR(G306)+1)</f>
        <v/>
      </c>
      <c r="D306" s="204">
        <f>+C306+1</f>
        <v/>
      </c>
      <c r="E306" s="203">
        <f>IF(C306&gt;C305,1,E305+1)</f>
        <v/>
      </c>
      <c r="F306" s="203">
        <f>COUNTIF(C:C,C306)</f>
        <v/>
      </c>
      <c r="G306" s="198">
        <f>+G305+7</f>
        <v/>
      </c>
      <c r="H306" s="361">
        <f>+CO306/CP306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10.13</v>
      </c>
      <c r="CP306" s="970" t="n">
        <v>0.8794</v>
      </c>
    </row>
    <row r="307">
      <c r="B307" s="204">
        <f>+C307-1</f>
        <v/>
      </c>
      <c r="C307" s="204">
        <f>IF(bands_A!$D$9+1&gt;MONTH(G307),YEAR(G307),YEAR(G307)+1)</f>
        <v/>
      </c>
      <c r="D307" s="204">
        <f>+C307+1</f>
        <v/>
      </c>
      <c r="E307" s="203">
        <f>IF(C307&gt;C306,1,E306+1)</f>
        <v/>
      </c>
      <c r="F307" s="203">
        <f>COUNTIF(C:C,C307)</f>
        <v/>
      </c>
      <c r="G307" s="198">
        <f>+G306+7</f>
        <v/>
      </c>
      <c r="H307" s="361">
        <f>+CO307/CP307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9.640000000000001</v>
      </c>
      <c r="CP307" s="970" t="n">
        <v>0.8798899999999999</v>
      </c>
    </row>
    <row r="308">
      <c r="B308" s="204">
        <f>+C308-1</f>
        <v/>
      </c>
      <c r="C308" s="204">
        <f>IF(bands_A!$D$9+1&gt;MONTH(G308),YEAR(G308),YEAR(G308)+1)</f>
        <v/>
      </c>
      <c r="D308" s="204">
        <f>+C308+1</f>
        <v/>
      </c>
      <c r="E308" s="203">
        <f>IF(C308&gt;C307,1,E307+1)</f>
        <v/>
      </c>
      <c r="F308" s="203">
        <f>COUNTIF(C:C,C308)</f>
        <v/>
      </c>
      <c r="G308" s="198">
        <f>+G307+7</f>
        <v/>
      </c>
      <c r="H308" s="361">
        <f>+CO308/CP308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9.82</v>
      </c>
      <c r="CP308" s="970" t="n">
        <v>0.87979</v>
      </c>
    </row>
    <row r="309">
      <c r="B309" s="204">
        <f>+C309-1</f>
        <v/>
      </c>
      <c r="C309" s="204">
        <f>IF(bands_A!$D$9+1&gt;MONTH(G309),YEAR(G309),YEAR(G309)+1)</f>
        <v/>
      </c>
      <c r="D309" s="204">
        <f>+C309+1</f>
        <v/>
      </c>
      <c r="E309" s="203">
        <f>IF(C309&gt;C308,1,E308+1)</f>
        <v/>
      </c>
      <c r="F309" s="203">
        <f>COUNTIF(C:C,C309)</f>
        <v/>
      </c>
      <c r="G309" s="198">
        <f>+G308+7</f>
        <v/>
      </c>
      <c r="H309" s="361">
        <f>+CO309/CP309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9.630000000000001</v>
      </c>
      <c r="CP309" s="970" t="n">
        <v>0.87949</v>
      </c>
    </row>
    <row r="310">
      <c r="B310" s="204">
        <f>+C310-1</f>
        <v/>
      </c>
      <c r="C310" s="204">
        <f>IF(bands_A!$D$9+1&gt;MONTH(G310),YEAR(G310),YEAR(G310)+1)</f>
        <v/>
      </c>
      <c r="D310" s="204">
        <f>+C310+1</f>
        <v/>
      </c>
      <c r="E310" s="203">
        <f>IF(C310&gt;C309,1,E309+1)</f>
        <v/>
      </c>
      <c r="F310" s="203">
        <f>COUNTIF(C:C,C310)</f>
        <v/>
      </c>
      <c r="G310" s="198">
        <f>+G309+7</f>
        <v/>
      </c>
      <c r="H310" s="361">
        <f>+CO310/CP310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9.94</v>
      </c>
      <c r="CP310" s="970" t="n">
        <v>0.87874</v>
      </c>
    </row>
    <row r="311">
      <c r="B311" s="204">
        <f>+C311-1</f>
        <v/>
      </c>
      <c r="C311" s="204">
        <f>IF(bands_A!$D$9+1&gt;MONTH(G311),YEAR(G311),YEAR(G311)+1)</f>
        <v/>
      </c>
      <c r="D311" s="204">
        <f>+C311+1</f>
        <v/>
      </c>
      <c r="E311" s="203">
        <f>IF(C311&gt;C310,1,E310+1)</f>
        <v/>
      </c>
      <c r="F311" s="203">
        <f>COUNTIF(C:C,C311)</f>
        <v/>
      </c>
      <c r="G311" s="198">
        <f>+G310+7</f>
        <v/>
      </c>
      <c r="H311" s="361">
        <f>+CO311/CP311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9.800000000000001</v>
      </c>
      <c r="CP311" s="970" t="n">
        <v>0.87979</v>
      </c>
    </row>
    <row r="312">
      <c r="B312" s="204">
        <f>+C312-1</f>
        <v/>
      </c>
      <c r="C312" s="204">
        <f>IF(bands_A!$D$9+1&gt;MONTH(G312),YEAR(G312),YEAR(G312)+1)</f>
        <v/>
      </c>
      <c r="D312" s="204">
        <f>+C312+1</f>
        <v/>
      </c>
      <c r="E312" s="203">
        <f>IF(C312&gt;C311,1,E311+1)</f>
        <v/>
      </c>
      <c r="F312" s="203">
        <f>COUNTIF(C:C,C312)</f>
        <v/>
      </c>
      <c r="G312" s="198">
        <f>+G311+7</f>
        <v/>
      </c>
      <c r="H312" s="361">
        <f>+CO312/CP312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9.5</v>
      </c>
      <c r="CP312" s="970" t="n">
        <v>0.87946</v>
      </c>
    </row>
    <row r="313">
      <c r="B313" s="204">
        <f>+C313-1</f>
        <v/>
      </c>
      <c r="C313" s="204">
        <f>IF(bands_A!$D$9+1&gt;MONTH(G313),YEAR(G313),YEAR(G313)+1)</f>
        <v/>
      </c>
      <c r="D313" s="204">
        <f>+C313+1</f>
        <v/>
      </c>
      <c r="E313" s="203">
        <f>IF(C313&gt;C312,1,E312+1)</f>
        <v/>
      </c>
      <c r="F313" s="203">
        <f>COUNTIF(C:C,C313)</f>
        <v/>
      </c>
      <c r="G313" s="198">
        <f>+G312+7</f>
        <v/>
      </c>
      <c r="H313" s="361">
        <f>+CO313/CP313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9.24</v>
      </c>
      <c r="CP313" s="970" t="n">
        <v>0.8794999999999999</v>
      </c>
    </row>
    <row r="314">
      <c r="B314" s="204">
        <f>+C314-1</f>
        <v/>
      </c>
      <c r="C314" s="204">
        <f>IF(bands_A!$D$9+1&gt;MONTH(G314),YEAR(G314),YEAR(G314)+1)</f>
        <v/>
      </c>
      <c r="D314" s="204">
        <f>+C314+1</f>
        <v/>
      </c>
      <c r="E314" s="203">
        <f>IF(C314&gt;C313,1,E313+1)</f>
        <v/>
      </c>
      <c r="F314" s="203">
        <f>COUNTIF(C:C,C314)</f>
        <v/>
      </c>
      <c r="G314" s="198">
        <f>+G313+7</f>
        <v/>
      </c>
      <c r="H314" s="361">
        <f>+CO314/CP314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8.800000000000001</v>
      </c>
      <c r="CP314" s="970" t="n">
        <v>0.87909</v>
      </c>
    </row>
    <row r="315">
      <c r="B315" s="204">
        <f>+C315-1</f>
        <v/>
      </c>
      <c r="C315" s="204">
        <f>IF(bands_A!$D$9+1&gt;MONTH(G315),YEAR(G315),YEAR(G315)+1)</f>
        <v/>
      </c>
      <c r="D315" s="204">
        <f>+C315+1</f>
        <v/>
      </c>
      <c r="E315" s="203">
        <f>IF(C315&gt;C314,1,E314+1)</f>
        <v/>
      </c>
      <c r="F315" s="203">
        <f>COUNTIF(C:C,C315)</f>
        <v/>
      </c>
      <c r="G315" s="198">
        <f>+G314+7</f>
        <v/>
      </c>
      <c r="H315" s="361">
        <f>+CO315/CP315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8.26</v>
      </c>
      <c r="CP315" s="970" t="n">
        <v>0.87705</v>
      </c>
    </row>
    <row r="316">
      <c r="B316" s="204">
        <f>+C316-1</f>
        <v/>
      </c>
      <c r="C316" s="204">
        <f>IF(bands_A!$D$9+1&gt;MONTH(G316),YEAR(G316),YEAR(G316)+1)</f>
        <v/>
      </c>
      <c r="D316" s="204">
        <f>+C316+1</f>
        <v/>
      </c>
      <c r="E316" s="203">
        <f>IF(C316&gt;C315,1,E315+1)</f>
        <v/>
      </c>
      <c r="F316" s="203">
        <f>COUNTIF(C:C,C316)</f>
        <v/>
      </c>
      <c r="G316" s="198">
        <f>+G315+7</f>
        <v/>
      </c>
      <c r="H316" s="361">
        <f>+CO316/CP316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8.34</v>
      </c>
      <c r="CP316" s="970" t="n">
        <v>0.87681</v>
      </c>
    </row>
    <row r="317">
      <c r="B317" s="204">
        <f>+C317-1</f>
        <v/>
      </c>
      <c r="C317" s="204">
        <f>IF(bands_A!$D$9+1&gt;MONTH(G317),YEAR(G317),YEAR(G317)+1)</f>
        <v/>
      </c>
      <c r="D317" s="204">
        <f>+C317+1</f>
        <v/>
      </c>
      <c r="E317" s="203">
        <f>IF(C317&gt;C316,1,E316+1)</f>
        <v/>
      </c>
      <c r="F317" s="203">
        <f>COUNTIF(C:C,C317)</f>
        <v/>
      </c>
      <c r="G317" s="198">
        <f>+G316+7</f>
        <v/>
      </c>
      <c r="H317" s="361">
        <f>+CO317/CP317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7.49</v>
      </c>
      <c r="CP317" s="970" t="n">
        <v>0.87504</v>
      </c>
    </row>
    <row r="318">
      <c r="B318" s="204">
        <f>+C318-1</f>
        <v/>
      </c>
      <c r="C318" s="204">
        <f>IF(bands_A!$D$9+1&gt;MONTH(G318),YEAR(G318),YEAR(G318)+1)</f>
        <v/>
      </c>
      <c r="D318" s="204">
        <f>+C318+1</f>
        <v/>
      </c>
      <c r="E318" s="203">
        <f>IF(C318&gt;C317,1,E317+1)</f>
        <v/>
      </c>
      <c r="F318" s="203">
        <f>COUNTIF(C:C,C318)</f>
        <v/>
      </c>
      <c r="G318" s="198">
        <f>+G317+7</f>
        <v/>
      </c>
      <c r="H318" s="361">
        <f>+CO318/CP318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7.91</v>
      </c>
      <c r="CP318" s="970" t="n">
        <v>0.8772</v>
      </c>
    </row>
    <row r="319">
      <c r="B319" s="204">
        <f>+C319-1</f>
        <v/>
      </c>
      <c r="C319" s="204">
        <f>IF(bands_A!$D$9+1&gt;MONTH(G319),YEAR(G319),YEAR(G319)+1)</f>
        <v/>
      </c>
      <c r="D319" s="204">
        <f>+C319+1</f>
        <v/>
      </c>
      <c r="E319" s="203">
        <f>IF(C319&gt;C318,1,E318+1)</f>
        <v/>
      </c>
      <c r="F319" s="203">
        <f>COUNTIF(C:C,C319)</f>
        <v/>
      </c>
      <c r="G319" s="198">
        <f>+G318+7</f>
        <v/>
      </c>
      <c r="H319" s="361">
        <f>+CO319/CP319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7.48</v>
      </c>
      <c r="CP319" s="970" t="n">
        <v>0.8760599999999999</v>
      </c>
    </row>
    <row r="320">
      <c r="B320" s="204">
        <f>+C320-1</f>
        <v/>
      </c>
      <c r="C320" s="204">
        <f>IF(bands_A!$D$9+1&gt;MONTH(G320),YEAR(G320),YEAR(G320)+1)</f>
        <v/>
      </c>
      <c r="D320" s="204">
        <f>+C320+1</f>
        <v/>
      </c>
      <c r="E320" s="203">
        <f>IF(C320&gt;C319,1,E319+1)</f>
        <v/>
      </c>
      <c r="F320" s="203">
        <f>COUNTIF(C:C,C320)</f>
        <v/>
      </c>
      <c r="G320" s="198">
        <f>+G319+7</f>
        <v/>
      </c>
      <c r="H320" s="361">
        <f>+CO320/CP320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7.65</v>
      </c>
      <c r="CP320" s="970" t="n">
        <v>0.87692</v>
      </c>
    </row>
    <row r="321">
      <c r="B321" s="204">
        <f>+C321-1</f>
        <v/>
      </c>
      <c r="C321" s="204">
        <f>IF(bands_A!$D$9+1&gt;MONTH(G321),YEAR(G321),YEAR(G321)+1)</f>
        <v/>
      </c>
      <c r="D321" s="204">
        <f>+C321+1</f>
        <v/>
      </c>
      <c r="E321" s="203">
        <f>IF(C321&gt;C320,1,E320+1)</f>
        <v/>
      </c>
      <c r="F321" s="203">
        <f>COUNTIF(C:C,C321)</f>
        <v/>
      </c>
      <c r="G321" s="198">
        <f>+G320+7</f>
        <v/>
      </c>
      <c r="H321" s="361">
        <f>+CO321/CP321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7.32</v>
      </c>
      <c r="CP321" s="970" t="n">
        <v>0.87713</v>
      </c>
    </row>
    <row r="322">
      <c r="B322" s="204">
        <f>+C322-1</f>
        <v/>
      </c>
      <c r="C322" s="204">
        <f>IF(bands_A!$D$9+1&gt;MONTH(G322),YEAR(G322),YEAR(G322)+1)</f>
        <v/>
      </c>
      <c r="D322" s="204">
        <f>+C322+1</f>
        <v/>
      </c>
      <c r="E322" s="203">
        <f>IF(C322&gt;C321,1,E321+1)</f>
        <v/>
      </c>
      <c r="F322" s="203">
        <f>COUNTIF(C:C,C322)</f>
        <v/>
      </c>
      <c r="G322" s="198">
        <f>+G321+7</f>
        <v/>
      </c>
      <c r="H322" s="361">
        <f>+CO322/CP322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7.31</v>
      </c>
      <c r="CP322" s="970" t="n">
        <v>0.8734</v>
      </c>
    </row>
    <row r="323">
      <c r="B323" s="204">
        <f>+C323-1</f>
        <v/>
      </c>
      <c r="C323" s="204">
        <f>IF(bands_A!$D$9+1&gt;MONTH(G323),YEAR(G323),YEAR(G323)+1)</f>
        <v/>
      </c>
      <c r="D323" s="204">
        <f>+C323+1</f>
        <v/>
      </c>
      <c r="E323" s="203">
        <f>IF(C323&gt;C322,1,E322+1)</f>
        <v/>
      </c>
      <c r="F323" s="203">
        <f>COUNTIF(C:C,C323)</f>
        <v/>
      </c>
      <c r="G323" s="198">
        <f>+G322+7</f>
        <v/>
      </c>
      <c r="H323" s="361">
        <f>+CO323/CP323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6.49</v>
      </c>
      <c r="CP323" s="970" t="n">
        <v>0.86866</v>
      </c>
    </row>
    <row r="324">
      <c r="B324" s="204">
        <f>+C324-1</f>
        <v/>
      </c>
      <c r="C324" s="204">
        <f>IF(bands_A!$D$9+1&gt;MONTH(G324),YEAR(G324),YEAR(G324)+1)</f>
        <v/>
      </c>
      <c r="D324" s="204">
        <f>+C324+1</f>
        <v/>
      </c>
      <c r="E324" s="203">
        <f>IF(C324&gt;C323,1,E323+1)</f>
        <v/>
      </c>
      <c r="F324" s="203">
        <f>COUNTIF(C:C,C324)</f>
        <v/>
      </c>
      <c r="G324" s="198">
        <f>+G323+7</f>
        <v/>
      </c>
      <c r="H324" s="361">
        <f>+CO324/CP324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6.73</v>
      </c>
      <c r="CP324" s="970" t="n">
        <v>0.87235</v>
      </c>
    </row>
    <row r="325">
      <c r="B325" s="204">
        <f>+C325-1</f>
        <v/>
      </c>
      <c r="C325" s="204">
        <f>IF(bands_A!$D$9+1&gt;MONTH(G325),YEAR(G325),YEAR(G325)+1)</f>
        <v/>
      </c>
      <c r="D325" s="204">
        <f>+C325+1</f>
        <v/>
      </c>
      <c r="E325" s="203">
        <f>IF(C325&gt;C324,1,E324+1)</f>
        <v/>
      </c>
      <c r="F325" s="203">
        <f>COUNTIF(C:C,C325)</f>
        <v/>
      </c>
      <c r="G325" s="198">
        <f>+G324+7</f>
        <v/>
      </c>
      <c r="H325" s="361">
        <f>+CO325/CP325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6.83</v>
      </c>
      <c r="CP325" s="970" t="n">
        <v>0.87131</v>
      </c>
    </row>
    <row r="326">
      <c r="B326" s="204">
        <f>+C326-1</f>
        <v/>
      </c>
      <c r="C326" s="204">
        <f>IF(bands_A!$D$9+1&gt;MONTH(G326),YEAR(G326),YEAR(G326)+1)</f>
        <v/>
      </c>
      <c r="D326" s="204">
        <f>+C326+1</f>
        <v/>
      </c>
      <c r="E326" s="203">
        <f>IF(C326&gt;C325,1,E325+1)</f>
        <v/>
      </c>
      <c r="F326" s="203">
        <f>COUNTIF(C:C,C326)</f>
        <v/>
      </c>
      <c r="G326" s="198">
        <f>+G325+7</f>
        <v/>
      </c>
      <c r="H326" s="361">
        <f>+CO326/CP326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7.22</v>
      </c>
      <c r="CP326" s="970" t="n">
        <v>0.87276</v>
      </c>
    </row>
    <row r="327">
      <c r="B327" s="204">
        <f>+C327-1</f>
        <v/>
      </c>
      <c r="C327" s="204">
        <f>IF(bands_A!$D$9+1&gt;MONTH(G327),YEAR(G327),YEAR(G327)+1)</f>
        <v/>
      </c>
      <c r="D327" s="204">
        <f>+C327+1</f>
        <v/>
      </c>
      <c r="E327" s="203">
        <f>IF(C327&gt;C326,1,E326+1)</f>
        <v/>
      </c>
      <c r="F327" s="203">
        <f>COUNTIF(C:C,C327)</f>
        <v/>
      </c>
      <c r="G327" s="198">
        <f>+G326+7</f>
        <v/>
      </c>
      <c r="H327" s="361">
        <f>+CO327/CP327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7.43</v>
      </c>
      <c r="CP327" s="970" t="n">
        <v>0.87224</v>
      </c>
    </row>
    <row r="328">
      <c r="B328" s="204">
        <f>+C328-1</f>
        <v/>
      </c>
      <c r="C328" s="204">
        <f>IF(bands_A!$D$9+1&gt;MONTH(G328),YEAR(G328),YEAR(G328)+1)</f>
        <v/>
      </c>
      <c r="D328" s="204">
        <f>+C328+1</f>
        <v/>
      </c>
      <c r="E328" s="203">
        <f>IF(C328&gt;C327,1,E327+1)</f>
        <v/>
      </c>
      <c r="F328" s="203">
        <f>COUNTIF(C:C,C328)</f>
        <v/>
      </c>
      <c r="G328" s="198">
        <f>+G327+7</f>
        <v/>
      </c>
      <c r="H328" s="361">
        <f>+CO328/CP328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7.36</v>
      </c>
      <c r="CP328" s="970" t="n">
        <v>0.87199</v>
      </c>
    </row>
    <row r="329">
      <c r="B329" s="204">
        <f>+C329-1</f>
        <v/>
      </c>
      <c r="C329" s="204">
        <f>IF(bands_A!$D$9+1&gt;MONTH(G329),YEAR(G329),YEAR(G329)+1)</f>
        <v/>
      </c>
      <c r="D329" s="204">
        <f>+C329+1</f>
        <v/>
      </c>
      <c r="E329" s="203">
        <f>IF(C329&gt;C328,1,E328+1)</f>
        <v/>
      </c>
      <c r="F329" s="203">
        <f>COUNTIF(C:C,C329)</f>
        <v/>
      </c>
      <c r="G329" s="198">
        <f>+G328+7</f>
        <v/>
      </c>
      <c r="H329" s="361">
        <f>+CO329/CP329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7.73</v>
      </c>
      <c r="CP329" s="970" t="n">
        <v>0.8744</v>
      </c>
    </row>
    <row r="330">
      <c r="B330" s="204">
        <f>+C330-1</f>
        <v/>
      </c>
      <c r="C330" s="204">
        <f>IF(bands_A!$D$9+1&gt;MONTH(G330),YEAR(G330),YEAR(G330)+1)</f>
        <v/>
      </c>
      <c r="D330" s="204">
        <f>+C330+1</f>
        <v/>
      </c>
      <c r="E330" s="203">
        <f>IF(C330&gt;C329,1,E329+1)</f>
        <v/>
      </c>
      <c r="F330" s="203">
        <f>COUNTIF(C:C,C330)</f>
        <v/>
      </c>
      <c r="G330" s="198">
        <f>+G329+7</f>
        <v/>
      </c>
      <c r="H330" s="361">
        <f>+CO330/CP330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7.56</v>
      </c>
      <c r="CP330" s="970" t="n">
        <v>0.87347</v>
      </c>
    </row>
    <row r="331">
      <c r="B331" s="204">
        <f>+C331-1</f>
        <v/>
      </c>
      <c r="C331" s="204">
        <f>IF(bands_A!$D$9+1&gt;MONTH(G331),YEAR(G331),YEAR(G331)+1)</f>
        <v/>
      </c>
      <c r="D331" s="204">
        <f>+C331+1</f>
        <v/>
      </c>
      <c r="E331" s="203">
        <f>IF(C331&gt;C330,1,E330+1)</f>
        <v/>
      </c>
      <c r="F331" s="203">
        <f>COUNTIF(C:C,C331)</f>
        <v/>
      </c>
      <c r="G331" s="198">
        <f>+G330+7</f>
        <v/>
      </c>
      <c r="H331" s="361">
        <f>+CO331/CP331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7.43</v>
      </c>
      <c r="CP331" s="970" t="n">
        <v>0.87397</v>
      </c>
    </row>
    <row r="332">
      <c r="B332" s="204">
        <f>+C332-1</f>
        <v/>
      </c>
      <c r="C332" s="204">
        <f>IF(bands_A!$D$9+1&gt;MONTH(G332),YEAR(G332),YEAR(G332)+1)</f>
        <v/>
      </c>
      <c r="D332" s="204">
        <f>+C332+1</f>
        <v/>
      </c>
      <c r="E332" s="203">
        <f>IF(C332&gt;C331,1,E331+1)</f>
        <v/>
      </c>
      <c r="F332" s="203">
        <f>COUNTIF(C:C,C332)</f>
        <v/>
      </c>
      <c r="G332" s="198">
        <f>+G331+7</f>
        <v/>
      </c>
      <c r="H332" s="361">
        <f>+CO332/CP332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7.98</v>
      </c>
      <c r="CP332" s="970" t="n">
        <v>0.87554</v>
      </c>
    </row>
    <row r="333">
      <c r="B333" s="204">
        <f>+C333-1</f>
        <v/>
      </c>
      <c r="C333" s="204">
        <f>IF(bands_A!$D$9+1&gt;MONTH(G333),YEAR(G333),YEAR(G333)+1)</f>
        <v/>
      </c>
      <c r="D333" s="204">
        <f>+C333+1</f>
        <v/>
      </c>
      <c r="E333" s="203">
        <f>IF(C333&gt;C332,1,E332+1)</f>
        <v/>
      </c>
      <c r="F333" s="203">
        <f>COUNTIF(C:C,C333)</f>
        <v/>
      </c>
      <c r="G333" s="198">
        <f>+G332+7</f>
        <v/>
      </c>
      <c r="H333" s="361">
        <f>+CO333/CP333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8.09</v>
      </c>
      <c r="CP333" s="970" t="n">
        <v>0.87143</v>
      </c>
    </row>
    <row r="334">
      <c r="B334" s="204">
        <f>+C334-1</f>
        <v/>
      </c>
      <c r="C334" s="204">
        <f>IF(bands_A!$D$9+1&gt;MONTH(G334),YEAR(G334),YEAR(G334)+1)</f>
        <v/>
      </c>
      <c r="D334" s="204">
        <f>+C334+1</f>
        <v/>
      </c>
      <c r="E334" s="203">
        <f>IF(C334&gt;C333,1,E333+1)</f>
        <v/>
      </c>
      <c r="F334" s="203">
        <f>COUNTIF(C:C,C334)</f>
        <v/>
      </c>
      <c r="G334" s="198">
        <f>+G333+7</f>
        <v/>
      </c>
      <c r="H334" s="361">
        <f>+CO334/CP334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7.84</v>
      </c>
      <c r="CP334" s="970" t="n">
        <v>0.86604</v>
      </c>
    </row>
    <row r="335">
      <c r="B335" s="204">
        <f>+C335-1</f>
        <v/>
      </c>
      <c r="C335" s="204">
        <f>IF(bands_A!$D$9+1&gt;MONTH(G335),YEAR(G335),YEAR(G335)+1)</f>
        <v/>
      </c>
      <c r="D335" s="204">
        <f>+C335+1</f>
        <v/>
      </c>
      <c r="E335" s="203">
        <f>IF(C335&gt;C334,1,E334+1)</f>
        <v/>
      </c>
      <c r="F335" s="203">
        <f>COUNTIF(C:C,C335)</f>
        <v/>
      </c>
      <c r="G335" s="198">
        <f>+G334+7</f>
        <v/>
      </c>
      <c r="H335" s="361">
        <f>+CO335/CP335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7.92</v>
      </c>
      <c r="CP335" s="970" t="n">
        <v>0.86247</v>
      </c>
    </row>
    <row r="336">
      <c r="B336" s="204">
        <f>+C336-1</f>
        <v/>
      </c>
      <c r="C336" s="204">
        <f>IF(bands_A!$D$9+1&gt;MONTH(G336),YEAR(G336),YEAR(G336)+1)</f>
        <v/>
      </c>
      <c r="D336" s="204">
        <f>+C336+1</f>
        <v/>
      </c>
      <c r="E336" s="203">
        <f>IF(C336&gt;C335,1,E335+1)</f>
        <v/>
      </c>
      <c r="F336" s="203">
        <f>COUNTIF(C:C,C336)</f>
        <v/>
      </c>
      <c r="G336" s="198">
        <f>+G335+7</f>
        <v/>
      </c>
      <c r="H336" s="361">
        <f>+CO336/CP336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8.27</v>
      </c>
      <c r="CP336" s="970" t="n">
        <v>0.86174</v>
      </c>
    </row>
    <row r="337">
      <c r="B337" s="204">
        <f>+C337-1</f>
        <v/>
      </c>
      <c r="C337" s="204">
        <f>IF(bands_A!$D$9+1&gt;MONTH(G337),YEAR(G337),YEAR(G337)+1)</f>
        <v/>
      </c>
      <c r="D337" s="204">
        <f>+C337+1</f>
        <v/>
      </c>
      <c r="E337" s="203">
        <f>IF(C337&gt;C336,1,E336+1)</f>
        <v/>
      </c>
      <c r="F337" s="203">
        <f>COUNTIF(C:C,C337)</f>
        <v/>
      </c>
      <c r="G337" s="198">
        <f>+G336+7</f>
        <v/>
      </c>
      <c r="H337" s="361">
        <f>+CO337/CP337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8.59</v>
      </c>
      <c r="CP337" s="970" t="n">
        <v>0.85994</v>
      </c>
    </row>
    <row r="338">
      <c r="B338" s="204">
        <f>+C338-1</f>
        <v/>
      </c>
      <c r="C338" s="204">
        <f>IF(bands_A!$D$9+1&gt;MONTH(G338),YEAR(G338),YEAR(G338)+1)</f>
        <v/>
      </c>
      <c r="D338" s="204">
        <f>+C338+1</f>
        <v/>
      </c>
      <c r="E338" s="203">
        <f>IF(C338&gt;C337,1,E337+1)</f>
        <v/>
      </c>
      <c r="F338" s="203">
        <f>COUNTIF(C:C,C338)</f>
        <v/>
      </c>
      <c r="G338" s="198">
        <f>+G337+7</f>
        <v/>
      </c>
      <c r="H338" s="361">
        <f>+CO338/CP338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9.35</v>
      </c>
      <c r="CP338" s="970" t="n">
        <v>0.85614</v>
      </c>
    </row>
    <row r="339">
      <c r="B339" s="204">
        <f>+C339-1</f>
        <v/>
      </c>
      <c r="C339" s="204">
        <f>IF(bands_A!$D$9+1&gt;MONTH(G339),YEAR(G339),YEAR(G339)+1)</f>
        <v/>
      </c>
      <c r="D339" s="204">
        <f>+C339+1</f>
        <v/>
      </c>
      <c r="E339" s="203">
        <f>IF(C339&gt;C338,1,E338+1)</f>
        <v/>
      </c>
      <c r="F339" s="203">
        <f>COUNTIF(C:C,C339)</f>
        <v/>
      </c>
      <c r="G339" s="198">
        <f>+G338+7</f>
        <v/>
      </c>
      <c r="H339" s="361">
        <f>+CO339/CP339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9.43</v>
      </c>
      <c r="CP339" s="970" t="n">
        <v>0.85791</v>
      </c>
    </row>
    <row r="340">
      <c r="B340" s="204">
        <f>+C340-1</f>
        <v/>
      </c>
      <c r="C340" s="204">
        <f>IF(bands_A!$D$9+1&gt;MONTH(G340),YEAR(G340),YEAR(G340)+1)</f>
        <v/>
      </c>
      <c r="D340" s="204">
        <f>+C340+1</f>
        <v/>
      </c>
      <c r="E340" s="203">
        <f>IF(C340&gt;C339,1,E339+1)</f>
        <v/>
      </c>
      <c r="F340" s="203">
        <f>COUNTIF(C:C,C340)</f>
        <v/>
      </c>
      <c r="G340" s="198">
        <f>+G339+7</f>
        <v/>
      </c>
      <c r="H340" s="361">
        <f>+CO340/CP340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10.1</v>
      </c>
      <c r="CP340" s="970" t="n">
        <v>0.86088</v>
      </c>
    </row>
    <row r="341">
      <c r="B341" s="204">
        <f>+C341-1</f>
        <v/>
      </c>
      <c r="C341" s="204">
        <f>IF(bands_A!$D$9+1&gt;MONTH(G341),YEAR(G341),YEAR(G341)+1)</f>
        <v/>
      </c>
      <c r="D341" s="204">
        <f>+C341+1</f>
        <v/>
      </c>
      <c r="E341" s="203">
        <f>IF(C341&gt;C340,1,E340+1)</f>
        <v/>
      </c>
      <c r="F341" s="203">
        <f>COUNTIF(C:C,C341)</f>
        <v/>
      </c>
      <c r="G341" s="198">
        <f>+G340+7</f>
        <v/>
      </c>
      <c r="H341" s="361">
        <f>+CO341/CP341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9.99</v>
      </c>
      <c r="CP341" s="970" t="n">
        <v>0.85882</v>
      </c>
    </row>
    <row r="342">
      <c r="B342" s="204">
        <f>+C342-1</f>
        <v/>
      </c>
      <c r="C342" s="204">
        <f>IF(bands_A!$D$9+1&gt;MONTH(G342),YEAR(G342),YEAR(G342)+1)</f>
        <v/>
      </c>
      <c r="D342" s="204">
        <f>+C342+1</f>
        <v/>
      </c>
      <c r="E342" s="203">
        <f>IF(C342&gt;C341,1,E341+1)</f>
        <v/>
      </c>
      <c r="F342" s="203">
        <f>COUNTIF(C:C,C342)</f>
        <v/>
      </c>
      <c r="G342" s="198">
        <f>+G341+7</f>
        <v/>
      </c>
      <c r="H342" s="361">
        <f>+CO342/CP342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8.98</v>
      </c>
      <c r="CP342" s="970" t="n">
        <v>0.85625</v>
      </c>
    </row>
    <row r="343">
      <c r="B343" s="204">
        <f>+C343-1</f>
        <v/>
      </c>
      <c r="C343" s="204">
        <f>IF(bands_A!$D$9+1&gt;MONTH(G343),YEAR(G343),YEAR(G343)+1)</f>
        <v/>
      </c>
      <c r="D343" s="204">
        <f>+C343+1</f>
        <v/>
      </c>
      <c r="E343" s="203">
        <f>IF(C343&gt;C342,1,E342+1)</f>
        <v/>
      </c>
      <c r="F343" s="203">
        <f>COUNTIF(C:C,C343)</f>
        <v/>
      </c>
      <c r="G343" s="198">
        <f>+G342+7</f>
        <v/>
      </c>
      <c r="H343" s="361">
        <f>+CO343/CP343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8.51</v>
      </c>
      <c r="CP343" s="970" t="n">
        <v>0.85621</v>
      </c>
    </row>
    <row r="344">
      <c r="B344" s="204">
        <f>+C344-1</f>
        <v/>
      </c>
      <c r="C344" s="204">
        <f>IF(bands_A!$D$9+1&gt;MONTH(G344),YEAR(G344),YEAR(G344)+1)</f>
        <v/>
      </c>
      <c r="D344" s="204">
        <f>+C344+1</f>
        <v/>
      </c>
      <c r="E344" s="203">
        <f>IF(C344&gt;C343,1,E343+1)</f>
        <v/>
      </c>
      <c r="F344" s="203">
        <f>COUNTIF(C:C,C344)</f>
        <v/>
      </c>
      <c r="G344" s="198">
        <f>+G343+7</f>
        <v/>
      </c>
      <c r="H344" s="361">
        <f>+CO344/CP344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8.5</v>
      </c>
      <c r="CP344" s="970" t="n">
        <v>0.85882</v>
      </c>
    </row>
    <row r="345">
      <c r="B345" s="204">
        <f>+C345-1</f>
        <v/>
      </c>
      <c r="C345" s="204">
        <f>IF(bands_A!$D$9+1&gt;MONTH(G345),YEAR(G345),YEAR(G345)+1)</f>
        <v/>
      </c>
      <c r="D345" s="204">
        <f>+C345+1</f>
        <v/>
      </c>
      <c r="E345" s="203">
        <f>IF(C345&gt;C344,1,E344+1)</f>
        <v/>
      </c>
      <c r="F345" s="203">
        <f>COUNTIF(C:C,C345)</f>
        <v/>
      </c>
      <c r="G345" s="198">
        <f>+G344+7</f>
        <v/>
      </c>
      <c r="H345" s="361">
        <f>+CO345/CP345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8.279999999999999</v>
      </c>
      <c r="CP345" s="970" t="n">
        <v>0.85799</v>
      </c>
    </row>
    <row r="346">
      <c r="B346" s="204">
        <f>+C346-1</f>
        <v/>
      </c>
      <c r="C346" s="204">
        <f>IF(bands_A!$D$9+1&gt;MONTH(G346),YEAR(G346),YEAR(G346)+1)</f>
        <v/>
      </c>
      <c r="D346" s="204">
        <f>+C346+1</f>
        <v/>
      </c>
      <c r="E346" s="203">
        <f>IF(C346&gt;C345,1,E345+1)</f>
        <v/>
      </c>
      <c r="F346" s="203">
        <f>COUNTIF(C:C,C346)</f>
        <v/>
      </c>
      <c r="G346" s="198">
        <f>+G345+7</f>
        <v/>
      </c>
      <c r="H346" s="361">
        <f>+CO346/CP346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8.460000000000001</v>
      </c>
      <c r="CP346" s="970" t="n">
        <v>0.85638</v>
      </c>
    </row>
    <row r="347">
      <c r="B347" s="204">
        <f>+C347-1</f>
        <v/>
      </c>
      <c r="C347" s="204">
        <f>IF(bands_A!$D$9+1&gt;MONTH(G347),YEAR(G347),YEAR(G347)+1)</f>
        <v/>
      </c>
      <c r="D347" s="204">
        <f>+C347+1</f>
        <v/>
      </c>
      <c r="E347" s="203">
        <f>IF(C347&gt;C346,1,E346+1)</f>
        <v/>
      </c>
      <c r="F347" s="203">
        <f>COUNTIF(C:C,C347)</f>
        <v/>
      </c>
      <c r="G347" s="198">
        <f>+G346+7</f>
        <v/>
      </c>
      <c r="H347" s="361">
        <f>+CO347/CP347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8.699999999999999</v>
      </c>
      <c r="CP347" s="970" t="n">
        <v>0.85667</v>
      </c>
    </row>
    <row r="348">
      <c r="B348" s="204">
        <f>+C348-1</f>
        <v/>
      </c>
      <c r="C348" s="204">
        <f>IF(bands_A!$D$9+1&gt;MONTH(G348),YEAR(G348),YEAR(G348)+1)</f>
        <v/>
      </c>
      <c r="D348" s="204">
        <f>+C348+1</f>
        <v/>
      </c>
      <c r="E348" s="203">
        <f>IF(C348&gt;C347,1,E347+1)</f>
        <v/>
      </c>
      <c r="F348" s="203">
        <f>COUNTIF(C:C,C348)</f>
        <v/>
      </c>
      <c r="G348" s="198">
        <f>+G347+7</f>
        <v/>
      </c>
      <c r="H348" s="361">
        <f>+CO348/CP348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8.27</v>
      </c>
      <c r="CP348" s="970" t="n">
        <v>0.85231</v>
      </c>
    </row>
    <row r="349">
      <c r="B349" s="204">
        <f>+C349-1</f>
        <v/>
      </c>
      <c r="C349" s="204">
        <f>IF(bands_A!$D$9+1&gt;MONTH(G349),YEAR(G349),YEAR(G349)+1)</f>
        <v/>
      </c>
      <c r="D349" s="204">
        <f>+C349+1</f>
        <v/>
      </c>
      <c r="E349" s="203">
        <f>IF(C349&gt;C348,1,E348+1)</f>
        <v/>
      </c>
      <c r="F349" s="203">
        <f>COUNTIF(C:C,C349)</f>
        <v/>
      </c>
      <c r="G349" s="198">
        <f>+G348+7</f>
        <v/>
      </c>
      <c r="H349" s="361">
        <f>+CO349/CP349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8.48</v>
      </c>
      <c r="CP349" s="970" t="n">
        <v>0.84777</v>
      </c>
    </row>
    <row r="350">
      <c r="B350" s="204">
        <f>+C350-1</f>
        <v/>
      </c>
      <c r="C350" s="204">
        <f>IF(bands_A!$D$9+1&gt;MONTH(G350),YEAR(G350),YEAR(G350)+1)</f>
        <v/>
      </c>
      <c r="D350" s="204">
        <f>+C350+1</f>
        <v/>
      </c>
      <c r="E350" s="203">
        <f>IF(C350&gt;C349,1,E349+1)</f>
        <v/>
      </c>
      <c r="F350" s="203">
        <f>COUNTIF(C:C,C350)</f>
        <v/>
      </c>
      <c r="G350" s="198">
        <f>+G349+7</f>
        <v/>
      </c>
      <c r="H350" s="361">
        <f>+CO350/CP350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8.529999999999999</v>
      </c>
      <c r="CP350" s="970" t="n">
        <v>0.85305</v>
      </c>
    </row>
    <row r="351">
      <c r="B351" s="204">
        <f>+C351-1</f>
        <v/>
      </c>
      <c r="C351" s="204">
        <f>IF(bands_A!$D$9+1&gt;MONTH(G351),YEAR(G351),YEAR(G351)+1)</f>
        <v/>
      </c>
      <c r="D351" s="204">
        <f>+C351+1</f>
        <v/>
      </c>
      <c r="E351" s="203">
        <f>IF(C351&gt;C350,1,E350+1)</f>
        <v/>
      </c>
      <c r="F351" s="203">
        <f>COUNTIF(C:C,C351)</f>
        <v/>
      </c>
      <c r="G351" s="198">
        <f>+G350+7</f>
        <v/>
      </c>
      <c r="H351" s="361">
        <f>+CO351/CP351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8.210000000000001</v>
      </c>
      <c r="CP351" s="970" t="n">
        <v>0.8476399999999999</v>
      </c>
    </row>
    <row r="352">
      <c r="B352" s="204">
        <f>+C352-1</f>
        <v/>
      </c>
      <c r="C352" s="204">
        <f>IF(bands_A!$D$9+1&gt;MONTH(G352),YEAR(G352),YEAR(G352)+1)</f>
        <v/>
      </c>
      <c r="D352" s="204">
        <f>+C352+1</f>
        <v/>
      </c>
      <c r="E352" s="203">
        <f>IF(C352&gt;C351,1,E351+1)</f>
        <v/>
      </c>
      <c r="F352" s="203">
        <f>COUNTIF(C:C,C352)</f>
        <v/>
      </c>
      <c r="G352" s="198">
        <f>+G351+7</f>
        <v/>
      </c>
      <c r="H352" s="361">
        <f>+CO352/CP352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8.119999999999999</v>
      </c>
      <c r="CP352" s="970" t="n">
        <v>0.84521</v>
      </c>
    </row>
    <row r="353">
      <c r="B353" s="204">
        <f>+C353-1</f>
        <v/>
      </c>
      <c r="C353" s="204">
        <f>IF(bands_A!$D$9+1&gt;MONTH(G353),YEAR(G353),YEAR(G353)+1)</f>
        <v/>
      </c>
      <c r="D353" s="204">
        <f>+C353+1</f>
        <v/>
      </c>
      <c r="E353" s="203">
        <f>IF(C353&gt;C352,1,E352+1)</f>
        <v/>
      </c>
      <c r="F353" s="203">
        <f>COUNTIF(C:C,C353)</f>
        <v/>
      </c>
      <c r="G353" s="198">
        <f>+G352+7</f>
        <v/>
      </c>
      <c r="H353" s="361">
        <f>+CO353/CP353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8.84</v>
      </c>
      <c r="CP353" s="970" t="n">
        <v>0.84661</v>
      </c>
    </row>
    <row r="354">
      <c r="B354" s="204">
        <f>+C354-1</f>
        <v/>
      </c>
      <c r="C354" s="204">
        <f>IF(bands_A!$D$9+1&gt;MONTH(G354),YEAR(G354),YEAR(G354)+1)</f>
        <v/>
      </c>
      <c r="D354" s="204">
        <f>+C354+1</f>
        <v/>
      </c>
      <c r="E354" s="203">
        <f>IF(C354&gt;C353,1,E353+1)</f>
        <v/>
      </c>
      <c r="F354" s="203">
        <f>COUNTIF(C:C,C354)</f>
        <v/>
      </c>
      <c r="G354" s="198">
        <f>+G353+7</f>
        <v/>
      </c>
      <c r="H354" s="361">
        <f>+CO354/CP354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8.869999999999999</v>
      </c>
      <c r="CP354" s="970" t="n">
        <v>0.84575</v>
      </c>
    </row>
    <row r="355">
      <c r="B355" s="204">
        <f>+C355-1</f>
        <v/>
      </c>
      <c r="C355" s="204">
        <f>IF(bands_A!$D$9+1&gt;MONTH(G355),YEAR(G355),YEAR(G355)+1)</f>
        <v/>
      </c>
      <c r="D355" s="204">
        <f>+C355+1</f>
        <v/>
      </c>
      <c r="E355" s="203">
        <f>IF(C355&gt;C354,1,E354+1)</f>
        <v/>
      </c>
      <c r="F355" s="203">
        <f>COUNTIF(C:C,C355)</f>
        <v/>
      </c>
      <c r="G355" s="198">
        <f>+G354+7</f>
        <v/>
      </c>
      <c r="H355" s="361">
        <f>+CO355/CP355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8.960000000000001</v>
      </c>
      <c r="CP355" s="970" t="n">
        <v>0.84559</v>
      </c>
    </row>
    <row r="356">
      <c r="B356" s="204">
        <f>+C356-1</f>
        <v/>
      </c>
      <c r="C356" s="204">
        <f>IF(bands_A!$D$9+1&gt;MONTH(G356),YEAR(G356),YEAR(G356)+1)</f>
        <v/>
      </c>
      <c r="D356" s="204">
        <f>+C356+1</f>
        <v/>
      </c>
      <c r="E356" s="203">
        <f>IF(C356&gt;C355,1,E355+1)</f>
        <v/>
      </c>
      <c r="F356" s="203">
        <f>COUNTIF(C:C,C356)</f>
        <v/>
      </c>
      <c r="G356" s="198">
        <f>+G355+7</f>
        <v/>
      </c>
      <c r="H356" s="361">
        <f>+CO356/CP356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9.07</v>
      </c>
      <c r="CP356" s="970" t="n">
        <v>0.84414</v>
      </c>
    </row>
    <row r="357">
      <c r="B357" s="204">
        <f>+C357-1</f>
        <v/>
      </c>
      <c r="C357" s="204">
        <f>IF(bands_A!$D$9+1&gt;MONTH(G357),YEAR(G357),YEAR(G357)+1)</f>
        <v/>
      </c>
      <c r="D357" s="204">
        <f>+C357+1</f>
        <v/>
      </c>
      <c r="E357" s="203">
        <f>IF(C357&gt;C356,1,E356+1)</f>
        <v/>
      </c>
      <c r="F357" s="203">
        <f>COUNTIF(C:C,C357)</f>
        <v/>
      </c>
      <c r="G357" s="198">
        <f>+G356+7</f>
        <v/>
      </c>
      <c r="H357" s="361">
        <f>+CO357/CP357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9.02</v>
      </c>
      <c r="CP357" s="970" t="n">
        <v>0.84393</v>
      </c>
    </row>
    <row r="358">
      <c r="B358" s="204">
        <f>+C358-1</f>
        <v/>
      </c>
      <c r="C358" s="204">
        <f>IF(bands_A!$D$9+1&gt;MONTH(G358),YEAR(G358),YEAR(G358)+1)</f>
        <v/>
      </c>
      <c r="D358" s="204">
        <f>+C358+1</f>
        <v/>
      </c>
      <c r="E358" s="203">
        <f>IF(C358&gt;C357,1,E357+1)</f>
        <v/>
      </c>
      <c r="F358" s="203">
        <f>COUNTIF(C:C,C358)</f>
        <v/>
      </c>
      <c r="G358" s="198">
        <f>+G357+7</f>
        <v/>
      </c>
      <c r="H358" s="361">
        <f>+CO358/CP358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8.869999999999999</v>
      </c>
      <c r="CP358" s="970" t="n">
        <v>0.84344</v>
      </c>
    </row>
    <row r="359">
      <c r="B359" s="204">
        <f>+C359-1</f>
        <v/>
      </c>
      <c r="C359" s="204">
        <f>IF(bands_A!$D$9+1&gt;MONTH(G359),YEAR(G359),YEAR(G359)+1)</f>
        <v/>
      </c>
      <c r="D359" s="204">
        <f>+C359+1</f>
        <v/>
      </c>
      <c r="E359" s="203">
        <f>IF(C359&gt;C358,1,E358+1)</f>
        <v/>
      </c>
      <c r="F359" s="203">
        <f>COUNTIF(C:C,C359)</f>
        <v/>
      </c>
      <c r="G359" s="198">
        <f>+G358+7</f>
        <v/>
      </c>
      <c r="H359" s="361">
        <f>+CO359/CP359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8.84</v>
      </c>
      <c r="CP359" s="970" t="n">
        <v>0.84422</v>
      </c>
    </row>
    <row r="360">
      <c r="B360" s="204">
        <f>+C360-1</f>
        <v/>
      </c>
      <c r="C360" s="204">
        <f>IF(bands_A!$D$9+1&gt;MONTH(G360),YEAR(G360),YEAR(G360)+1)</f>
        <v/>
      </c>
      <c r="D360" s="204">
        <f>+C360+1</f>
        <v/>
      </c>
      <c r="E360" s="203">
        <f>IF(C360&gt;C359,1,E359+1)</f>
        <v/>
      </c>
      <c r="F360" s="203">
        <f>COUNTIF(C:C,C360)</f>
        <v/>
      </c>
      <c r="G360" s="198">
        <f>+G359+7</f>
        <v/>
      </c>
      <c r="H360" s="361">
        <f>+CO360/CP360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8.01</v>
      </c>
      <c r="CP360" s="970" t="n">
        <v>0.84218</v>
      </c>
    </row>
    <row r="361">
      <c r="B361" s="204">
        <f>+C361-1</f>
        <v/>
      </c>
      <c r="C361" s="204">
        <f>IF(bands_A!$D$9+1&gt;MONTH(G361),YEAR(G361),YEAR(G361)+1)</f>
        <v/>
      </c>
      <c r="D361" s="204">
        <f>+C361+1</f>
        <v/>
      </c>
      <c r="E361" s="203">
        <f>IF(C361&gt;C360,1,E360+1)</f>
        <v/>
      </c>
      <c r="F361" s="203">
        <f>COUNTIF(C:C,C361)</f>
        <v/>
      </c>
      <c r="G361" s="198">
        <f>+G360+7</f>
        <v/>
      </c>
      <c r="H361" s="361">
        <f>+CO361/CP361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8.07</v>
      </c>
      <c r="CP361" s="970" t="n">
        <v>0.84073</v>
      </c>
    </row>
    <row r="362">
      <c r="B362" s="204">
        <f>+C362-1</f>
        <v/>
      </c>
      <c r="C362" s="204">
        <f>IF(bands_A!$D$9+1&gt;MONTH(G362),YEAR(G362),YEAR(G362)+1)</f>
        <v/>
      </c>
      <c r="D362" s="204">
        <f>+C362+1</f>
        <v/>
      </c>
      <c r="E362" s="203">
        <f>IF(C362&gt;C361,1,E361+1)</f>
        <v/>
      </c>
      <c r="F362" s="203">
        <f>COUNTIF(C:C,C362)</f>
        <v/>
      </c>
      <c r="G362" s="198">
        <f>+G361+7</f>
        <v/>
      </c>
      <c r="H362" s="361">
        <f>+CO362/CP362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7.87</v>
      </c>
      <c r="CP362" s="970" t="n">
        <v>0.84176</v>
      </c>
    </row>
    <row r="363">
      <c r="B363" s="204">
        <f>+C363-1</f>
        <v/>
      </c>
      <c r="C363" s="204">
        <f>IF(bands_A!$D$9+1&gt;MONTH(G363),YEAR(G363),YEAR(G363)+1)</f>
        <v/>
      </c>
      <c r="D363" s="204">
        <f>+C363+1</f>
        <v/>
      </c>
      <c r="E363" s="203">
        <f>IF(C363&gt;C362,1,E362+1)</f>
        <v/>
      </c>
      <c r="F363" s="203">
        <f>COUNTIF(C:C,C363)</f>
        <v/>
      </c>
      <c r="G363" s="198">
        <f>+G362+7</f>
        <v/>
      </c>
      <c r="H363" s="361">
        <f>+CO363/CP363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8</v>
      </c>
      <c r="CP363" s="970" t="n">
        <v>0.84088</v>
      </c>
    </row>
    <row r="364">
      <c r="B364" s="204">
        <f>+C364-1</f>
        <v/>
      </c>
      <c r="C364" s="204">
        <f>IF(bands_A!$D$9+1&gt;MONTH(G364),YEAR(G364),YEAR(G364)+1)</f>
        <v/>
      </c>
      <c r="D364" s="204">
        <f>+C364+1</f>
        <v/>
      </c>
      <c r="E364" s="203">
        <f>IF(C364&gt;C363,1,E363+1)</f>
        <v/>
      </c>
      <c r="F364" s="203">
        <f>COUNTIF(C:C,C364)</f>
        <v/>
      </c>
      <c r="G364" s="198">
        <f>+G363+7</f>
        <v/>
      </c>
      <c r="H364" s="361">
        <f>+CO364/CP364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7.95</v>
      </c>
      <c r="CP364" s="970" t="n">
        <v>0.84021</v>
      </c>
    </row>
    <row r="365">
      <c r="B365" s="204">
        <f>+C365-1</f>
        <v/>
      </c>
      <c r="C365" s="204">
        <f>IF(bands_A!$D$9+1&gt;MONTH(G365),YEAR(G365),YEAR(G365)+1)</f>
        <v/>
      </c>
      <c r="D365" s="204">
        <f>+C365+1</f>
        <v/>
      </c>
      <c r="E365" s="203">
        <f>IF(C365&gt;C364,1,E364+1)</f>
        <v/>
      </c>
      <c r="F365" s="203">
        <f>COUNTIF(C:C,C365)</f>
        <v/>
      </c>
      <c r="G365" s="198">
        <f>+G364+7</f>
        <v/>
      </c>
      <c r="H365" s="361">
        <f>+CO365/CP365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7.98</v>
      </c>
      <c r="CP365" s="970" t="n">
        <v>0.8374200000000001</v>
      </c>
    </row>
    <row r="366">
      <c r="B366" s="204">
        <f>+C366-1</f>
        <v/>
      </c>
      <c r="C366" s="204">
        <f>IF(bands_A!$D$9+1&gt;MONTH(G366),YEAR(G366),YEAR(G366)+1)</f>
        <v/>
      </c>
      <c r="D366" s="204">
        <f>+C366+1</f>
        <v/>
      </c>
      <c r="E366" s="203">
        <f>IF(C366&gt;C365,1,E365+1)</f>
        <v/>
      </c>
      <c r="F366" s="203">
        <f>COUNTIF(C:C,C366)</f>
        <v/>
      </c>
      <c r="G366" s="198">
        <f>+G365+7</f>
        <v/>
      </c>
      <c r="H366" s="361">
        <f>+CO366/CP366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7.63</v>
      </c>
      <c r="CP366" s="970" t="n">
        <v>0.83574</v>
      </c>
    </row>
    <row r="367">
      <c r="B367" s="204">
        <f>+C367-1</f>
        <v/>
      </c>
      <c r="C367" s="204">
        <f>IF(bands_A!$D$9+1&gt;MONTH(G367),YEAR(G367),YEAR(G367)+1)</f>
        <v/>
      </c>
      <c r="D367" s="204">
        <f>+C367+1</f>
        <v/>
      </c>
      <c r="E367" s="203">
        <f>IF(C367&gt;C366,1,E366+1)</f>
        <v/>
      </c>
      <c r="F367" s="203">
        <f>COUNTIF(C:C,C367)</f>
        <v/>
      </c>
      <c r="G367" s="198">
        <f>+G366+7</f>
        <v/>
      </c>
      <c r="H367" s="361">
        <f>+CO367/CP367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7.78</v>
      </c>
      <c r="CP367" s="970" t="n">
        <v>0.83546</v>
      </c>
    </row>
    <row r="368">
      <c r="B368" s="204">
        <f>+C368-1</f>
        <v/>
      </c>
      <c r="C368" s="204">
        <f>IF(bands_A!$D$9+1&gt;MONTH(G368),YEAR(G368),YEAR(G368)+1)</f>
        <v/>
      </c>
      <c r="D368" s="204">
        <f>+C368+1</f>
        <v/>
      </c>
      <c r="E368" s="203">
        <f>IF(C368&gt;C367,1,E367+1)</f>
        <v/>
      </c>
      <c r="F368" s="203">
        <f>COUNTIF(C:C,C368)</f>
        <v/>
      </c>
      <c r="G368" s="198">
        <f>+G367+7</f>
        <v/>
      </c>
      <c r="H368" s="361">
        <f>+CO368/CP368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7.71</v>
      </c>
      <c r="CP368" s="970" t="n">
        <v>0.83591</v>
      </c>
    </row>
    <row r="369">
      <c r="B369" s="204">
        <f>+C369-1</f>
        <v/>
      </c>
      <c r="C369" s="204">
        <f>IF(bands_A!$D$9+1&gt;MONTH(G369),YEAR(G369),YEAR(G369)+1)</f>
        <v/>
      </c>
      <c r="D369" s="204">
        <f>+C369+1</f>
        <v/>
      </c>
      <c r="E369" s="203">
        <f>IF(C369&gt;C368,1,E368+1)</f>
        <v/>
      </c>
      <c r="F369" s="203">
        <f>COUNTIF(C:C,C369)</f>
        <v/>
      </c>
      <c r="G369" s="198">
        <f>+G368+7</f>
        <v/>
      </c>
      <c r="H369" s="361">
        <f>+CO369/CP369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7.71</v>
      </c>
      <c r="CP369" s="970" t="n">
        <v>0.83512</v>
      </c>
    </row>
    <row r="370">
      <c r="B370" s="204">
        <f>+C370-1</f>
        <v/>
      </c>
      <c r="C370" s="204">
        <f>IF(bands_A!$D$9+1&gt;MONTH(G370),YEAR(G370),YEAR(G370)+1)</f>
        <v/>
      </c>
      <c r="D370" s="204">
        <f>+C370+1</f>
        <v/>
      </c>
      <c r="E370" s="203">
        <f>IF(C370&gt;C369,1,E369+1)</f>
        <v/>
      </c>
      <c r="F370" s="203">
        <f>COUNTIF(C:C,C370)</f>
        <v/>
      </c>
      <c r="G370" s="198">
        <f>+G369+7</f>
        <v/>
      </c>
      <c r="H370" s="361">
        <f>+CO370/CP370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7.05</v>
      </c>
      <c r="CP370" s="970" t="n">
        <v>0.83444</v>
      </c>
    </row>
    <row r="371">
      <c r="B371" s="204">
        <f>+C371-1</f>
        <v/>
      </c>
      <c r="C371" s="204">
        <f>IF(bands_A!$D$9+1&gt;MONTH(G371),YEAR(G371),YEAR(G371)+1)</f>
        <v/>
      </c>
      <c r="D371" s="204">
        <f>+C371+1</f>
        <v/>
      </c>
      <c r="E371" s="203">
        <f>IF(C371&gt;C370,1,E370+1)</f>
        <v/>
      </c>
      <c r="F371" s="203">
        <f>COUNTIF(C:C,C371)</f>
        <v/>
      </c>
      <c r="G371" s="198">
        <f>+G370+7</f>
        <v/>
      </c>
      <c r="H371" s="361">
        <f>+CO371/CP371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6.88</v>
      </c>
      <c r="CP371" s="970" t="n">
        <v>0.83295</v>
      </c>
    </row>
    <row r="372">
      <c r="B372" s="204">
        <f>+C372-1</f>
        <v/>
      </c>
      <c r="C372" s="204">
        <f>IF(bands_A!$D$9+1&gt;MONTH(G372),YEAR(G372),YEAR(G372)+1)</f>
        <v/>
      </c>
      <c r="D372" s="204">
        <f>+C372+1</f>
        <v/>
      </c>
      <c r="E372" s="203">
        <f>IF(C372&gt;C371,1,E371+1)</f>
        <v/>
      </c>
      <c r="F372" s="203">
        <f>COUNTIF(C:C,C372)</f>
        <v/>
      </c>
      <c r="G372" s="198">
        <f>+G371+7</f>
        <v/>
      </c>
      <c r="H372" s="361">
        <f>+CO372/CP372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6.74</v>
      </c>
      <c r="CP372" s="970" t="n">
        <v>0.83245</v>
      </c>
    </row>
    <row r="373">
      <c r="B373" s="204">
        <f>+C373-1</f>
        <v/>
      </c>
      <c r="C373" s="204">
        <f>IF(bands_A!$D$9+1&gt;MONTH(G373),YEAR(G373),YEAR(G373)+1)</f>
        <v/>
      </c>
      <c r="D373" s="204">
        <f>+C373+1</f>
        <v/>
      </c>
      <c r="E373" s="203">
        <f>IF(C373&gt;C372,1,E372+1)</f>
        <v/>
      </c>
      <c r="F373" s="203">
        <f>COUNTIF(C:C,C373)</f>
        <v/>
      </c>
      <c r="G373" s="198">
        <f>+G372+7</f>
        <v/>
      </c>
      <c r="H373" s="361">
        <f>+CO373/CP373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6.8</v>
      </c>
      <c r="CP373" s="970" t="n">
        <v>0.83106</v>
      </c>
    </row>
    <row r="374">
      <c r="B374" s="204">
        <f>+C374-1</f>
        <v/>
      </c>
      <c r="C374" s="204">
        <f>IF(bands_A!$D$9+1&gt;MONTH(G374),YEAR(G374),YEAR(G374)+1)</f>
        <v/>
      </c>
      <c r="D374" s="204">
        <f>+C374+1</f>
        <v/>
      </c>
      <c r="E374" s="203">
        <f>IF(C374&gt;C373,1,E373+1)</f>
        <v/>
      </c>
      <c r="F374" s="203">
        <f>COUNTIF(C:C,C374)</f>
        <v/>
      </c>
      <c r="G374" s="198">
        <f>+G373+7</f>
        <v/>
      </c>
      <c r="H374" s="361">
        <f>+CO374/CP374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6.84</v>
      </c>
      <c r="CP374" s="970" t="n">
        <v>0.8311500000000001</v>
      </c>
    </row>
    <row r="375">
      <c r="B375" s="204">
        <f>+C375-1</f>
        <v/>
      </c>
      <c r="C375" s="204">
        <f>IF(bands_A!$D$9+1&gt;MONTH(G375),YEAR(G375),YEAR(G375)+1)</f>
        <v/>
      </c>
      <c r="D375" s="204">
        <f>+C375+1</f>
        <v/>
      </c>
      <c r="E375" s="203">
        <f>IF(C375&gt;C374,1,E374+1)</f>
        <v/>
      </c>
      <c r="F375" s="203">
        <f>COUNTIF(C:C,C375)</f>
        <v/>
      </c>
      <c r="G375" s="198">
        <f>+G374+7</f>
        <v/>
      </c>
      <c r="H375" s="361">
        <f>+CO375/CP375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6.91</v>
      </c>
      <c r="CP375" s="970" t="n">
        <v>0.83081</v>
      </c>
    </row>
    <row r="376">
      <c r="B376" s="204">
        <f>+C376-1</f>
        <v/>
      </c>
      <c r="C376" s="204">
        <f>IF(bands_A!$D$9+1&gt;MONTH(G376),YEAR(G376),YEAR(G376)+1)</f>
        <v/>
      </c>
      <c r="D376" s="204">
        <f>+C376+1</f>
        <v/>
      </c>
      <c r="E376" s="203">
        <f>IF(C376&gt;C375,1,E375+1)</f>
        <v/>
      </c>
      <c r="F376" s="203">
        <f>COUNTIF(C:C,C376)</f>
        <v/>
      </c>
      <c r="G376" s="198">
        <f>+G375+7</f>
        <v/>
      </c>
      <c r="H376" s="361">
        <f>+CO376/CP376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6.92</v>
      </c>
      <c r="CP376" s="970" t="n">
        <v>0.83062</v>
      </c>
    </row>
    <row r="377">
      <c r="B377" s="204">
        <f>+C377-1</f>
        <v/>
      </c>
      <c r="C377" s="204">
        <f>IF(bands_A!$D$9+1&gt;MONTH(G377),YEAR(G377),YEAR(G377)+1)</f>
        <v/>
      </c>
      <c r="D377" s="204">
        <f>+C377+1</f>
        <v/>
      </c>
      <c r="E377" s="203">
        <f>IF(C377&gt;C376,1,E376+1)</f>
        <v/>
      </c>
      <c r="F377" s="203">
        <f>COUNTIF(C:C,C377)</f>
        <v/>
      </c>
      <c r="G377" s="198">
        <f>+G376+7</f>
        <v/>
      </c>
      <c r="H377" s="361">
        <f>+CO377/CP377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6.87</v>
      </c>
      <c r="CP377" s="970" t="n">
        <v>0.8292</v>
      </c>
    </row>
    <row r="378">
      <c r="B378" s="204">
        <f>+C378-1</f>
        <v/>
      </c>
      <c r="C378" s="204">
        <f>IF(bands_A!$D$9+1&gt;MONTH(G378),YEAR(G378),YEAR(G378)+1)</f>
        <v/>
      </c>
      <c r="D378" s="204">
        <f>+C378+1</f>
        <v/>
      </c>
      <c r="E378" s="203">
        <f>IF(C378&gt;C377,1,E377+1)</f>
        <v/>
      </c>
      <c r="F378" s="203">
        <f>COUNTIF(C:C,C378)</f>
        <v/>
      </c>
      <c r="G378" s="198">
        <f>+G377+7</f>
        <v/>
      </c>
      <c r="H378" s="361">
        <f>+CO378/CP378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6.81</v>
      </c>
      <c r="CP378" s="970" t="n">
        <v>0.8275</v>
      </c>
    </row>
    <row r="379">
      <c r="B379" s="204">
        <f>+C379-1</f>
        <v/>
      </c>
      <c r="C379" s="204">
        <f>IF(bands_A!$D$9+1&gt;MONTH(G379),YEAR(G379),YEAR(G379)+1)</f>
        <v/>
      </c>
      <c r="D379" s="204">
        <f>+C379+1</f>
        <v/>
      </c>
      <c r="E379" s="203">
        <f>IF(C379&gt;C378,1,E378+1)</f>
        <v/>
      </c>
      <c r="F379" s="203">
        <f>COUNTIF(C:C,C379)</f>
        <v/>
      </c>
      <c r="G379" s="198">
        <f>+G378+7</f>
        <v/>
      </c>
      <c r="H379" s="361">
        <f>+CO379/CP379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6.72</v>
      </c>
      <c r="CP379" s="970" t="n">
        <v>0.82583</v>
      </c>
    </row>
    <row r="380">
      <c r="B380" s="204">
        <f>+C380-1</f>
        <v/>
      </c>
      <c r="C380" s="204">
        <f>IF(bands_A!$D$9+1&gt;MONTH(G380),YEAR(G380),YEAR(G380)+1)</f>
        <v/>
      </c>
      <c r="D380" s="204">
        <f>+C380+1</f>
        <v/>
      </c>
      <c r="E380" s="203">
        <f>IF(C380&gt;C379,1,E379+1)</f>
        <v/>
      </c>
      <c r="F380" s="203">
        <f>COUNTIF(C:C,C380)</f>
        <v/>
      </c>
      <c r="G380" s="198">
        <f>+G379+7</f>
        <v/>
      </c>
      <c r="H380" s="361">
        <f>+CO380/CP380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6.37</v>
      </c>
      <c r="CP380" s="970" t="n">
        <v>0.82489</v>
      </c>
    </row>
    <row r="381">
      <c r="B381" s="204">
        <f>+C381-1</f>
        <v/>
      </c>
      <c r="C381" s="204">
        <f>IF(bands_A!$D$9+1&gt;MONTH(G381),YEAR(G381),YEAR(G381)+1)</f>
        <v/>
      </c>
      <c r="D381" s="204">
        <f>+C381+1</f>
        <v/>
      </c>
      <c r="E381" s="203">
        <f>IF(C381&gt;C380,1,E380+1)</f>
        <v/>
      </c>
      <c r="F381" s="203">
        <f>COUNTIF(C:C,C381)</f>
        <v/>
      </c>
      <c r="G381" s="198">
        <f>+G380+7</f>
        <v/>
      </c>
      <c r="H381" s="361">
        <f>+CO381/CP381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6.1</v>
      </c>
      <c r="CP381" s="970" t="n">
        <v>0.82051</v>
      </c>
    </row>
    <row r="382">
      <c r="B382" s="204">
        <f>+C382-1</f>
        <v/>
      </c>
      <c r="C382" s="204">
        <f>IF(bands_A!$D$9+1&gt;MONTH(G382),YEAR(G382),YEAR(G382)+1)</f>
        <v/>
      </c>
      <c r="D382" s="204">
        <f>+C382+1</f>
        <v/>
      </c>
      <c r="E382" s="203">
        <f>IF(C382&gt;C381,1,E381+1)</f>
        <v/>
      </c>
      <c r="F382" s="203">
        <f>COUNTIF(C:C,C382)</f>
        <v/>
      </c>
      <c r="G382" s="198">
        <f>+G381+7</f>
        <v/>
      </c>
      <c r="H382" s="361">
        <f>+CO382/CP382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5.84</v>
      </c>
      <c r="CP382" s="970" t="n">
        <v>0.82039</v>
      </c>
    </row>
    <row r="383">
      <c r="B383" s="204">
        <f>+C383-1</f>
        <v/>
      </c>
      <c r="C383" s="204">
        <f>IF(bands_A!$D$9+1&gt;MONTH(G383),YEAR(G383),YEAR(G383)+1)</f>
        <v/>
      </c>
      <c r="D383" s="204">
        <f>+C383+1</f>
        <v/>
      </c>
      <c r="E383" s="203">
        <f>IF(C383&gt;C382,1,E382+1)</f>
        <v/>
      </c>
      <c r="F383" s="203">
        <f>COUNTIF(C:C,C383)</f>
        <v/>
      </c>
      <c r="G383" s="198">
        <f>+G382+7</f>
        <v/>
      </c>
      <c r="H383" s="361">
        <f>+CO383/CP383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6.07</v>
      </c>
      <c r="CP383" s="970" t="n">
        <v>0.81931</v>
      </c>
    </row>
    <row r="384">
      <c r="B384" s="204">
        <f>+C384-1</f>
        <v/>
      </c>
      <c r="C384" s="204">
        <f>IF(bands_A!$D$9+1&gt;MONTH(G384),YEAR(G384),YEAR(G384)+1)</f>
        <v/>
      </c>
      <c r="D384" s="204">
        <f>+C384+1</f>
        <v/>
      </c>
      <c r="E384" s="203">
        <f>IF(C384&gt;C383,1,E383+1)</f>
        <v/>
      </c>
      <c r="F384" s="203">
        <f>COUNTIF(C:C,C384)</f>
        <v/>
      </c>
      <c r="G384" s="198">
        <f>+G383+7</f>
        <v/>
      </c>
      <c r="H384" s="361">
        <f>+CO384/CP384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5.88</v>
      </c>
      <c r="CP384" s="970" t="n">
        <v>0.81954</v>
      </c>
    </row>
    <row r="385">
      <c r="B385" s="204">
        <f>+C385-1</f>
        <v/>
      </c>
      <c r="C385" s="204">
        <f>IF(bands_A!$D$9+1&gt;MONTH(G385),YEAR(G385),YEAR(G385)+1)</f>
        <v/>
      </c>
      <c r="D385" s="204">
        <f>+C385+1</f>
        <v/>
      </c>
      <c r="E385" s="203">
        <f>IF(C385&gt;C384,1,E384+1)</f>
        <v/>
      </c>
      <c r="F385" s="203">
        <f>COUNTIF(C:C,C385)</f>
        <v/>
      </c>
      <c r="G385" s="198">
        <f>+G384+7</f>
        <v/>
      </c>
      <c r="H385" s="361">
        <f>+CO385/CP385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5.84</v>
      </c>
      <c r="CP385" s="970" t="n">
        <v>0.81937</v>
      </c>
    </row>
    <row r="386">
      <c r="B386" s="204">
        <f>+C386-1</f>
        <v/>
      </c>
      <c r="C386" s="204">
        <f>IF(bands_A!$D$9+1&gt;MONTH(G386),YEAR(G386),YEAR(G386)+1)</f>
        <v/>
      </c>
      <c r="D386" s="204">
        <f>+C386+1</f>
        <v/>
      </c>
      <c r="E386" s="203">
        <f>IF(C386&gt;C385,1,E385+1)</f>
        <v/>
      </c>
      <c r="F386" s="203">
        <f>COUNTIF(C:C,C386)</f>
        <v/>
      </c>
      <c r="G386" s="198">
        <f>+G385+7</f>
        <v/>
      </c>
      <c r="H386" s="361">
        <f>+CO386/CP386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5.74</v>
      </c>
      <c r="CP386" s="970" t="n">
        <v>0.81926</v>
      </c>
    </row>
    <row r="387">
      <c r="B387" s="204">
        <f>+C387-1</f>
        <v/>
      </c>
      <c r="C387" s="204">
        <f>IF(bands_A!$D$9+1&gt;MONTH(G387),YEAR(G387),YEAR(G387)+1)</f>
        <v/>
      </c>
      <c r="D387" s="204">
        <f>+C387+1</f>
        <v/>
      </c>
      <c r="E387" s="203">
        <f>IF(C387&gt;C386,1,E386+1)</f>
        <v/>
      </c>
      <c r="F387" s="203">
        <f>COUNTIF(C:C,C387)</f>
        <v/>
      </c>
      <c r="G387" s="198">
        <f>+G386+7</f>
        <v/>
      </c>
      <c r="H387" s="361">
        <f>+CO387/CP387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6.03</v>
      </c>
      <c r="CP387" s="970" t="n">
        <v>0.81855</v>
      </c>
    </row>
    <row r="388">
      <c r="B388" s="204">
        <f>+C388-1</f>
        <v/>
      </c>
      <c r="C388" s="204">
        <f>IF(bands_A!$D$9+1&gt;MONTH(G388),YEAR(G388),YEAR(G388)+1)</f>
        <v/>
      </c>
      <c r="D388" s="204">
        <f>+C388+1</f>
        <v/>
      </c>
      <c r="E388" s="203">
        <f>IF(C388&gt;C387,1,E387+1)</f>
        <v/>
      </c>
      <c r="F388" s="203">
        <f>COUNTIF(C:C,C388)</f>
        <v/>
      </c>
      <c r="G388" s="198">
        <f>+G387+7</f>
        <v/>
      </c>
      <c r="H388" s="361">
        <f>+CO388/CP388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6.04</v>
      </c>
      <c r="CP388" s="970" t="n">
        <v>0.81999</v>
      </c>
    </row>
    <row r="389">
      <c r="B389" s="204">
        <f>+C389-1</f>
        <v/>
      </c>
      <c r="C389" s="204">
        <f>IF(bands_A!$D$9+1&gt;MONTH(G389),YEAR(G389),YEAR(G389)+1)</f>
        <v/>
      </c>
      <c r="D389" s="204">
        <f>+C389+1</f>
        <v/>
      </c>
      <c r="E389" s="203">
        <f>IF(C389&gt;C388,1,E388+1)</f>
        <v/>
      </c>
      <c r="F389" s="203">
        <f>COUNTIF(C:C,C389)</f>
        <v/>
      </c>
      <c r="G389" s="198">
        <f>+G388+7</f>
        <v/>
      </c>
      <c r="H389" s="361">
        <f>+CO389/CP389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6.04</v>
      </c>
      <c r="CP389" s="970" t="n">
        <v>0.81978</v>
      </c>
    </row>
    <row r="390">
      <c r="B390" s="204">
        <f>+C390-1</f>
        <v/>
      </c>
      <c r="C390" s="204">
        <f>IF(bands_A!$D$9+1&gt;MONTH(G390),YEAR(G390),YEAR(G390)+1)</f>
        <v/>
      </c>
      <c r="D390" s="204">
        <f>+C390+1</f>
        <v/>
      </c>
      <c r="E390" s="203">
        <f>IF(C390&gt;C389,1,E389+1)</f>
        <v/>
      </c>
      <c r="F390" s="203">
        <f>COUNTIF(C:C,C390)</f>
        <v/>
      </c>
      <c r="G390" s="198">
        <f>+G389+7</f>
        <v/>
      </c>
      <c r="H390" s="361">
        <f>+CO390/CP390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6.37</v>
      </c>
      <c r="CP390" s="970" t="n">
        <v>0.8207100000000001</v>
      </c>
    </row>
    <row r="391">
      <c r="B391" s="204">
        <f>+C391-1</f>
        <v/>
      </c>
      <c r="C391" s="204">
        <f>IF(bands_A!$D$9+1&gt;MONTH(G391),YEAR(G391),YEAR(G391)+1)</f>
        <v/>
      </c>
      <c r="D391" s="204">
        <f>+C391+1</f>
        <v/>
      </c>
      <c r="E391" s="203">
        <f>IF(C391&gt;C390,1,E390+1)</f>
        <v/>
      </c>
      <c r="F391" s="203">
        <f>COUNTIF(C:C,C391)</f>
        <v/>
      </c>
      <c r="G391" s="198">
        <f>+G390+7</f>
        <v/>
      </c>
      <c r="H391" s="361">
        <f>+CO391/CP391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6.11</v>
      </c>
      <c r="CP391" s="970" t="n">
        <v>0.82079</v>
      </c>
    </row>
    <row r="392">
      <c r="B392" s="204">
        <f>+C392-1</f>
        <v/>
      </c>
      <c r="C392" s="204">
        <f>IF(bands_A!$D$9+1&gt;MONTH(G392),YEAR(G392),YEAR(G392)+1)</f>
        <v/>
      </c>
      <c r="D392" s="204">
        <f>+C392+1</f>
        <v/>
      </c>
      <c r="E392" s="203">
        <f>IF(C392&gt;C391,1,E391+1)</f>
        <v/>
      </c>
      <c r="F392" s="203">
        <f>COUNTIF(C:C,C392)</f>
        <v/>
      </c>
      <c r="G392" s="198">
        <f>+G391+7</f>
        <v/>
      </c>
      <c r="H392" s="361">
        <f>+CO392/CP392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6.34</v>
      </c>
      <c r="CP392" s="970" t="n">
        <v>0.81945</v>
      </c>
    </row>
    <row r="393">
      <c r="B393" s="204">
        <f>+C393-1</f>
        <v/>
      </c>
      <c r="C393" s="204">
        <f>IF(bands_A!$D$9+1&gt;MONTH(G393),YEAR(G393),YEAR(G393)+1)</f>
        <v/>
      </c>
      <c r="D393" s="204">
        <f>+C393+1</f>
        <v/>
      </c>
      <c r="E393" s="203">
        <f>IF(C393&gt;C392,1,E392+1)</f>
        <v/>
      </c>
      <c r="F393" s="203">
        <f>COUNTIF(C:C,C393)</f>
        <v/>
      </c>
      <c r="G393" s="198">
        <f>+G392+7</f>
        <v/>
      </c>
      <c r="H393" s="361">
        <f>+CO393/CP393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6.56</v>
      </c>
      <c r="CP393" s="970" t="n">
        <v>0.81646</v>
      </c>
    </row>
    <row r="394">
      <c r="B394" s="204">
        <f>+C394-1</f>
        <v/>
      </c>
      <c r="C394" s="204">
        <f>IF(bands_A!$D$9+1&gt;MONTH(G394),YEAR(G394),YEAR(G394)+1)</f>
        <v/>
      </c>
      <c r="D394" s="204">
        <f>+C394+1</f>
        <v/>
      </c>
      <c r="E394" s="203">
        <f>IF(C394&gt;C393,1,E393+1)</f>
        <v/>
      </c>
      <c r="F394" s="203">
        <f>COUNTIF(C:C,C394)</f>
        <v/>
      </c>
      <c r="G394" s="198">
        <f>+G393+7</f>
        <v/>
      </c>
      <c r="H394" s="361">
        <f>+CO394/CP394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6.28</v>
      </c>
      <c r="CP394" s="970" t="n">
        <v>0.81552</v>
      </c>
    </row>
    <row r="395">
      <c r="B395" s="204">
        <f>+C395-1</f>
        <v/>
      </c>
      <c r="C395" s="204">
        <f>IF(bands_A!$D$9+1&gt;MONTH(G395),YEAR(G395),YEAR(G395)+1)</f>
        <v/>
      </c>
      <c r="D395" s="204">
        <f>+C395+1</f>
        <v/>
      </c>
      <c r="E395" s="203">
        <f>IF(C395&gt;C394,1,E394+1)</f>
        <v/>
      </c>
      <c r="F395" s="203">
        <f>COUNTIF(C:C,C395)</f>
        <v/>
      </c>
      <c r="G395" s="198">
        <f>+G394+7</f>
        <v/>
      </c>
      <c r="H395" s="361">
        <f>+CO395/CP395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6.06</v>
      </c>
      <c r="CP395" s="970" t="n">
        <v>0.81633</v>
      </c>
    </row>
    <row r="396">
      <c r="B396" s="204">
        <f>+C396-1</f>
        <v/>
      </c>
      <c r="C396" s="204">
        <f>IF(bands_A!$D$9+1&gt;MONTH(G396),YEAR(G396),YEAR(G396)+1)</f>
        <v/>
      </c>
      <c r="D396" s="204">
        <f>+C396+1</f>
        <v/>
      </c>
      <c r="E396" s="203">
        <f>IF(C396&gt;C395,1,E395+1)</f>
        <v/>
      </c>
      <c r="F396" s="203">
        <f>COUNTIF(C:C,C396)</f>
        <v/>
      </c>
      <c r="G396" s="198">
        <f>+G395+7</f>
        <v/>
      </c>
      <c r="H396" s="361">
        <f>+CO396/CP396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5.89</v>
      </c>
      <c r="CP396" s="970" t="n">
        <v>0.8175</v>
      </c>
    </row>
    <row r="397">
      <c r="B397" s="204">
        <f>+C397-1</f>
        <v/>
      </c>
      <c r="C397" s="204">
        <f>IF(bands_A!$D$9+1&gt;MONTH(G397),YEAR(G397),YEAR(G397)+1)</f>
        <v/>
      </c>
      <c r="D397" s="204">
        <f>+C397+1</f>
        <v/>
      </c>
      <c r="E397" s="203">
        <f>IF(C397&gt;C396,1,E396+1)</f>
        <v/>
      </c>
      <c r="F397" s="203">
        <f>COUNTIF(C:C,C397)</f>
        <v/>
      </c>
      <c r="G397" s="198">
        <f>+G396+7</f>
        <v/>
      </c>
      <c r="H397" s="361">
        <f>+CO397/CP397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5.67</v>
      </c>
      <c r="CP397" s="970" t="n">
        <v>0.81793</v>
      </c>
    </row>
    <row r="398">
      <c r="B398" s="204">
        <f>+C398-1</f>
        <v/>
      </c>
      <c r="C398" s="204">
        <f>IF(bands_A!$D$9+1&gt;MONTH(G398),YEAR(G398),YEAR(G398)+1)</f>
        <v/>
      </c>
      <c r="D398" s="204">
        <f>+C398+1</f>
        <v/>
      </c>
      <c r="E398" s="203">
        <f>IF(C398&gt;C397,1,E397+1)</f>
        <v/>
      </c>
      <c r="F398" s="203">
        <f>COUNTIF(C:C,C398)</f>
        <v/>
      </c>
      <c r="G398" s="198">
        <f>+G397+7</f>
        <v/>
      </c>
      <c r="H398" s="361">
        <f>+CO398/CP398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5.58</v>
      </c>
      <c r="CP398" s="970" t="n">
        <v>0.81433</v>
      </c>
    </row>
    <row r="399">
      <c r="B399" s="204">
        <f>+C399-1</f>
        <v/>
      </c>
      <c r="C399" s="204">
        <f>IF(bands_A!$D$9+1&gt;MONTH(G399),YEAR(G399),YEAR(G399)+1)</f>
        <v/>
      </c>
      <c r="D399" s="204">
        <f>+C399+1</f>
        <v/>
      </c>
      <c r="E399" s="203">
        <f>IF(C399&gt;C398,1,E398+1)</f>
        <v/>
      </c>
      <c r="F399" s="203">
        <f>COUNTIF(C:C,C399)</f>
        <v/>
      </c>
      <c r="G399" s="198">
        <f>+G398+7</f>
        <v/>
      </c>
      <c r="H399" s="361">
        <f>+CO399/CP399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5.54</v>
      </c>
      <c r="CP399" s="970" t="n">
        <v>0.81354</v>
      </c>
    </row>
    <row r="400">
      <c r="B400" s="204">
        <f>+C400-1</f>
        <v/>
      </c>
      <c r="C400" s="204">
        <f>IF(bands_A!$D$9+1&gt;MONTH(G400),YEAR(G400),YEAR(G400)+1)</f>
        <v/>
      </c>
      <c r="D400" s="204">
        <f>+C400+1</f>
        <v/>
      </c>
      <c r="E400" s="203">
        <f>IF(C400&gt;C399,1,E399+1)</f>
        <v/>
      </c>
      <c r="F400" s="203">
        <f>COUNTIF(C:C,C400)</f>
        <v/>
      </c>
      <c r="G400" s="198">
        <f>+G399+7</f>
        <v/>
      </c>
      <c r="H400" s="361">
        <f>+CO400/CP400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5.18</v>
      </c>
      <c r="CP400" s="970" t="n">
        <v>0.81529</v>
      </c>
    </row>
    <row r="401">
      <c r="B401" s="204">
        <f>+C401-1</f>
        <v/>
      </c>
      <c r="C401" s="204">
        <f>IF(bands_A!$D$9+1&gt;MONTH(G401),YEAR(G401),YEAR(G401)+1)</f>
        <v/>
      </c>
      <c r="D401" s="204">
        <f>+C401+1</f>
        <v/>
      </c>
      <c r="E401" s="203">
        <f>IF(C401&gt;C400,1,E400+1)</f>
        <v/>
      </c>
      <c r="F401" s="203">
        <f>COUNTIF(C:C,C401)</f>
        <v/>
      </c>
      <c r="G401" s="198">
        <f>+G400+7</f>
        <v/>
      </c>
      <c r="H401" s="361">
        <f>+CO401/CP401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5.1</v>
      </c>
      <c r="CP401" s="970" t="n">
        <v>0.81119</v>
      </c>
    </row>
    <row r="402">
      <c r="B402" s="204">
        <f>+C402-1</f>
        <v/>
      </c>
      <c r="C402" s="204">
        <f>IF(bands_A!$D$9+1&gt;MONTH(G402),YEAR(G402),YEAR(G402)+1)</f>
        <v/>
      </c>
      <c r="D402" s="204">
        <f>+C402+1</f>
        <v/>
      </c>
      <c r="E402" s="203">
        <f>IF(C402&gt;C401,1,E401+1)</f>
        <v/>
      </c>
      <c r="F402" s="203">
        <f>COUNTIF(C:C,C402)</f>
        <v/>
      </c>
      <c r="G402" s="198">
        <f>+G401+7</f>
        <v/>
      </c>
      <c r="H402" s="361">
        <f>+CO402/CP402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5.01</v>
      </c>
      <c r="CP402" s="970" t="n">
        <v>0.81335</v>
      </c>
    </row>
    <row r="403">
      <c r="B403" s="204">
        <f>+C403-1</f>
        <v/>
      </c>
      <c r="C403" s="204">
        <f>IF(bands_A!$D$9+1&gt;MONTH(G403),YEAR(G403),YEAR(G403)+1)</f>
        <v/>
      </c>
      <c r="D403" s="204">
        <f>+C403+1</f>
        <v/>
      </c>
      <c r="E403" s="203">
        <f>IF(C403&gt;C402,1,E402+1)</f>
        <v/>
      </c>
      <c r="F403" s="203">
        <f>COUNTIF(C:C,C403)</f>
        <v/>
      </c>
      <c r="G403" s="198">
        <f>+G402+7</f>
        <v/>
      </c>
      <c r="H403" s="361">
        <f>+CO403/CP403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5.19</v>
      </c>
      <c r="CP403" s="970" t="n">
        <v>0.81412</v>
      </c>
    </row>
    <row r="404">
      <c r="B404" s="204">
        <f>+C404-1</f>
        <v/>
      </c>
      <c r="C404" s="204">
        <f>IF(bands_A!$D$9+1&gt;MONTH(G404),YEAR(G404),YEAR(G404)+1)</f>
        <v/>
      </c>
      <c r="D404" s="204">
        <f>+C404+1</f>
        <v/>
      </c>
      <c r="E404" s="203">
        <f>IF(C404&gt;C403,1,E403+1)</f>
        <v/>
      </c>
      <c r="F404" s="203">
        <f>COUNTIF(C:C,C404)</f>
        <v/>
      </c>
      <c r="G404" s="198">
        <f>+G403+7</f>
        <v/>
      </c>
      <c r="H404" s="361">
        <f>+CO404/CP404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5.6</v>
      </c>
      <c r="CP404" s="970" t="n">
        <v>0.81535</v>
      </c>
    </row>
    <row r="405">
      <c r="B405" s="204">
        <f>+C405-1</f>
        <v/>
      </c>
      <c r="C405" s="204">
        <f>IF(bands_A!$D$9+1&gt;MONTH(G405),YEAR(G405),YEAR(G405)+1)</f>
        <v/>
      </c>
      <c r="D405" s="204">
        <f>+C405+1</f>
        <v/>
      </c>
      <c r="E405" s="203">
        <f>IF(C405&gt;C404,1,E404+1)</f>
        <v/>
      </c>
      <c r="F405" s="203">
        <f>COUNTIF(C:C,C405)</f>
        <v/>
      </c>
      <c r="G405" s="198">
        <f>+G404+7</f>
        <v/>
      </c>
      <c r="H405" s="361">
        <f>+CO405/CP405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5.6</v>
      </c>
      <c r="CP405" s="970" t="n">
        <v>0.81511</v>
      </c>
    </row>
    <row r="406">
      <c r="B406" s="204">
        <f>+C406-1</f>
        <v/>
      </c>
      <c r="C406" s="204">
        <f>IF(bands_A!$D$9+1&gt;MONTH(G406),YEAR(G406),YEAR(G406)+1)</f>
        <v/>
      </c>
      <c r="D406" s="204">
        <f>+C406+1</f>
        <v/>
      </c>
      <c r="E406" s="203">
        <f>IF(C406&gt;C405,1,E405+1)</f>
        <v/>
      </c>
      <c r="F406" s="203">
        <f>COUNTIF(C:C,C406)</f>
        <v/>
      </c>
      <c r="G406" s="198">
        <f>+G405+7</f>
        <v/>
      </c>
      <c r="H406" s="361">
        <f>+CO406/CP406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5.52</v>
      </c>
      <c r="CP406" s="970" t="n">
        <v>0.8133899999999999</v>
      </c>
    </row>
    <row r="407">
      <c r="B407" s="204">
        <f>+C407-1</f>
        <v/>
      </c>
      <c r="C407" s="204">
        <f>IF(bands_A!$D$9+1&gt;MONTH(G407),YEAR(G407),YEAR(G407)+1)</f>
        <v/>
      </c>
      <c r="D407" s="204">
        <f>+C407+1</f>
        <v/>
      </c>
      <c r="E407" s="203">
        <f>IF(C407&gt;C406,1,E406+1)</f>
        <v/>
      </c>
      <c r="F407" s="203">
        <f>COUNTIF(C:C,C407)</f>
        <v/>
      </c>
      <c r="G407" s="198">
        <f>+G406+7</f>
        <v/>
      </c>
      <c r="H407" s="361">
        <f>+CO407/CP407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5.5</v>
      </c>
      <c r="CP407" s="970" t="n">
        <v>0.81163</v>
      </c>
    </row>
    <row r="408">
      <c r="B408" s="204">
        <f>+C408-1</f>
        <v/>
      </c>
      <c r="C408" s="204">
        <f>IF(bands_A!$D$9+1&gt;MONTH(G408),YEAR(G408),YEAR(G408)+1)</f>
        <v/>
      </c>
      <c r="D408" s="204">
        <f>+C408+1</f>
        <v/>
      </c>
      <c r="E408" s="203">
        <f>IF(C408&gt;C407,1,E407+1)</f>
        <v/>
      </c>
      <c r="F408" s="203">
        <f>COUNTIF(C:C,C408)</f>
        <v/>
      </c>
      <c r="G408" s="198">
        <f>+G407+7</f>
        <v/>
      </c>
      <c r="H408" s="361">
        <f>+CO408/CP408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5.57</v>
      </c>
      <c r="CP408" s="970" t="n">
        <v>0.8122</v>
      </c>
    </row>
    <row r="409">
      <c r="B409" s="204">
        <f>+C409-1</f>
        <v/>
      </c>
      <c r="C409" s="204">
        <f>IF(bands_A!$D$9+1&gt;MONTH(G409),YEAR(G409),YEAR(G409)+1)</f>
        <v/>
      </c>
      <c r="D409" s="204">
        <f>+C409+1</f>
        <v/>
      </c>
      <c r="E409" s="203">
        <f>IF(C409&gt;C408,1,E408+1)</f>
        <v/>
      </c>
      <c r="F409" s="203">
        <f>COUNTIF(C:C,C409)</f>
        <v/>
      </c>
      <c r="G409" s="198">
        <f>+G408+7</f>
        <v/>
      </c>
      <c r="H409" s="361">
        <f>+CO409/CP409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5.75</v>
      </c>
      <c r="CP409" s="970" t="n">
        <v>0.81228</v>
      </c>
    </row>
    <row r="410">
      <c r="B410" s="204">
        <f>+C410-1</f>
        <v/>
      </c>
      <c r="C410" s="204">
        <f>IF(bands_A!$D$9+1&gt;MONTH(G410),YEAR(G410),YEAR(G410)+1)</f>
        <v/>
      </c>
      <c r="D410" s="204">
        <f>+C410+1</f>
        <v/>
      </c>
      <c r="E410" s="203">
        <f>IF(C410&gt;C409,1,E409+1)</f>
        <v/>
      </c>
      <c r="F410" s="203">
        <f>COUNTIF(C:C,C410)</f>
        <v/>
      </c>
      <c r="G410" s="198">
        <f>+G409+7</f>
        <v/>
      </c>
      <c r="H410" s="361">
        <f>+CO410/CP410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5.86</v>
      </c>
      <c r="CP410" s="970" t="n">
        <v>0.81192</v>
      </c>
    </row>
    <row r="411">
      <c r="B411" s="204">
        <f>+C411-1</f>
        <v/>
      </c>
      <c r="C411" s="204">
        <f>IF(bands_A!$D$9+1&gt;MONTH(G411),YEAR(G411),YEAR(G411)+1)</f>
        <v/>
      </c>
      <c r="D411" s="204">
        <f>+C411+1</f>
        <v/>
      </c>
      <c r="E411" s="203">
        <f>IF(C411&gt;C410,1,E410+1)</f>
        <v/>
      </c>
      <c r="F411" s="203">
        <f>COUNTIF(C:C,C411)</f>
        <v/>
      </c>
      <c r="G411" s="198">
        <f>+G410+7</f>
        <v/>
      </c>
      <c r="H411" s="361">
        <f>+CO411/CP411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5.83</v>
      </c>
      <c r="CP411" s="970" t="n">
        <v>0.8134</v>
      </c>
    </row>
    <row r="412">
      <c r="B412" s="204">
        <f>+C412-1</f>
        <v/>
      </c>
      <c r="C412" s="204">
        <f>IF(bands_A!$D$9+1&gt;MONTH(G412),YEAR(G412),YEAR(G412)+1)</f>
        <v/>
      </c>
      <c r="D412" s="204">
        <f>+C412+1</f>
        <v/>
      </c>
      <c r="E412" s="203">
        <f>IF(C412&gt;C411,1,E411+1)</f>
        <v/>
      </c>
      <c r="F412" s="203">
        <f>COUNTIF(C:C,C412)</f>
        <v/>
      </c>
      <c r="G412" s="198">
        <f>+G411+7</f>
        <v/>
      </c>
      <c r="H412" s="361">
        <f>+CO412/CP412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5.87</v>
      </c>
      <c r="CP412" s="970" t="n">
        <v>0.81448</v>
      </c>
    </row>
    <row r="413">
      <c r="B413" s="204">
        <f>+C413-1</f>
        <v/>
      </c>
      <c r="C413" s="204">
        <f>IF(bands_A!$D$9+1&gt;MONTH(G413),YEAR(G413),YEAR(G413)+1)</f>
        <v/>
      </c>
      <c r="D413" s="204">
        <f>+C413+1</f>
        <v/>
      </c>
      <c r="E413" s="203">
        <f>IF(C413&gt;C412,1,E412+1)</f>
        <v/>
      </c>
      <c r="F413" s="203">
        <f>COUNTIF(C:C,C413)</f>
        <v/>
      </c>
      <c r="G413" s="198">
        <f>+G412+7</f>
        <v/>
      </c>
      <c r="H413" s="361">
        <f>+CO413/CP413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5.65</v>
      </c>
      <c r="CP413" s="970" t="n">
        <v>0.8111699999999999</v>
      </c>
    </row>
    <row r="414">
      <c r="B414" s="204">
        <f>+C414-1</f>
        <v/>
      </c>
      <c r="C414" s="204">
        <f>IF(bands_A!$D$9+1&gt;MONTH(G414),YEAR(G414),YEAR(G414)+1)</f>
        <v/>
      </c>
      <c r="D414" s="204">
        <f>+C414+1</f>
        <v/>
      </c>
      <c r="E414" s="203">
        <f>IF(C414&gt;C413,1,E413+1)</f>
        <v/>
      </c>
      <c r="F414" s="203">
        <f>COUNTIF(C:C,C414)</f>
        <v/>
      </c>
      <c r="G414" s="198">
        <f>+G413+7</f>
        <v/>
      </c>
      <c r="H414" s="361">
        <f>+CO414/CP414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5.31</v>
      </c>
      <c r="CP414" s="970" t="n">
        <v>0.81052</v>
      </c>
    </row>
    <row r="415">
      <c r="B415" s="204">
        <f>+C415-1</f>
        <v/>
      </c>
      <c r="C415" s="204">
        <f>IF(bands_A!$D$9+1&gt;MONTH(G415),YEAR(G415),YEAR(G415)+1)</f>
        <v/>
      </c>
      <c r="D415" s="204">
        <f>+C415+1</f>
        <v/>
      </c>
      <c r="E415" s="203">
        <f>IF(C415&gt;C414,1,E414+1)</f>
        <v/>
      </c>
      <c r="F415" s="203">
        <f>COUNTIF(C:C,C415)</f>
        <v/>
      </c>
      <c r="G415" s="198">
        <f>+G414+7</f>
        <v/>
      </c>
      <c r="H415" s="361">
        <f>+CO415/CP415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5.4</v>
      </c>
      <c r="CP415" s="970" t="n">
        <v>0.81218</v>
      </c>
    </row>
    <row r="416">
      <c r="B416" s="204">
        <f>+C416-1</f>
        <v/>
      </c>
      <c r="C416" s="204">
        <f>IF(bands_A!$D$9+1&gt;MONTH(G416),YEAR(G416),YEAR(G416)+1)</f>
        <v/>
      </c>
      <c r="D416" s="204">
        <f>+C416+1</f>
        <v/>
      </c>
      <c r="E416" s="203">
        <f>IF(C416&gt;C415,1,E415+1)</f>
        <v/>
      </c>
      <c r="F416" s="203">
        <f>COUNTIF(C:C,C416)</f>
        <v/>
      </c>
      <c r="G416" s="198">
        <f>+G415+7</f>
        <v/>
      </c>
      <c r="H416" s="361">
        <f>+CO416/CP416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5.44</v>
      </c>
      <c r="CP416" s="970" t="n">
        <v>0.81166</v>
      </c>
    </row>
    <row r="417">
      <c r="B417" s="204">
        <f>+C417-1</f>
        <v/>
      </c>
      <c r="C417" s="204">
        <f>IF(bands_A!$D$9+1&gt;MONTH(G417),YEAR(G417),YEAR(G417)+1)</f>
        <v/>
      </c>
      <c r="D417" s="204">
        <f>+C417+1</f>
        <v/>
      </c>
      <c r="E417" s="203">
        <f>IF(C417&gt;C416,1,E416+1)</f>
        <v/>
      </c>
      <c r="F417" s="203">
        <f>COUNTIF(C:C,C417)</f>
        <v/>
      </c>
      <c r="G417" s="198">
        <f>+G416+7</f>
        <v/>
      </c>
      <c r="H417" s="361">
        <f>+CO417/CP417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5.59</v>
      </c>
      <c r="CP417" s="970" t="n">
        <v>0.81211</v>
      </c>
    </row>
    <row r="418">
      <c r="B418" s="204">
        <f>+C418-1</f>
        <v/>
      </c>
      <c r="C418" s="204">
        <f>IF(bands_A!$D$9+1&gt;MONTH(G418),YEAR(G418),YEAR(G418)+1)</f>
        <v/>
      </c>
      <c r="D418" s="204">
        <f>+C418+1</f>
        <v/>
      </c>
      <c r="E418" s="203">
        <f>IF(C418&gt;C417,1,E417+1)</f>
        <v/>
      </c>
      <c r="F418" s="203">
        <f>COUNTIF(C:C,C418)</f>
        <v/>
      </c>
      <c r="G418" s="198">
        <f>+G417+7</f>
        <v/>
      </c>
      <c r="H418" s="361">
        <f>+CO418/CP418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5.74</v>
      </c>
      <c r="CP418" s="970" t="n">
        <v>0.80914</v>
      </c>
    </row>
    <row r="419">
      <c r="B419" s="204">
        <f>+C419-1</f>
        <v/>
      </c>
      <c r="C419" s="204">
        <f>IF(bands_A!$D$9+1&gt;MONTH(G419),YEAR(G419),YEAR(G419)+1)</f>
        <v/>
      </c>
      <c r="D419" s="204">
        <f>+C419+1</f>
        <v/>
      </c>
      <c r="E419" s="203">
        <f>IF(C419&gt;C418,1,E418+1)</f>
        <v/>
      </c>
      <c r="F419" s="203">
        <f>COUNTIF(C:C,C419)</f>
        <v/>
      </c>
      <c r="G419" s="198">
        <f>+G418+7</f>
        <v/>
      </c>
      <c r="H419" s="361">
        <f>+CO419/CP419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5.91</v>
      </c>
      <c r="CP419" s="970" t="n">
        <v>0.8108300000000001</v>
      </c>
    </row>
    <row r="420">
      <c r="B420" s="204">
        <f>+C420-1</f>
        <v/>
      </c>
      <c r="C420" s="204">
        <f>IF(bands_A!$D$9+1&gt;MONTH(G420),YEAR(G420),YEAR(G420)+1)</f>
        <v/>
      </c>
      <c r="D420" s="204">
        <f>+C420+1</f>
        <v/>
      </c>
      <c r="E420" s="203">
        <f>IF(C420&gt;C419,1,E419+1)</f>
        <v/>
      </c>
      <c r="F420" s="203">
        <f>COUNTIF(C:C,C420)</f>
        <v/>
      </c>
      <c r="G420" s="198">
        <f>+G419+7</f>
        <v/>
      </c>
      <c r="H420" s="361">
        <f>+CO420/CP420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5.58</v>
      </c>
      <c r="CP420" s="970" t="n">
        <v>0.81272</v>
      </c>
    </row>
    <row r="421">
      <c r="B421" s="204">
        <f>+C421-1</f>
        <v/>
      </c>
      <c r="C421" s="204">
        <f>IF(bands_A!$D$9+1&gt;MONTH(G421),YEAR(G421),YEAR(G421)+1)</f>
        <v/>
      </c>
      <c r="D421" s="204">
        <f>+C421+1</f>
        <v/>
      </c>
      <c r="E421" s="203">
        <f>IF(C421&gt;C420,1,E420+1)</f>
        <v/>
      </c>
      <c r="F421" s="203">
        <f>COUNTIF(C:C,C421)</f>
        <v/>
      </c>
      <c r="G421" s="198">
        <f>+G420+7</f>
        <v/>
      </c>
      <c r="H421" s="361">
        <f>+CO421/CP421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5.46</v>
      </c>
      <c r="CP421" s="970" t="n">
        <v>0.81443</v>
      </c>
    </row>
    <row r="422">
      <c r="B422" s="204">
        <f>+C422-1</f>
        <v/>
      </c>
      <c r="C422" s="204">
        <f>IF(bands_A!$D$9+1&gt;MONTH(G422),YEAR(G422),YEAR(G422)+1)</f>
        <v/>
      </c>
      <c r="D422" s="204">
        <f>+C422+1</f>
        <v/>
      </c>
      <c r="E422" s="203">
        <f>IF(C422&gt;C421,1,E421+1)</f>
        <v/>
      </c>
      <c r="F422" s="203">
        <f>COUNTIF(C:C,C422)</f>
        <v/>
      </c>
      <c r="G422" s="198">
        <f>+G421+7</f>
        <v/>
      </c>
      <c r="H422" s="361">
        <f>+CO422/CP422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5.55</v>
      </c>
      <c r="CP422" s="970" t="n">
        <v>0.81595</v>
      </c>
    </row>
    <row r="423">
      <c r="B423" s="204">
        <f>+C423-1</f>
        <v/>
      </c>
      <c r="C423" s="204">
        <f>IF(bands_A!$D$9+1&gt;MONTH(G423),YEAR(G423),YEAR(G423)+1)</f>
        <v/>
      </c>
      <c r="D423" s="204">
        <f>+C423+1</f>
        <v/>
      </c>
      <c r="E423" s="203">
        <f>IF(C423&gt;C422,1,E422+1)</f>
        <v/>
      </c>
      <c r="F423" s="203">
        <f>COUNTIF(C:C,C423)</f>
        <v/>
      </c>
      <c r="G423" s="198">
        <f>+G422+7</f>
        <v/>
      </c>
      <c r="H423" s="361">
        <f>+CO423/CP423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5.72</v>
      </c>
      <c r="CP423" s="970" t="n">
        <v>0.82092</v>
      </c>
    </row>
    <row r="424">
      <c r="B424" s="204">
        <f>+C424-1</f>
        <v/>
      </c>
      <c r="C424" s="204">
        <f>IF(bands_A!$D$9+1&gt;MONTH(G424),YEAR(G424),YEAR(G424)+1)</f>
        <v/>
      </c>
      <c r="D424" s="204">
        <f>+C424+1</f>
        <v/>
      </c>
      <c r="E424" s="203">
        <f>IF(C424&gt;C423,1,E423+1)</f>
        <v/>
      </c>
      <c r="F424" s="203">
        <f>COUNTIF(C:C,C424)</f>
        <v/>
      </c>
      <c r="G424" s="198">
        <f>+G423+7</f>
        <v/>
      </c>
      <c r="H424" s="361">
        <f>+CO424/CP424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5.27</v>
      </c>
      <c r="CP424" s="970" t="n">
        <v>0.8217100000000001</v>
      </c>
    </row>
    <row r="425">
      <c r="B425" s="204">
        <f>+C425-1</f>
        <v/>
      </c>
      <c r="C425" s="204">
        <f>IF(bands_A!$D$9+1&gt;MONTH(G425),YEAR(G425),YEAR(G425)+1)</f>
        <v/>
      </c>
      <c r="D425" s="204">
        <f>+C425+1</f>
        <v/>
      </c>
      <c r="E425" s="203">
        <f>IF(C425&gt;C424,1,E424+1)</f>
        <v/>
      </c>
      <c r="F425" s="203">
        <f>COUNTIF(C:C,C425)</f>
        <v/>
      </c>
      <c r="G425" s="198">
        <f>+G424+7</f>
        <v/>
      </c>
      <c r="H425" s="361">
        <f>+CO425/CP425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5.1</v>
      </c>
      <c r="CP425" s="970" t="n">
        <v>0.8206</v>
      </c>
    </row>
    <row r="426">
      <c r="B426" s="204">
        <f>+C426-1</f>
        <v/>
      </c>
      <c r="C426" s="204">
        <f>IF(bands_A!$D$9+1&gt;MONTH(G426),YEAR(G426),YEAR(G426)+1)</f>
        <v/>
      </c>
      <c r="D426" s="204">
        <f>+C426+1</f>
        <v/>
      </c>
      <c r="E426" s="203">
        <f>IF(C426&gt;C425,1,E425+1)</f>
        <v/>
      </c>
      <c r="F426" s="203">
        <f>COUNTIF(C:C,C426)</f>
        <v/>
      </c>
      <c r="G426" s="198">
        <f>+G425+7</f>
        <v/>
      </c>
      <c r="H426" s="361">
        <f>+CO426/CP426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5.08</v>
      </c>
      <c r="CP426" s="970" t="n">
        <v>0.82037</v>
      </c>
    </row>
    <row r="427">
      <c r="B427" s="204">
        <f>+C427-1</f>
        <v/>
      </c>
      <c r="C427" s="204">
        <f>IF(bands_A!$D$9+1&gt;MONTH(G427),YEAR(G427),YEAR(G427)+1)</f>
        <v/>
      </c>
      <c r="D427" s="204">
        <f>+C427+1</f>
        <v/>
      </c>
      <c r="E427" s="203">
        <f>IF(C427&gt;C426,1,E426+1)</f>
        <v/>
      </c>
      <c r="F427" s="203">
        <f>COUNTIF(C:C,C427)</f>
        <v/>
      </c>
      <c r="G427" s="198">
        <f>+G426+7</f>
        <v/>
      </c>
      <c r="H427" s="361">
        <f>+CO427/CP427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4.56</v>
      </c>
      <c r="CP427" s="970" t="n">
        <v>0.81923</v>
      </c>
    </row>
    <row r="428">
      <c r="B428" s="204">
        <f>+C428-1</f>
        <v/>
      </c>
      <c r="C428" s="204">
        <f>IF(bands_A!$D$9+1&gt;MONTH(G428),YEAR(G428),YEAR(G428)+1)</f>
        <v/>
      </c>
      <c r="D428" s="204">
        <f>+C428+1</f>
        <v/>
      </c>
      <c r="E428" s="203">
        <f>IF(C428&gt;C427,1,E427+1)</f>
        <v/>
      </c>
      <c r="F428" s="203">
        <f>COUNTIF(C:C,C428)</f>
        <v/>
      </c>
      <c r="G428" s="198">
        <f>+G427+7</f>
        <v/>
      </c>
      <c r="H428" s="361">
        <f>+CO428/CP428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4.64</v>
      </c>
      <c r="CP428" s="970" t="n">
        <v>0.82103</v>
      </c>
    </row>
    <row r="429">
      <c r="B429" s="204">
        <f>+C429-1</f>
        <v/>
      </c>
      <c r="C429" s="204">
        <f>IF(bands_A!$D$9+1&gt;MONTH(G429),YEAR(G429),YEAR(G429)+1)</f>
        <v/>
      </c>
      <c r="D429" s="204">
        <f>+C429+1</f>
        <v/>
      </c>
      <c r="E429" s="203">
        <f>IF(C429&gt;C428,1,E428+1)</f>
        <v/>
      </c>
      <c r="F429" s="203">
        <f>COUNTIF(C:C,C429)</f>
        <v/>
      </c>
      <c r="G429" s="198">
        <f>+G428+7</f>
        <v/>
      </c>
      <c r="H429" s="361">
        <f>+CO429/CP429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4.42</v>
      </c>
      <c r="CP429" s="970" t="n">
        <v>0.82426</v>
      </c>
    </row>
    <row r="430">
      <c r="B430" s="204">
        <f>+C430-1</f>
        <v/>
      </c>
      <c r="C430" s="204">
        <f>IF(bands_A!$D$9+1&gt;MONTH(G430),YEAR(G430),YEAR(G430)+1)</f>
        <v/>
      </c>
      <c r="D430" s="204">
        <f>+C430+1</f>
        <v/>
      </c>
      <c r="E430" s="203">
        <f>IF(C430&gt;C429,1,E429+1)</f>
        <v/>
      </c>
      <c r="F430" s="203">
        <f>COUNTIF(C:C,C430)</f>
        <v/>
      </c>
      <c r="G430" s="198">
        <f>+G429+7</f>
        <v/>
      </c>
      <c r="H430" s="361">
        <f>+CO430/CP430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4.32</v>
      </c>
      <c r="CP430" s="970" t="n">
        <v>0.82187</v>
      </c>
    </row>
    <row r="431">
      <c r="B431" s="204">
        <f>+C431-1</f>
        <v/>
      </c>
      <c r="C431" s="204">
        <f>IF(bands_A!$D$9+1&gt;MONTH(G431),YEAR(G431),YEAR(G431)+1)</f>
        <v/>
      </c>
      <c r="D431" s="204">
        <f>+C431+1</f>
        <v/>
      </c>
      <c r="E431" s="203">
        <f>IF(C431&gt;C430,1,E430+1)</f>
        <v/>
      </c>
      <c r="F431" s="203">
        <f>COUNTIF(C:C,C431)</f>
        <v/>
      </c>
      <c r="G431" s="198">
        <f>+G430+7</f>
        <v/>
      </c>
      <c r="H431" s="361">
        <f>+CO431/CP431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4.28</v>
      </c>
      <c r="CP431" s="970" t="n">
        <v>0.8226599999999999</v>
      </c>
    </row>
    <row r="432">
      <c r="B432" s="204">
        <f>+C432-1</f>
        <v/>
      </c>
      <c r="C432" s="204">
        <f>IF(bands_A!$D$9+1&gt;MONTH(G432),YEAR(G432),YEAR(G432)+1)</f>
        <v/>
      </c>
      <c r="D432" s="204">
        <f>+C432+1</f>
        <v/>
      </c>
      <c r="E432" s="203">
        <f>IF(C432&gt;C431,1,E431+1)</f>
        <v/>
      </c>
      <c r="F432" s="203">
        <f>COUNTIF(C:C,C432)</f>
        <v/>
      </c>
      <c r="G432" s="198">
        <f>+G431+7</f>
        <v/>
      </c>
      <c r="H432" s="361">
        <f>+CO432/CP432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4.32</v>
      </c>
      <c r="CP432" s="970" t="n">
        <v>0.82176</v>
      </c>
    </row>
    <row r="433">
      <c r="B433" s="204">
        <f>+C433-1</f>
        <v/>
      </c>
      <c r="C433" s="204">
        <f>IF(bands_A!$D$9+1&gt;MONTH(G433),YEAR(G433),YEAR(G433)+1)</f>
        <v/>
      </c>
      <c r="D433" s="204">
        <f>+C433+1</f>
        <v/>
      </c>
      <c r="E433" s="203">
        <f>IF(C433&gt;C432,1,E432+1)</f>
        <v/>
      </c>
      <c r="F433" s="203">
        <f>COUNTIF(C:C,C433)</f>
        <v/>
      </c>
      <c r="G433" s="198">
        <f>+G432+7</f>
        <v/>
      </c>
      <c r="H433" s="361">
        <f>+CO433/CP433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4.4</v>
      </c>
      <c r="CP433" s="970" t="n">
        <v>0.81953</v>
      </c>
    </row>
    <row r="434">
      <c r="B434" s="204">
        <f>+C434-1</f>
        <v/>
      </c>
      <c r="C434" s="204">
        <f>IF(bands_A!$D$9+1&gt;MONTH(G434),YEAR(G434),YEAR(G434)+1)</f>
        <v/>
      </c>
      <c r="D434" s="204">
        <f>+C434+1</f>
        <v/>
      </c>
      <c r="E434" s="203">
        <f>IF(C434&gt;C433,1,E433+1)</f>
        <v/>
      </c>
      <c r="F434" s="203">
        <f>COUNTIF(C:C,C434)</f>
        <v/>
      </c>
      <c r="G434" s="198">
        <f>+G433+7</f>
        <v/>
      </c>
      <c r="H434" s="361">
        <f>+CO434/CP434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4.28</v>
      </c>
      <c r="CP434" s="970" t="n">
        <v>0.81986</v>
      </c>
    </row>
    <row r="435">
      <c r="B435" s="204">
        <f>+C435-1</f>
        <v/>
      </c>
      <c r="C435" s="204">
        <f>IF(bands_A!$D$9+1&gt;MONTH(G435),YEAR(G435),YEAR(G435)+1)</f>
        <v/>
      </c>
      <c r="D435" s="204">
        <f>+C435+1</f>
        <v/>
      </c>
      <c r="E435" s="203">
        <f>IF(C435&gt;C434,1,E434+1)</f>
        <v/>
      </c>
      <c r="F435" s="203">
        <f>COUNTIF(C:C,C435)</f>
        <v/>
      </c>
      <c r="G435" s="198">
        <f>+G434+7</f>
        <v/>
      </c>
      <c r="H435" s="361">
        <f>+CO435/CP435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4.22</v>
      </c>
      <c r="CP435" s="970" t="n">
        <v>0.81935</v>
      </c>
    </row>
    <row r="436">
      <c r="B436" s="204">
        <f>+C436-1</f>
        <v/>
      </c>
      <c r="C436" s="204">
        <f>IF(bands_A!$D$9+1&gt;MONTH(G436),YEAR(G436),YEAR(G436)+1)</f>
        <v/>
      </c>
      <c r="D436" s="204">
        <f>+C436+1</f>
        <v/>
      </c>
      <c r="E436" s="203">
        <f>IF(C436&gt;C435,1,E435+1)</f>
        <v/>
      </c>
      <c r="F436" s="203">
        <f>COUNTIF(C:C,C436)</f>
        <v/>
      </c>
      <c r="G436" s="198">
        <f>+G435+7</f>
        <v/>
      </c>
      <c r="H436" s="361">
        <f>+CO436/CP436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4.04</v>
      </c>
      <c r="CP436" s="970" t="n">
        <v>0.81875</v>
      </c>
    </row>
    <row r="437">
      <c r="B437" s="204">
        <f>+C437-1</f>
        <v/>
      </c>
      <c r="C437" s="204">
        <f>IF(bands_A!$D$9+1&gt;MONTH(G437),YEAR(G437),YEAR(G437)+1)</f>
        <v/>
      </c>
      <c r="D437" s="204">
        <f>+C437+1</f>
        <v/>
      </c>
      <c r="E437" s="203">
        <f>IF(C437&gt;C436,1,E436+1)</f>
        <v/>
      </c>
      <c r="F437" s="203">
        <f>COUNTIF(C:C,C437)</f>
        <v/>
      </c>
      <c r="G437" s="198">
        <f>+G436+7</f>
        <v/>
      </c>
      <c r="H437" s="361">
        <f>+CO437/CP437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4.22</v>
      </c>
      <c r="CP437" s="970" t="n">
        <v>0.81793</v>
      </c>
    </row>
    <row r="438">
      <c r="B438" s="204">
        <f>+C438-1</f>
        <v/>
      </c>
      <c r="C438" s="204">
        <f>IF(bands_A!$D$9+1&gt;MONTH(G438),YEAR(G438),YEAR(G438)+1)</f>
        <v/>
      </c>
      <c r="D438" s="204">
        <f>+C438+1</f>
        <v/>
      </c>
      <c r="E438" s="203">
        <f>IF(C438&gt;C437,1,E437+1)</f>
        <v/>
      </c>
      <c r="F438" s="203">
        <f>COUNTIF(C:C,C438)</f>
        <v/>
      </c>
      <c r="G438" s="198">
        <f>+G437+7</f>
        <v/>
      </c>
      <c r="H438" s="361">
        <f>+CO438/CP438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4.25</v>
      </c>
      <c r="CP438" s="970" t="n">
        <v>0.81479</v>
      </c>
    </row>
    <row r="439">
      <c r="B439" s="204">
        <f>+C439-1</f>
        <v/>
      </c>
      <c r="C439" s="204">
        <f>IF(bands_A!$D$9+1&gt;MONTH(G439),YEAR(G439),YEAR(G439)+1)</f>
        <v/>
      </c>
      <c r="D439" s="204">
        <f>+C439+1</f>
        <v/>
      </c>
      <c r="E439" s="203">
        <f>IF(C439&gt;C438,1,E438+1)</f>
        <v/>
      </c>
      <c r="F439" s="203">
        <f>COUNTIF(C:C,C439)</f>
        <v/>
      </c>
      <c r="G439" s="198">
        <f>+G438+7</f>
        <v/>
      </c>
      <c r="H439" s="361">
        <f>+CO439/CP439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v>
      </c>
      <c r="CP439" s="970" t="n">
        <v>0.8131699999999999</v>
      </c>
    </row>
    <row r="440">
      <c r="B440" s="204">
        <f>+C440-1</f>
        <v/>
      </c>
      <c r="C440" s="204">
        <f>IF(bands_A!$D$9+1&gt;MONTH(G440),YEAR(G440),YEAR(G440)+1)</f>
        <v/>
      </c>
      <c r="D440" s="204">
        <f>+C440+1</f>
        <v/>
      </c>
      <c r="E440" s="203">
        <f>IF(C440&gt;C439,1,E439+1)</f>
        <v/>
      </c>
      <c r="F440" s="203">
        <f>COUNTIF(C:C,C440)</f>
        <v/>
      </c>
      <c r="G440" s="198">
        <f>+G439+7</f>
        <v/>
      </c>
      <c r="H440" s="361">
        <f>+CO440/CP440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4.04</v>
      </c>
      <c r="CP440" s="970" t="n">
        <v>0.8106100000000001</v>
      </c>
    </row>
    <row r="441">
      <c r="B441" s="204">
        <f>+C441-1</f>
        <v/>
      </c>
      <c r="C441" s="204">
        <f>IF(bands_A!$D$9+1&gt;MONTH(G441),YEAR(G441),YEAR(G441)+1)</f>
        <v/>
      </c>
      <c r="D441" s="204">
        <f>+C441+1</f>
        <v/>
      </c>
      <c r="E441" s="203">
        <f>IF(C441&gt;C440,1,E440+1)</f>
        <v/>
      </c>
      <c r="F441" s="203">
        <f>COUNTIF(C:C,C441)</f>
        <v/>
      </c>
      <c r="G441" s="198">
        <f>+G440+7</f>
        <v/>
      </c>
      <c r="H441" s="361">
        <f>+CO441/CP441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4.04</v>
      </c>
      <c r="CP441" s="970" t="n">
        <v>0.81658</v>
      </c>
    </row>
    <row r="442">
      <c r="B442" s="204">
        <f>+C442-1</f>
        <v/>
      </c>
      <c r="C442" s="204">
        <f>IF(bands_A!$D$9+1&gt;MONTH(G442),YEAR(G442),YEAR(G442)+1)</f>
        <v/>
      </c>
      <c r="D442" s="204">
        <f>+C442+1</f>
        <v/>
      </c>
      <c r="E442" s="203">
        <f>IF(C442&gt;C441,1,E441+1)</f>
        <v/>
      </c>
      <c r="F442" s="203">
        <f>COUNTIF(C:C,C442)</f>
        <v/>
      </c>
      <c r="G442" s="198">
        <f>+G441+7</f>
        <v/>
      </c>
      <c r="H442" s="361">
        <f>+CO442/CP442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4.07</v>
      </c>
      <c r="CP442" s="970" t="n">
        <v>0.80853</v>
      </c>
    </row>
    <row r="443">
      <c r="B443" s="204">
        <f>+C443-1</f>
        <v/>
      </c>
      <c r="C443" s="204">
        <f>IF(bands_A!$D$9+1&gt;MONTH(G443),YEAR(G443),YEAR(G443)+1)</f>
        <v/>
      </c>
      <c r="D443" s="204">
        <f>+C443+1</f>
        <v/>
      </c>
      <c r="E443" s="203">
        <f>IF(C443&gt;C442,1,E442+1)</f>
        <v/>
      </c>
      <c r="F443" s="203">
        <f>COUNTIF(C:C,C443)</f>
        <v/>
      </c>
      <c r="G443" s="198">
        <f>+G442+7</f>
        <v/>
      </c>
      <c r="H443" s="361">
        <f>+CO443/CP443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4.17</v>
      </c>
      <c r="CP443" s="970" t="n">
        <v>0.80694</v>
      </c>
    </row>
    <row r="444">
      <c r="B444" s="204">
        <f>+C444-1</f>
        <v/>
      </c>
      <c r="C444" s="204">
        <f>IF(bands_A!$D$9+1&gt;MONTH(G444),YEAR(G444),YEAR(G444)+1)</f>
        <v/>
      </c>
      <c r="D444" s="204">
        <f>+C444+1</f>
        <v/>
      </c>
      <c r="E444" s="203">
        <f>IF(C444&gt;C443,1,E443+1)</f>
        <v/>
      </c>
      <c r="F444" s="203">
        <f>COUNTIF(C:C,C444)</f>
        <v/>
      </c>
      <c r="G444" s="198">
        <f>+G443+7</f>
        <v/>
      </c>
      <c r="H444" s="361">
        <f>+CO444/CP444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4.13</v>
      </c>
      <c r="CP444" s="970" t="n">
        <v>0.80627</v>
      </c>
    </row>
    <row r="445">
      <c r="B445" s="204">
        <f>+C445-1</f>
        <v/>
      </c>
      <c r="C445" s="204">
        <f>IF(bands_A!$D$9+1&gt;MONTH(G445),YEAR(G445),YEAR(G445)+1)</f>
        <v/>
      </c>
      <c r="D445" s="204">
        <f>+C445+1</f>
        <v/>
      </c>
      <c r="E445" s="203">
        <f>IF(C445&gt;C444,1,E444+1)</f>
        <v/>
      </c>
      <c r="F445" s="203">
        <f>COUNTIF(C:C,C445)</f>
        <v/>
      </c>
      <c r="G445" s="198">
        <f>+G444+7</f>
        <v/>
      </c>
      <c r="H445" s="361">
        <f>+CO445/CP445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4.22</v>
      </c>
      <c r="CP445" s="970" t="n">
        <v>0.8053399999999999</v>
      </c>
    </row>
    <row r="446">
      <c r="B446" s="204">
        <f>+C446-1</f>
        <v/>
      </c>
      <c r="C446" s="204">
        <f>IF(bands_A!$D$9+1&gt;MONTH(G446),YEAR(G446),YEAR(G446)+1)</f>
        <v/>
      </c>
      <c r="D446" s="204">
        <f>+C446+1</f>
        <v/>
      </c>
      <c r="E446" s="203">
        <f>IF(C446&gt;C445,1,E445+1)</f>
        <v/>
      </c>
      <c r="F446" s="203">
        <f>COUNTIF(C:C,C446)</f>
        <v/>
      </c>
      <c r="G446" s="198">
        <f>+G445+7</f>
        <v/>
      </c>
      <c r="H446" s="361">
        <f>+CO446/CP446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4.08</v>
      </c>
      <c r="CP446" s="970" t="n">
        <v>0.80501</v>
      </c>
    </row>
    <row r="447">
      <c r="B447" s="204">
        <f>+C447-1</f>
        <v/>
      </c>
      <c r="C447" s="204">
        <f>IF(bands_A!$D$9+1&gt;MONTH(G447),YEAR(G447),YEAR(G447)+1)</f>
        <v/>
      </c>
      <c r="D447" s="204">
        <f>+C447+1</f>
        <v/>
      </c>
      <c r="E447" s="203">
        <f>IF(C447&gt;C446,1,E446+1)</f>
        <v/>
      </c>
      <c r="F447" s="203">
        <f>COUNTIF(C:C,C447)</f>
        <v/>
      </c>
      <c r="G447" s="198">
        <f>+G446+7</f>
        <v/>
      </c>
      <c r="H447" s="361">
        <f>+CO447/CP447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3.87</v>
      </c>
      <c r="CP447" s="970" t="n">
        <v>0.80435</v>
      </c>
    </row>
    <row r="448">
      <c r="B448" s="204">
        <f>+C448-1</f>
        <v/>
      </c>
      <c r="C448" s="204">
        <f>IF(bands_A!$D$9+1&gt;MONTH(G448),YEAR(G448),YEAR(G448)+1)</f>
        <v/>
      </c>
      <c r="D448" s="204">
        <f>+C448+1</f>
        <v/>
      </c>
      <c r="E448" s="203">
        <f>IF(C448&gt;C447,1,E447+1)</f>
        <v/>
      </c>
      <c r="F448" s="203">
        <f>COUNTIF(C:C,C448)</f>
        <v/>
      </c>
      <c r="G448" s="198">
        <f>+G447+7</f>
        <v/>
      </c>
      <c r="H448" s="361">
        <f>+CO448/CP448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3.92</v>
      </c>
      <c r="CP448" s="970" t="n">
        <v>0.80306</v>
      </c>
    </row>
    <row r="449">
      <c r="B449" s="204">
        <f>+C449-1</f>
        <v/>
      </c>
      <c r="C449" s="204">
        <f>IF(bands_A!$D$9+1&gt;MONTH(G449),YEAR(G449),YEAR(G449)+1)</f>
        <v/>
      </c>
      <c r="D449" s="204">
        <f>+C449+1</f>
        <v/>
      </c>
      <c r="E449" s="203">
        <f>IF(C449&gt;C448,1,E448+1)</f>
        <v/>
      </c>
      <c r="F449" s="203">
        <f>COUNTIF(C:C,C449)</f>
        <v/>
      </c>
      <c r="G449" s="198">
        <f>+G448+7</f>
        <v/>
      </c>
      <c r="H449" s="361">
        <f>+CO449/CP449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3.66</v>
      </c>
      <c r="CP449" s="970" t="n">
        <v>0.80342</v>
      </c>
    </row>
    <row r="450">
      <c r="B450" s="204">
        <f>+C450-1</f>
        <v/>
      </c>
      <c r="C450" s="204">
        <f>IF(bands_A!$D$9+1&gt;MONTH(G450),YEAR(G450),YEAR(G450)+1)</f>
        <v/>
      </c>
      <c r="D450" s="204">
        <f>+C450+1</f>
        <v/>
      </c>
      <c r="E450" s="203">
        <f>IF(C450&gt;C449,1,E449+1)</f>
        <v/>
      </c>
      <c r="F450" s="203">
        <f>COUNTIF(C:C,C450)</f>
        <v/>
      </c>
      <c r="G450" s="198">
        <f>+G449+7</f>
        <v/>
      </c>
      <c r="H450" s="361">
        <f>+CO450/CP450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3.8</v>
      </c>
      <c r="CP450" s="970" t="n">
        <v>0.80445</v>
      </c>
    </row>
    <row r="451">
      <c r="B451" s="204">
        <f>+C451-1</f>
        <v/>
      </c>
      <c r="C451" s="204">
        <f>IF(bands_A!$D$9+1&gt;MONTH(G451),YEAR(G451),YEAR(G451)+1)</f>
        <v/>
      </c>
      <c r="D451" s="204">
        <f>+C451+1</f>
        <v/>
      </c>
      <c r="E451" s="203">
        <f>IF(C451&gt;C450,1,E450+1)</f>
        <v/>
      </c>
      <c r="F451" s="203">
        <f>COUNTIF(C:C,C451)</f>
        <v/>
      </c>
      <c r="G451" s="198">
        <f>+G450+7</f>
        <v/>
      </c>
      <c r="H451" s="361">
        <f>+CO451/CP451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3.87</v>
      </c>
      <c r="CP451" s="970" t="n">
        <v>0.8059500000000001</v>
      </c>
    </row>
    <row r="452">
      <c r="B452" s="204">
        <f>+C452-1</f>
        <v/>
      </c>
      <c r="C452" s="204">
        <f>IF(bands_A!$D$9+1&gt;MONTH(G452),YEAR(G452),YEAR(G452)+1)</f>
        <v/>
      </c>
      <c r="D452" s="204">
        <f>+C452+1</f>
        <v/>
      </c>
      <c r="E452" s="203">
        <f>IF(C452&gt;C451,1,E451+1)</f>
        <v/>
      </c>
      <c r="F452" s="203">
        <f>COUNTIF(C:C,C452)</f>
        <v/>
      </c>
      <c r="G452" s="198">
        <f>+G451+7</f>
        <v/>
      </c>
      <c r="H452" s="361">
        <f>+CO452/CP452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3.87</v>
      </c>
      <c r="CP452" s="970" t="n">
        <v>0.80453</v>
      </c>
    </row>
    <row r="453">
      <c r="B453" s="204">
        <f>+C453-1</f>
        <v/>
      </c>
      <c r="C453" s="204">
        <f>IF(bands_A!$D$9+1&gt;MONTH(G453),YEAR(G453),YEAR(G453)+1)</f>
        <v/>
      </c>
      <c r="D453" s="204">
        <f>+C453+1</f>
        <v/>
      </c>
      <c r="E453" s="203">
        <f>IF(C453&gt;C452,1,E452+1)</f>
        <v/>
      </c>
      <c r="F453" s="203">
        <f>COUNTIF(C:C,C453)</f>
        <v/>
      </c>
      <c r="G453" s="198">
        <f>+G452+7</f>
        <v/>
      </c>
      <c r="H453" s="361">
        <f>+CO453/CP453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4.03</v>
      </c>
      <c r="CP453" s="970" t="n">
        <v>0.80445</v>
      </c>
    </row>
    <row r="454">
      <c r="B454" s="204">
        <f>+C454-1</f>
        <v/>
      </c>
      <c r="C454" s="204">
        <f>IF(bands_A!$D$9+1&gt;MONTH(G454),YEAR(G454),YEAR(G454)+1)</f>
        <v/>
      </c>
      <c r="D454" s="204">
        <f>+C454+1</f>
        <v/>
      </c>
      <c r="E454" s="203">
        <f>IF(C454&gt;C453,1,E453+1)</f>
        <v/>
      </c>
      <c r="F454" s="203">
        <f>COUNTIF(C:C,C454)</f>
        <v/>
      </c>
      <c r="G454" s="198">
        <f>+G453+7</f>
        <v/>
      </c>
      <c r="H454" s="361">
        <f>+CO454/CP454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4.06</v>
      </c>
      <c r="CP454" s="970" t="n">
        <v>0.80387</v>
      </c>
    </row>
    <row r="455">
      <c r="B455" s="204">
        <f>+C455-1</f>
        <v/>
      </c>
      <c r="C455" s="204">
        <f>IF(bands_A!$D$9+1&gt;MONTH(G455),YEAR(G455),YEAR(G455)+1)</f>
        <v/>
      </c>
      <c r="D455" s="204">
        <f>+C455+1</f>
        <v/>
      </c>
      <c r="E455" s="203">
        <f>IF(C455&gt;C454,1,E454+1)</f>
        <v/>
      </c>
      <c r="F455" s="203">
        <f>COUNTIF(C:C,C455)</f>
        <v/>
      </c>
      <c r="G455" s="198">
        <f>+G454+7</f>
        <v/>
      </c>
      <c r="H455" s="361">
        <f>+CO455/CP455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4.11</v>
      </c>
      <c r="CP455" s="970" t="n">
        <v>0.80198</v>
      </c>
    </row>
    <row r="456">
      <c r="B456" s="204">
        <f>+C456-1</f>
        <v/>
      </c>
      <c r="C456" s="204">
        <f>IF(bands_A!$D$9+1&gt;MONTH(G456),YEAR(G456),YEAR(G456)+1)</f>
        <v/>
      </c>
      <c r="D456" s="204">
        <f>+C456+1</f>
        <v/>
      </c>
      <c r="E456" s="203">
        <f>IF(C456&gt;C455,1,E455+1)</f>
        <v/>
      </c>
      <c r="F456" s="203">
        <f>COUNTIF(C:C,C456)</f>
        <v/>
      </c>
      <c r="G456" s="198">
        <f>+G455+7</f>
        <v/>
      </c>
      <c r="H456" s="361">
        <f>+CO456/CP456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4.22</v>
      </c>
      <c r="CP456" s="970" t="n">
        <v>0.80219</v>
      </c>
    </row>
    <row r="457">
      <c r="B457" s="204">
        <f>+C457-1</f>
        <v/>
      </c>
      <c r="C457" s="204">
        <f>IF(bands_A!$D$9+1&gt;MONTH(G457),YEAR(G457),YEAR(G457)+1)</f>
        <v/>
      </c>
      <c r="D457" s="204">
        <f>+C457+1</f>
        <v/>
      </c>
      <c r="E457" s="203">
        <f>IF(C457&gt;C456,1,E456+1)</f>
        <v/>
      </c>
      <c r="F457" s="203">
        <f>COUNTIF(C:C,C457)</f>
        <v/>
      </c>
      <c r="G457" s="198">
        <f>+G456+7</f>
        <v/>
      </c>
      <c r="H457" s="361">
        <f>+CO457/CP457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4.05</v>
      </c>
      <c r="CP457" s="970" t="n">
        <v>0.80249</v>
      </c>
    </row>
    <row r="458">
      <c r="B458" s="204">
        <f>+C458-1</f>
        <v/>
      </c>
      <c r="C458" s="204">
        <f>IF(bands_A!$D$9+1&gt;MONTH(G458),YEAR(G458),YEAR(G458)+1)</f>
        <v/>
      </c>
      <c r="D458" s="204">
        <f>+C458+1</f>
        <v/>
      </c>
      <c r="E458" s="203">
        <f>IF(C458&gt;C457,1,E457+1)</f>
        <v/>
      </c>
      <c r="F458" s="203">
        <f>COUNTIF(C:C,C458)</f>
        <v/>
      </c>
      <c r="G458" s="198">
        <f>+G457+7</f>
        <v/>
      </c>
      <c r="H458" s="361">
        <f>+CO458/CP458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4.2</v>
      </c>
      <c r="CP458" s="970" t="n">
        <v>0.80337</v>
      </c>
    </row>
    <row r="459">
      <c r="B459" s="204">
        <f>+C459-1</f>
        <v/>
      </c>
      <c r="C459" s="204">
        <f>IF(bands_A!$D$9+1&gt;MONTH(G459),YEAR(G459),YEAR(G459)+1)</f>
        <v/>
      </c>
      <c r="D459" s="204">
        <f>+C459+1</f>
        <v/>
      </c>
      <c r="E459" s="203">
        <f>IF(C459&gt;C458,1,E458+1)</f>
        <v/>
      </c>
      <c r="F459" s="203">
        <f>COUNTIF(C:C,C459)</f>
        <v/>
      </c>
      <c r="G459" s="198">
        <f>+G458+7</f>
        <v/>
      </c>
      <c r="H459" s="361">
        <f>+CO459/CP459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4.24</v>
      </c>
      <c r="CP459" s="970" t="n">
        <v>0.80354</v>
      </c>
    </row>
    <row r="460">
      <c r="B460" s="204">
        <f>+C460-1</f>
        <v/>
      </c>
      <c r="C460" s="204">
        <f>IF(bands_A!$D$9+1&gt;MONTH(G460),YEAR(G460),YEAR(G460)+1)</f>
        <v/>
      </c>
      <c r="D460" s="204">
        <f>+C460+1</f>
        <v/>
      </c>
      <c r="E460" s="203">
        <f>IF(C460&gt;C459,1,E459+1)</f>
        <v/>
      </c>
      <c r="F460" s="203">
        <f>COUNTIF(C:C,C460)</f>
        <v/>
      </c>
      <c r="G460" s="198">
        <f>+G459+7</f>
        <v/>
      </c>
      <c r="H460" s="361">
        <f>+CO460/CP460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4.24</v>
      </c>
      <c r="CP460" s="970" t="n">
        <v>0.80375</v>
      </c>
    </row>
    <row r="461">
      <c r="B461" s="204">
        <f>+C461-1</f>
        <v/>
      </c>
      <c r="C461" s="204">
        <f>IF(bands_A!$D$9+1&gt;MONTH(G461),YEAR(G461),YEAR(G461)+1)</f>
        <v/>
      </c>
      <c r="D461" s="204">
        <f>+C461+1</f>
        <v/>
      </c>
      <c r="E461" s="203">
        <f>IF(C461&gt;C460,1,E460+1)</f>
        <v/>
      </c>
      <c r="F461" s="203">
        <f>COUNTIF(C:C,C461)</f>
        <v/>
      </c>
      <c r="G461" s="198">
        <f>+G460+7</f>
        <v/>
      </c>
      <c r="H461" s="361">
        <f>+CO461/CP461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4.06</v>
      </c>
      <c r="CP461" s="970" t="n">
        <v>0.80381</v>
      </c>
    </row>
    <row r="462">
      <c r="B462" s="204">
        <f>+C462-1</f>
        <v/>
      </c>
      <c r="C462" s="204">
        <f>IF(bands_A!$D$9+1&gt;MONTH(G462),YEAR(G462),YEAR(G462)+1)</f>
        <v/>
      </c>
      <c r="D462" s="204">
        <f>+C462+1</f>
        <v/>
      </c>
      <c r="E462" s="203">
        <f>IF(C462&gt;C461,1,E461+1)</f>
        <v/>
      </c>
      <c r="F462" s="203">
        <f>COUNTIF(C:C,C462)</f>
        <v/>
      </c>
      <c r="G462" s="198">
        <f>+G461+7</f>
        <v/>
      </c>
      <c r="H462" s="361">
        <f>+CO462/CP462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4.1</v>
      </c>
      <c r="CP462" s="970" t="n">
        <v>0.8025</v>
      </c>
    </row>
    <row r="463">
      <c r="B463" s="204">
        <f>+C463-1</f>
        <v/>
      </c>
      <c r="C463" s="204">
        <f>IF(bands_A!$D$9+1&gt;MONTH(G463),YEAR(G463),YEAR(G463)+1)</f>
        <v/>
      </c>
      <c r="D463" s="204">
        <f>+C463+1</f>
        <v/>
      </c>
      <c r="E463" s="203">
        <f>IF(C463&gt;C462,1,E462+1)</f>
        <v/>
      </c>
      <c r="F463" s="203">
        <f>COUNTIF(C:C,C463)</f>
        <v/>
      </c>
      <c r="G463" s="198">
        <f>+G462+7</f>
        <v/>
      </c>
      <c r="H463" s="361">
        <f>+CO463/CP463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4.07</v>
      </c>
      <c r="CP463" s="970" t="n">
        <v>0.80128</v>
      </c>
    </row>
    <row r="464">
      <c r="B464" s="204">
        <f>+C464-1</f>
        <v/>
      </c>
      <c r="C464" s="204">
        <f>IF(bands_A!$D$9+1&gt;MONTH(G464),YEAR(G464),YEAR(G464)+1)</f>
        <v/>
      </c>
      <c r="D464" s="204">
        <f>+C464+1</f>
        <v/>
      </c>
      <c r="E464" s="203">
        <f>IF(C464&gt;C463,1,E463+1)</f>
        <v/>
      </c>
      <c r="F464" s="203">
        <f>COUNTIF(C:C,C464)</f>
        <v/>
      </c>
      <c r="G464" s="198">
        <f>+G463+7</f>
        <v/>
      </c>
      <c r="H464" s="361">
        <f>+CO464/CP464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4.28</v>
      </c>
      <c r="CP464" s="970" t="n">
        <v>0.80038</v>
      </c>
    </row>
    <row r="465">
      <c r="B465" s="204">
        <f>+C465-1</f>
        <v/>
      </c>
      <c r="C465" s="204">
        <f>IF(bands_A!$D$9+1&gt;MONTH(G465),YEAR(G465),YEAR(G465)+1)</f>
        <v/>
      </c>
      <c r="D465" s="204">
        <f>+C465+1</f>
        <v/>
      </c>
      <c r="E465" s="203">
        <f>IF(C465&gt;C464,1,E464+1)</f>
        <v/>
      </c>
      <c r="F465" s="203">
        <f>COUNTIF(C:C,C465)</f>
        <v/>
      </c>
      <c r="G465" s="198">
        <f>+G464+7</f>
        <v/>
      </c>
      <c r="H465" s="361">
        <f>+CO465/CP465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4.2</v>
      </c>
      <c r="CP465" s="970" t="n">
        <v>0.80002</v>
      </c>
    </row>
    <row r="466">
      <c r="B466" s="204">
        <f>+C466-1</f>
        <v/>
      </c>
      <c r="C466" s="204">
        <f>IF(bands_A!$D$9+1&gt;MONTH(G466),YEAR(G466),YEAR(G466)+1)</f>
        <v/>
      </c>
      <c r="D466" s="204">
        <f>+C466+1</f>
        <v/>
      </c>
      <c r="E466" s="203">
        <f>IF(C466&gt;C465,1,E465+1)</f>
        <v/>
      </c>
      <c r="F466" s="203">
        <f>COUNTIF(C:C,C466)</f>
        <v/>
      </c>
      <c r="G466" s="198">
        <f>+G465+7</f>
        <v/>
      </c>
      <c r="H466" s="361">
        <f>+CO466/CP466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3.97</v>
      </c>
      <c r="CP466" s="970" t="n">
        <v>0.79997</v>
      </c>
    </row>
    <row r="467">
      <c r="B467" s="204">
        <f>+C467-1</f>
        <v/>
      </c>
      <c r="C467" s="204">
        <f>IF(bands_A!$D$9+1&gt;MONTH(G467),YEAR(G467),YEAR(G467)+1)</f>
        <v/>
      </c>
      <c r="D467" s="204">
        <f>+C467+1</f>
        <v/>
      </c>
      <c r="E467" s="203">
        <f>IF(C467&gt;C466,1,E466+1)</f>
        <v/>
      </c>
      <c r="F467" s="203">
        <f>COUNTIF(C:C,C467)</f>
        <v/>
      </c>
      <c r="G467" s="198">
        <f>+G466+7</f>
        <v/>
      </c>
      <c r="H467" s="361">
        <f>+CO467/CP467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3.9</v>
      </c>
      <c r="CP467" s="970" t="n">
        <v>0.79862</v>
      </c>
    </row>
    <row r="468">
      <c r="B468" s="204">
        <f>+C468-1</f>
        <v/>
      </c>
      <c r="C468" s="204">
        <f>IF(bands_A!$D$9+1&gt;MONTH(G468),YEAR(G468),YEAR(G468)+1)</f>
        <v/>
      </c>
      <c r="D468" s="204">
        <f>+C468+1</f>
        <v/>
      </c>
      <c r="E468" s="203">
        <f>IF(C468&gt;C467,1,E467+1)</f>
        <v/>
      </c>
      <c r="F468" s="203">
        <f>COUNTIF(C:C,C468)</f>
        <v/>
      </c>
      <c r="G468" s="198">
        <f>+G467+7</f>
        <v/>
      </c>
      <c r="H468" s="361">
        <f>+CO468/CP468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3.88</v>
      </c>
      <c r="CP468" s="970" t="n">
        <v>0.79832</v>
      </c>
    </row>
    <row r="469">
      <c r="B469" s="204">
        <f>+C469-1</f>
        <v/>
      </c>
      <c r="C469" s="204">
        <f>IF(bands_A!$D$9+1&gt;MONTH(G469),YEAR(G469),YEAR(G469)+1)</f>
        <v/>
      </c>
      <c r="D469" s="204">
        <f>+C469+1</f>
        <v/>
      </c>
      <c r="E469" s="203">
        <f>IF(C469&gt;C468,1,E468+1)</f>
        <v/>
      </c>
      <c r="F469" s="203">
        <f>COUNTIF(C:C,C469)</f>
        <v/>
      </c>
      <c r="G469" s="198">
        <f>+G468+7</f>
        <v/>
      </c>
      <c r="H469" s="361">
        <f>+CO469/CP469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3.9</v>
      </c>
      <c r="CP469" s="970" t="n">
        <v>0.79509</v>
      </c>
    </row>
    <row r="470">
      <c r="B470" s="204">
        <f>+C470-1</f>
        <v/>
      </c>
      <c r="C470" s="204">
        <f>IF(bands_A!$D$9+1&gt;MONTH(G470),YEAR(G470),YEAR(G470)+1)</f>
        <v/>
      </c>
      <c r="D470" s="204">
        <f>+C470+1</f>
        <v/>
      </c>
      <c r="E470" s="203">
        <f>IF(C470&gt;C469,1,E469+1)</f>
        <v/>
      </c>
      <c r="F470" s="203">
        <f>COUNTIF(C:C,C470)</f>
        <v/>
      </c>
      <c r="G470" s="198">
        <f>+G469+7</f>
        <v/>
      </c>
      <c r="H470" s="361">
        <f>+CO470/CP470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3.73</v>
      </c>
      <c r="CP470" s="970" t="n">
        <v>0.79354</v>
      </c>
    </row>
    <row r="471">
      <c r="B471" s="204">
        <f>+C471-1</f>
        <v/>
      </c>
      <c r="C471" s="204">
        <f>IF(bands_A!$D$9+1&gt;MONTH(G471),YEAR(G471),YEAR(G471)+1)</f>
        <v/>
      </c>
      <c r="D471" s="204">
        <f>+C471+1</f>
        <v/>
      </c>
      <c r="E471" s="203">
        <f>IF(C471&gt;C470,1,E470+1)</f>
        <v/>
      </c>
      <c r="F471" s="203">
        <f>COUNTIF(C:C,C471)</f>
        <v/>
      </c>
      <c r="G471" s="198">
        <f>+G470+7</f>
        <v/>
      </c>
      <c r="H471" s="361">
        <f>+CO471/CP471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3.75</v>
      </c>
      <c r="CP471" s="970" t="n">
        <v>0.79336</v>
      </c>
    </row>
    <row r="472">
      <c r="B472" s="204">
        <f>+C472-1</f>
        <v/>
      </c>
      <c r="C472" s="204">
        <f>IF(bands_A!$D$9+1&gt;MONTH(G472),YEAR(G472),YEAR(G472)+1)</f>
        <v/>
      </c>
      <c r="D472" s="204">
        <f>+C472+1</f>
        <v/>
      </c>
      <c r="E472" s="203">
        <f>IF(C472&gt;C471,1,E471+1)</f>
        <v/>
      </c>
      <c r="F472" s="203">
        <f>COUNTIF(C:C,C472)</f>
        <v/>
      </c>
      <c r="G472" s="198">
        <f>+G471+7</f>
        <v/>
      </c>
      <c r="H472" s="361">
        <f>+CO472/CP472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3.88</v>
      </c>
      <c r="CP472" s="970" t="n">
        <v>0.79134</v>
      </c>
    </row>
    <row r="473">
      <c r="B473" s="204">
        <f>+C473-1</f>
        <v/>
      </c>
      <c r="C473" s="204">
        <f>IF(bands_A!$D$9+1&gt;MONTH(G473),YEAR(G473),YEAR(G473)+1)</f>
        <v/>
      </c>
      <c r="D473" s="204">
        <f>+C473+1</f>
        <v/>
      </c>
      <c r="E473" s="203">
        <f>IF(C473&gt;C472,1,E472+1)</f>
        <v/>
      </c>
      <c r="F473" s="203">
        <f>COUNTIF(C:C,C473)</f>
        <v/>
      </c>
      <c r="G473" s="198">
        <f>+G472+7</f>
        <v/>
      </c>
      <c r="H473" s="361">
        <f>+CO473/CP473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3.92</v>
      </c>
      <c r="CP473" s="970" t="n">
        <v>0.79114</v>
      </c>
    </row>
    <row r="474">
      <c r="B474" s="204">
        <f>+C474-1</f>
        <v/>
      </c>
      <c r="C474" s="204">
        <f>IF(bands_A!$D$9+1&gt;MONTH(G474),YEAR(G474),YEAR(G474)+1)</f>
        <v/>
      </c>
      <c r="D474" s="204">
        <f>+C474+1</f>
        <v/>
      </c>
      <c r="E474" s="203">
        <f>IF(C474&gt;C473,1,E473+1)</f>
        <v/>
      </c>
      <c r="F474" s="203">
        <f>COUNTIF(C:C,C474)</f>
        <v/>
      </c>
      <c r="G474" s="198">
        <f>+G473+7</f>
        <v/>
      </c>
      <c r="H474" s="361">
        <f>+CO474/CP474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3.92</v>
      </c>
      <c r="CP474" s="970" t="n">
        <v>0.78982</v>
      </c>
    </row>
    <row r="475">
      <c r="B475" s="204">
        <f>+C475-1</f>
        <v/>
      </c>
      <c r="C475" s="204">
        <f>IF(bands_A!$D$9+1&gt;MONTH(G475),YEAR(G475),YEAR(G475)+1)</f>
        <v/>
      </c>
      <c r="D475" s="204">
        <f>+C475+1</f>
        <v/>
      </c>
      <c r="E475" s="203">
        <f>IF(C475&gt;C474,1,E474+1)</f>
        <v/>
      </c>
      <c r="F475" s="203">
        <f>COUNTIF(C:C,C475)</f>
        <v/>
      </c>
      <c r="G475" s="198">
        <f>+G474+7</f>
        <v/>
      </c>
      <c r="H475" s="361">
        <f>+CO475/CP475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3.89</v>
      </c>
      <c r="CP475" s="970" t="n">
        <v>0.79026</v>
      </c>
    </row>
    <row r="476">
      <c r="B476" s="204">
        <f>+C476-1</f>
        <v/>
      </c>
      <c r="C476" s="204">
        <f>IF(bands_A!$D$9+1&gt;MONTH(G476),YEAR(G476),YEAR(G476)+1)</f>
        <v/>
      </c>
      <c r="D476" s="204">
        <f>+C476+1</f>
        <v/>
      </c>
      <c r="E476" s="203">
        <f>IF(C476&gt;C475,1,E475+1)</f>
        <v/>
      </c>
      <c r="F476" s="203">
        <f>COUNTIF(C:C,C476)</f>
        <v/>
      </c>
      <c r="G476" s="198">
        <f>+G475+7</f>
        <v/>
      </c>
      <c r="H476" s="361">
        <f>+CO476/CP476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3.91</v>
      </c>
      <c r="CP476" s="970" t="n">
        <v>0.79018</v>
      </c>
    </row>
    <row r="477">
      <c r="B477" s="204">
        <f>+C477-1</f>
        <v/>
      </c>
      <c r="C477" s="204">
        <f>IF(bands_A!$D$9+1&gt;MONTH(G477),YEAR(G477),YEAR(G477)+1)</f>
        <v/>
      </c>
      <c r="D477" s="204">
        <f>+C477+1</f>
        <v/>
      </c>
      <c r="E477" s="203">
        <f>IF(C477&gt;C476,1,E476+1)</f>
        <v/>
      </c>
      <c r="F477" s="203">
        <f>COUNTIF(C:C,C477)</f>
        <v/>
      </c>
      <c r="G477" s="198">
        <f>+G476+7</f>
        <v/>
      </c>
      <c r="H477" s="361">
        <f>+CO477/CP477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3.74</v>
      </c>
      <c r="CP477" s="970" t="n">
        <v>0.78994</v>
      </c>
    </row>
    <row r="478">
      <c r="B478" s="204">
        <f>+C478-1</f>
        <v/>
      </c>
      <c r="C478" s="204">
        <f>IF(bands_A!$D$9+1&gt;MONTH(G478),YEAR(G478),YEAR(G478)+1)</f>
        <v/>
      </c>
      <c r="D478" s="204">
        <f>+C478+1</f>
        <v/>
      </c>
      <c r="E478" s="203">
        <f>IF(C478&gt;C477,1,E477+1)</f>
        <v/>
      </c>
      <c r="F478" s="203">
        <f>COUNTIF(C:C,C478)</f>
        <v/>
      </c>
      <c r="G478" s="198">
        <f>+G477+7</f>
        <v/>
      </c>
      <c r="H478" s="361">
        <f>+CO478/CP478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3.61</v>
      </c>
      <c r="CP478" s="970" t="n">
        <v>0.79065</v>
      </c>
    </row>
    <row r="479">
      <c r="B479" s="204">
        <f>+C479-1</f>
        <v/>
      </c>
      <c r="C479" s="204">
        <f>IF(bands_A!$D$9+1&gt;MONTH(G479),YEAR(G479),YEAR(G479)+1)</f>
        <v/>
      </c>
      <c r="D479" s="204">
        <f>+C479+1</f>
        <v/>
      </c>
      <c r="E479" s="203">
        <f>IF(C479&gt;C478,1,E478+1)</f>
        <v/>
      </c>
      <c r="F479" s="203">
        <f>COUNTIF(C:C,C479)</f>
        <v/>
      </c>
      <c r="G479" s="198">
        <f>+G478+7</f>
        <v/>
      </c>
      <c r="H479" s="361">
        <f>+CO479/CP479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3.34</v>
      </c>
      <c r="CP479" s="970" t="n">
        <v>0.79128</v>
      </c>
    </row>
    <row r="480">
      <c r="B480" s="204">
        <f>+C480-1</f>
        <v/>
      </c>
      <c r="C480" s="204">
        <f>IF(bands_A!$D$9+1&gt;MONTH(G480),YEAR(G480),YEAR(G480)+1)</f>
        <v/>
      </c>
      <c r="D480" s="204">
        <f>+C480+1</f>
        <v/>
      </c>
      <c r="E480" s="203">
        <f>IF(C480&gt;C479,1,E479+1)</f>
        <v/>
      </c>
      <c r="F480" s="203">
        <f>COUNTIF(C:C,C480)</f>
        <v/>
      </c>
      <c r="G480" s="198">
        <f>+G479+7</f>
        <v/>
      </c>
      <c r="H480" s="361">
        <f>+CO480/CP480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3.36</v>
      </c>
      <c r="CP480" s="970" t="n">
        <v>0.79083</v>
      </c>
    </row>
    <row r="481">
      <c r="B481" s="204">
        <f>+C481-1</f>
        <v/>
      </c>
      <c r="C481" s="204">
        <f>IF(bands_A!$D$9+1&gt;MONTH(G481),YEAR(G481),YEAR(G481)+1)</f>
        <v/>
      </c>
      <c r="D481" s="204">
        <f>+C481+1</f>
        <v/>
      </c>
      <c r="E481" s="203">
        <f>IF(C481&gt;C480,1,E480+1)</f>
        <v/>
      </c>
      <c r="F481" s="203">
        <f>COUNTIF(C:C,C481)</f>
        <v/>
      </c>
      <c r="G481" s="198">
        <f>+G480+7</f>
        <v/>
      </c>
      <c r="H481" s="361">
        <f>+CO481/CP481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3.33</v>
      </c>
      <c r="CP481" s="970" t="n">
        <v>0.79103</v>
      </c>
    </row>
    <row r="482">
      <c r="B482" s="204">
        <f>+C482-1</f>
        <v/>
      </c>
      <c r="C482" s="204">
        <f>IF(bands_A!$D$9+1&gt;MONTH(G482),YEAR(G482),YEAR(G482)+1)</f>
        <v/>
      </c>
      <c r="D482" s="204">
        <f>+C482+1</f>
        <v/>
      </c>
      <c r="E482" s="203">
        <f>IF(C482&gt;C481,1,E481+1)</f>
        <v/>
      </c>
      <c r="F482" s="203">
        <f>COUNTIF(C:C,C482)</f>
        <v/>
      </c>
      <c r="G482" s="198">
        <f>+G481+7</f>
        <v/>
      </c>
      <c r="H482" s="361">
        <f>+CO482/CP482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3.25</v>
      </c>
      <c r="CP482" s="970" t="n">
        <v>0.79117</v>
      </c>
    </row>
    <row r="483">
      <c r="B483" s="204">
        <f>+C483-1</f>
        <v/>
      </c>
      <c r="C483" s="204">
        <f>IF(bands_A!$D$9+1&gt;MONTH(G483),YEAR(G483),YEAR(G483)+1)</f>
        <v/>
      </c>
      <c r="D483" s="204">
        <f>+C483+1</f>
        <v/>
      </c>
      <c r="E483" s="203">
        <f>IF(C483&gt;C482,1,E482+1)</f>
        <v/>
      </c>
      <c r="F483" s="203">
        <f>COUNTIF(C:C,C483)</f>
        <v/>
      </c>
      <c r="G483" s="198">
        <f>+G482+7</f>
        <v/>
      </c>
      <c r="H483" s="361">
        <f>+CO483/CP483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3.23</v>
      </c>
      <c r="CP483" s="970" t="n">
        <v>0.79044</v>
      </c>
    </row>
    <row r="484">
      <c r="B484" s="204">
        <f>+C484-1</f>
        <v/>
      </c>
      <c r="C484" s="204">
        <f>IF(bands_A!$D$9+1&gt;MONTH(G484),YEAR(G484),YEAR(G484)+1)</f>
        <v/>
      </c>
      <c r="D484" s="204">
        <f>+C484+1</f>
        <v/>
      </c>
      <c r="E484" s="203">
        <f>IF(C484&gt;C483,1,E483+1)</f>
        <v/>
      </c>
      <c r="F484" s="203">
        <f>COUNTIF(C:C,C484)</f>
        <v/>
      </c>
      <c r="G484" s="198">
        <f>+G483+7</f>
        <v/>
      </c>
      <c r="H484" s="361">
        <f>+CO484/CP484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3.24</v>
      </c>
      <c r="CP484" s="970" t="n">
        <v>0.7902400000000001</v>
      </c>
    </row>
    <row r="485">
      <c r="B485" s="204">
        <f>+C485-1</f>
        <v/>
      </c>
      <c r="C485" s="204">
        <f>IF(bands_A!$D$9+1&gt;MONTH(G485),YEAR(G485),YEAR(G485)+1)</f>
        <v/>
      </c>
      <c r="D485" s="204">
        <f>+C485+1</f>
        <v/>
      </c>
      <c r="E485" s="203">
        <f>IF(C485&gt;C484,1,E484+1)</f>
        <v/>
      </c>
      <c r="F485" s="203">
        <f>COUNTIF(C:C,C485)</f>
        <v/>
      </c>
      <c r="G485" s="198">
        <f>+G484+7</f>
        <v/>
      </c>
      <c r="H485" s="361">
        <f>+CO485/CP485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3.28</v>
      </c>
      <c r="CP485" s="970" t="n">
        <v>0.78932</v>
      </c>
    </row>
    <row r="486">
      <c r="B486" s="204">
        <f>+C486-1</f>
        <v/>
      </c>
      <c r="C486" s="204">
        <f>IF(bands_A!$D$9+1&gt;MONTH(G486),YEAR(G486),YEAR(G486)+1)</f>
        <v/>
      </c>
      <c r="D486" s="204">
        <f>+C486+1</f>
        <v/>
      </c>
      <c r="E486" s="203">
        <f>IF(C486&gt;C485,1,E485+1)</f>
        <v/>
      </c>
      <c r="F486" s="203">
        <f>COUNTIF(C:C,C486)</f>
        <v/>
      </c>
      <c r="G486" s="198">
        <f>+G485+7</f>
        <v/>
      </c>
      <c r="H486" s="361">
        <f>+CO486/CP486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3.28</v>
      </c>
      <c r="CP486" s="970" t="n">
        <v>0.78861</v>
      </c>
    </row>
    <row r="487">
      <c r="B487" s="204">
        <f>+C487-1</f>
        <v/>
      </c>
      <c r="C487" s="204">
        <f>IF(bands_A!$D$9+1&gt;MONTH(G487),YEAR(G487),YEAR(G487)+1)</f>
        <v/>
      </c>
      <c r="D487" s="204">
        <f>+C487+1</f>
        <v/>
      </c>
      <c r="E487" s="203">
        <f>IF(C487&gt;C486,1,E486+1)</f>
        <v/>
      </c>
      <c r="F487" s="203">
        <f>COUNTIF(C:C,C487)</f>
        <v/>
      </c>
      <c r="G487" s="198">
        <f>+G486+7</f>
        <v/>
      </c>
      <c r="H487" s="361">
        <f>+CO487/CP487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3.27</v>
      </c>
      <c r="CP487" s="970" t="n">
        <v>0.7893</v>
      </c>
    </row>
    <row r="488">
      <c r="B488" s="204">
        <f>+C488-1</f>
        <v/>
      </c>
      <c r="C488" s="204">
        <f>IF(bands_A!$D$9+1&gt;MONTH(G488),YEAR(G488),YEAR(G488)+1)</f>
        <v/>
      </c>
      <c r="D488" s="204">
        <f>+C488+1</f>
        <v/>
      </c>
      <c r="E488" s="203">
        <f>IF(C488&gt;C487,1,E487+1)</f>
        <v/>
      </c>
      <c r="F488" s="203">
        <f>COUNTIF(C:C,C488)</f>
        <v/>
      </c>
      <c r="G488" s="198">
        <f>+G487+7</f>
        <v/>
      </c>
      <c r="H488" s="361">
        <f>+CO488/CP488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3.82</v>
      </c>
      <c r="CP488" s="970" t="n">
        <v>0.7891</v>
      </c>
    </row>
    <row r="489">
      <c r="B489" s="204">
        <f>+C489-1</f>
        <v/>
      </c>
      <c r="C489" s="204">
        <f>IF(bands_A!$D$9+1&gt;MONTH(G489),YEAR(G489),YEAR(G489)+1)</f>
        <v/>
      </c>
      <c r="D489" s="204">
        <f>+C489+1</f>
        <v/>
      </c>
      <c r="E489" s="203">
        <f>IF(C489&gt;C488,1,E488+1)</f>
        <v/>
      </c>
      <c r="F489" s="203">
        <f>COUNTIF(C:C,C489)</f>
        <v/>
      </c>
      <c r="G489" s="198">
        <f>+G488+7</f>
        <v/>
      </c>
      <c r="H489" s="361">
        <f>+CO489/CP489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3.68</v>
      </c>
      <c r="CP489" s="970" t="n">
        <v>0.78923</v>
      </c>
    </row>
    <row r="490">
      <c r="B490" s="204">
        <f>+C490-1</f>
        <v/>
      </c>
      <c r="C490" s="204">
        <f>IF(bands_A!$D$9+1&gt;MONTH(G490),YEAR(G490),YEAR(G490)+1)</f>
        <v/>
      </c>
      <c r="D490" s="204">
        <f>+C490+1</f>
        <v/>
      </c>
      <c r="E490" s="203">
        <f>IF(C490&gt;C489,1,E489+1)</f>
        <v/>
      </c>
      <c r="F490" s="203">
        <f>COUNTIF(C:C,C490)</f>
        <v/>
      </c>
      <c r="G490" s="198">
        <f>+G489+7</f>
        <v/>
      </c>
      <c r="H490" s="361">
        <f>+CO490/CP490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3.98</v>
      </c>
      <c r="CP490" s="970" t="n">
        <v>0.78907</v>
      </c>
    </row>
    <row r="491">
      <c r="B491" s="204">
        <f>+C491-1</f>
        <v/>
      </c>
      <c r="C491" s="204">
        <f>IF(bands_A!$D$9+1&gt;MONTH(G491),YEAR(G491),YEAR(G491)+1)</f>
        <v/>
      </c>
      <c r="D491" s="204">
        <f>+C491+1</f>
        <v/>
      </c>
      <c r="E491" s="203">
        <f>IF(C491&gt;C490,1,E490+1)</f>
        <v/>
      </c>
      <c r="F491" s="203">
        <f>COUNTIF(C:C,C491)</f>
        <v/>
      </c>
      <c r="G491" s="198">
        <f>+G490+7</f>
        <v/>
      </c>
      <c r="H491" s="361">
        <f>+CO491/CP491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3.93</v>
      </c>
      <c r="CP491" s="970" t="n">
        <v>0.7895</v>
      </c>
    </row>
    <row r="492">
      <c r="B492" s="204">
        <f>+C492-1</f>
        <v/>
      </c>
      <c r="C492" s="204">
        <f>IF(bands_A!$D$9+1&gt;MONTH(G492),YEAR(G492),YEAR(G492)+1)</f>
        <v/>
      </c>
      <c r="D492" s="204">
        <f>+C492+1</f>
        <v/>
      </c>
      <c r="E492" s="203">
        <f>IF(C492&gt;C491,1,E491+1)</f>
        <v/>
      </c>
      <c r="F492" s="203">
        <f>COUNTIF(C:C,C492)</f>
        <v/>
      </c>
      <c r="G492" s="198">
        <f>+G491+7</f>
        <v/>
      </c>
      <c r="H492" s="361">
        <f>+CO492/CP492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3.69</v>
      </c>
      <c r="CP492" s="970" t="n">
        <v>0.78913</v>
      </c>
    </row>
    <row r="493">
      <c r="B493" s="204">
        <f>+C493-1</f>
        <v/>
      </c>
      <c r="C493" s="204">
        <f>IF(bands_A!$D$9+1&gt;MONTH(G493),YEAR(G493),YEAR(G493)+1)</f>
        <v/>
      </c>
      <c r="D493" s="204">
        <f>+C493+1</f>
        <v/>
      </c>
      <c r="E493" s="203">
        <f>IF(C493&gt;C492,1,E492+1)</f>
        <v/>
      </c>
      <c r="F493" s="203">
        <f>COUNTIF(C:C,C493)</f>
        <v/>
      </c>
      <c r="G493" s="198">
        <f>+G492+7</f>
        <v/>
      </c>
      <c r="H493" s="361">
        <f>+CO493/CP493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3.77</v>
      </c>
      <c r="CP493" s="970" t="n">
        <v>0.7895799999999999</v>
      </c>
    </row>
    <row r="494">
      <c r="B494" s="204">
        <f>+C494-1</f>
        <v/>
      </c>
      <c r="C494" s="204">
        <f>IF(bands_A!$D$9+1&gt;MONTH(G494),YEAR(G494),YEAR(G494)+1)</f>
        <v/>
      </c>
      <c r="D494" s="204">
        <f>+C494+1</f>
        <v/>
      </c>
      <c r="E494" s="203">
        <f>IF(C494&gt;C493,1,E493+1)</f>
        <v/>
      </c>
      <c r="F494" s="203">
        <f>COUNTIF(C:C,C494)</f>
        <v/>
      </c>
      <c r="G494" s="198">
        <f>+G493+7</f>
        <v/>
      </c>
      <c r="H494" s="361">
        <f>+CO494/CP494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3.9</v>
      </c>
      <c r="CP494" s="970" t="n">
        <v>0.78938</v>
      </c>
    </row>
    <row r="495">
      <c r="B495" s="204">
        <f>+C495-1</f>
        <v/>
      </c>
      <c r="C495" s="204">
        <f>IF(bands_A!$D$9+1&gt;MONTH(G495),YEAR(G495),YEAR(G495)+1)</f>
        <v/>
      </c>
      <c r="D495" s="204">
        <f>+C495+1</f>
        <v/>
      </c>
      <c r="E495" s="203">
        <f>IF(C495&gt;C494,1,E494+1)</f>
        <v/>
      </c>
      <c r="F495" s="203">
        <f>COUNTIF(C:C,C495)</f>
        <v/>
      </c>
      <c r="G495" s="198">
        <f>+G494+7</f>
        <v/>
      </c>
      <c r="H495" s="361">
        <f>+CO495/CP495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3.97</v>
      </c>
      <c r="CP495" s="970" t="n">
        <v>0.78648</v>
      </c>
    </row>
    <row r="496">
      <c r="B496" s="204">
        <f>+C496-1</f>
        <v/>
      </c>
      <c r="C496" s="204">
        <f>IF(bands_A!$D$9+1&gt;MONTH(G496),YEAR(G496),YEAR(G496)+1)</f>
        <v/>
      </c>
      <c r="D496" s="204">
        <f>+C496+1</f>
        <v/>
      </c>
      <c r="E496" s="203">
        <f>IF(C496&gt;C495,1,E495+1)</f>
        <v/>
      </c>
      <c r="F496" s="203">
        <f>COUNTIF(C:C,C496)</f>
        <v/>
      </c>
      <c r="G496" s="198">
        <f>+G495+7</f>
        <v/>
      </c>
      <c r="H496" s="361">
        <f>+CO496/CP496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3.71</v>
      </c>
      <c r="CP496" s="970" t="n">
        <v>0.78452</v>
      </c>
    </row>
    <row r="497">
      <c r="B497" s="204">
        <f>+C497-1</f>
        <v/>
      </c>
      <c r="C497" s="204">
        <f>IF(bands_A!$D$9+1&gt;MONTH(G497),YEAR(G497),YEAR(G497)+1)</f>
        <v/>
      </c>
      <c r="D497" s="204">
        <f>+C497+1</f>
        <v/>
      </c>
      <c r="E497" s="203">
        <f>IF(C497&gt;C496,1,E496+1)</f>
        <v/>
      </c>
      <c r="F497" s="203">
        <f>COUNTIF(C:C,C497)</f>
        <v/>
      </c>
      <c r="G497" s="198">
        <f>+G496+7</f>
        <v/>
      </c>
      <c r="H497" s="361">
        <f>+CO497/CP497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3.72</v>
      </c>
      <c r="CP497" s="970" t="n">
        <v>0.78685</v>
      </c>
    </row>
    <row r="498">
      <c r="B498" s="204">
        <f>+C498-1</f>
        <v/>
      </c>
      <c r="C498" s="204">
        <f>IF(bands_A!$D$9+1&gt;MONTH(G498),YEAR(G498),YEAR(G498)+1)</f>
        <v/>
      </c>
      <c r="D498" s="204">
        <f>+C498+1</f>
        <v/>
      </c>
      <c r="E498" s="203">
        <f>IF(C498&gt;C497,1,E497+1)</f>
        <v/>
      </c>
      <c r="F498" s="203">
        <f>COUNTIF(C:C,C498)</f>
        <v/>
      </c>
      <c r="G498" s="198">
        <f>+G497+7</f>
        <v/>
      </c>
      <c r="H498" s="361">
        <f>+CO498/CP498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3.61</v>
      </c>
      <c r="CP498" s="970" t="n">
        <v>0.78571</v>
      </c>
    </row>
    <row r="499">
      <c r="B499" s="204">
        <f>+C499-1</f>
        <v/>
      </c>
      <c r="C499" s="204">
        <f>IF(bands_A!$D$9+1&gt;MONTH(G499),YEAR(G499),YEAR(G499)+1)</f>
        <v/>
      </c>
      <c r="D499" s="204">
        <f>+C499+1</f>
        <v/>
      </c>
      <c r="E499" s="203">
        <f>IF(C499&gt;C498,1,E498+1)</f>
        <v/>
      </c>
      <c r="F499" s="203">
        <f>COUNTIF(C:C,C499)</f>
        <v/>
      </c>
      <c r="G499" s="198">
        <f>+G498+7</f>
        <v/>
      </c>
      <c r="H499" s="361">
        <f>+CO499/CP499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3.67</v>
      </c>
      <c r="CP499" s="970" t="n">
        <v>0.78576</v>
      </c>
    </row>
    <row r="500">
      <c r="B500" s="204">
        <f>+C500-1</f>
        <v/>
      </c>
      <c r="C500" s="204">
        <f>IF(bands_A!$D$9+1&gt;MONTH(G500),YEAR(G500),YEAR(G500)+1)</f>
        <v/>
      </c>
      <c r="D500" s="204">
        <f>+C500+1</f>
        <v/>
      </c>
      <c r="E500" s="203">
        <f>IF(C500&gt;C499,1,E499+1)</f>
        <v/>
      </c>
      <c r="F500" s="203">
        <f>COUNTIF(C:C,C500)</f>
        <v/>
      </c>
      <c r="G500" s="198">
        <f>+G499+7</f>
        <v/>
      </c>
      <c r="H500" s="361">
        <f>+CO500/CP500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3.72</v>
      </c>
      <c r="CP500" s="970" t="n">
        <v>0.78583</v>
      </c>
    </row>
    <row r="501">
      <c r="B501" s="204">
        <f>+C501-1</f>
        <v/>
      </c>
      <c r="C501" s="204">
        <f>IF(bands_A!$D$9+1&gt;MONTH(G501),YEAR(G501),YEAR(G501)+1)</f>
        <v/>
      </c>
      <c r="D501" s="204">
        <f>+C501+1</f>
        <v/>
      </c>
      <c r="E501" s="203">
        <f>IF(C501&gt;C500,1,E500+1)</f>
        <v/>
      </c>
      <c r="F501" s="203">
        <f>COUNTIF(C:C,C501)</f>
        <v/>
      </c>
      <c r="G501" s="198">
        <f>+G500+7</f>
        <v/>
      </c>
      <c r="H501" s="361">
        <f>+CO501/CP501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3.84</v>
      </c>
      <c r="CP501" s="970" t="n">
        <v>0.78579</v>
      </c>
    </row>
    <row r="502">
      <c r="B502" s="204">
        <f>+C502-1</f>
        <v/>
      </c>
      <c r="C502" s="204">
        <f>IF(bands_A!$D$9+1&gt;MONTH(G502),YEAR(G502),YEAR(G502)+1)</f>
        <v/>
      </c>
      <c r="D502" s="204">
        <f>+C502+1</f>
        <v/>
      </c>
      <c r="E502" s="203">
        <f>IF(C502&gt;C501,1,E501+1)</f>
        <v/>
      </c>
      <c r="F502" s="203">
        <f>COUNTIF(C:C,C502)</f>
        <v/>
      </c>
      <c r="G502" s="198">
        <f>+G501+7</f>
        <v/>
      </c>
      <c r="H502" s="361">
        <f>+CO502/CP502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3.95</v>
      </c>
      <c r="CP502" s="970" t="n">
        <v>0.78413</v>
      </c>
    </row>
    <row r="503">
      <c r="B503" s="204">
        <f>+C503-1</f>
        <v/>
      </c>
      <c r="C503" s="204">
        <f>IF(bands_A!$D$9+1&gt;MONTH(G503),YEAR(G503),YEAR(G503)+1)</f>
        <v/>
      </c>
      <c r="D503" s="204">
        <f>+C503+1</f>
        <v/>
      </c>
      <c r="E503" s="203">
        <f>IF(C503&gt;C502,1,E502+1)</f>
        <v/>
      </c>
      <c r="F503" s="203">
        <f>COUNTIF(C:C,C503)</f>
        <v/>
      </c>
      <c r="G503" s="198">
        <f>+G502+7</f>
        <v/>
      </c>
      <c r="H503" s="361">
        <f>+CO503/CP503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3.93</v>
      </c>
      <c r="CP503" s="970" t="n">
        <v>0.78285</v>
      </c>
    </row>
    <row r="504">
      <c r="B504" s="204">
        <f>+C504-1</f>
        <v/>
      </c>
      <c r="C504" s="204">
        <f>IF(bands_A!$D$9+1&gt;MONTH(G504),YEAR(G504),YEAR(G504)+1)</f>
        <v/>
      </c>
      <c r="D504" s="204">
        <f>+C504+1</f>
        <v/>
      </c>
      <c r="E504" s="203">
        <f>IF(C504&gt;C503,1,E503+1)</f>
        <v/>
      </c>
      <c r="F504" s="203">
        <f>COUNTIF(C:C,C504)</f>
        <v/>
      </c>
      <c r="G504" s="198">
        <f>+G503+7</f>
        <v/>
      </c>
      <c r="H504" s="361">
        <f>+CO504/CP504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3.69</v>
      </c>
      <c r="CP504" s="970" t="n">
        <v>0.78308</v>
      </c>
    </row>
    <row r="505">
      <c r="B505" s="204">
        <f>+C505-1</f>
        <v/>
      </c>
      <c r="C505" s="204">
        <f>IF(bands_A!$D$9+1&gt;MONTH(G505),YEAR(G505),YEAR(G505)+1)</f>
        <v/>
      </c>
      <c r="D505" s="204">
        <f>+C505+1</f>
        <v/>
      </c>
      <c r="E505" s="203">
        <f>IF(C505&gt;C504,1,E504+1)</f>
        <v/>
      </c>
      <c r="F505" s="203">
        <f>COUNTIF(C:C,C505)</f>
        <v/>
      </c>
      <c r="G505" s="198">
        <f>+G504+7</f>
        <v/>
      </c>
      <c r="H505" s="361">
        <f>+CO505/CP505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3.68</v>
      </c>
      <c r="CP505" s="970" t="n">
        <v>0.78243</v>
      </c>
    </row>
    <row r="506">
      <c r="B506" s="204">
        <f>+C506-1</f>
        <v/>
      </c>
      <c r="C506" s="204">
        <f>IF(bands_A!$D$9+1&gt;MONTH(G506),YEAR(G506),YEAR(G506)+1)</f>
        <v/>
      </c>
      <c r="D506" s="204">
        <f>+C506+1</f>
        <v/>
      </c>
      <c r="E506" s="203">
        <f>IF(C506&gt;C505,1,E505+1)</f>
        <v/>
      </c>
      <c r="F506" s="203">
        <f>COUNTIF(C:C,C506)</f>
        <v/>
      </c>
      <c r="G506" s="198">
        <f>+G505+7</f>
        <v/>
      </c>
      <c r="H506" s="361">
        <f>+CO506/CP506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3.62</v>
      </c>
      <c r="CP506" s="970" t="n">
        <v>0.78046</v>
      </c>
    </row>
    <row r="507">
      <c r="B507" s="204">
        <f>+C507-1</f>
        <v/>
      </c>
      <c r="C507" s="204">
        <f>IF(bands_A!$D$9+1&gt;MONTH(G507),YEAR(G507),YEAR(G507)+1)</f>
        <v/>
      </c>
      <c r="D507" s="204">
        <f>+C507+1</f>
        <v/>
      </c>
      <c r="E507" s="203">
        <f>IF(C507&gt;C506,1,E506+1)</f>
        <v/>
      </c>
      <c r="F507" s="203">
        <f>COUNTIF(C:C,C507)</f>
        <v/>
      </c>
      <c r="G507" s="198">
        <f>+G506+7</f>
        <v/>
      </c>
      <c r="H507" s="361">
        <f>+CO507/CP507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3.51</v>
      </c>
      <c r="CP507" s="970" t="n">
        <v>0.78042</v>
      </c>
    </row>
    <row r="508">
      <c r="B508" s="204">
        <f>+C508-1</f>
        <v/>
      </c>
      <c r="C508" s="204">
        <f>IF(bands_A!$D$9+1&gt;MONTH(G508),YEAR(G508),YEAR(G508)+1)</f>
        <v/>
      </c>
      <c r="D508" s="204">
        <f>+C508+1</f>
        <v/>
      </c>
      <c r="E508" s="203">
        <f>IF(C508&gt;C507,1,E507+1)</f>
        <v/>
      </c>
      <c r="F508" s="203">
        <f>COUNTIF(C:C,C508)</f>
        <v/>
      </c>
      <c r="G508" s="198">
        <f>+G507+7</f>
        <v/>
      </c>
      <c r="H508" s="361">
        <f>+CO508/CP508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3.51</v>
      </c>
      <c r="CP508" s="970" t="n">
        <v>0.78015</v>
      </c>
    </row>
    <row r="509">
      <c r="B509" s="204">
        <f>+C509-1</f>
        <v/>
      </c>
      <c r="C509" s="204">
        <f>IF(bands_A!$D$9+1&gt;MONTH(G509),YEAR(G509),YEAR(G509)+1)</f>
        <v/>
      </c>
      <c r="D509" s="204">
        <f>+C509+1</f>
        <v/>
      </c>
      <c r="E509" s="203">
        <f>IF(C509&gt;C508,1,E508+1)</f>
        <v/>
      </c>
      <c r="F509" s="203">
        <f>COUNTIF(C:C,C509)</f>
        <v/>
      </c>
      <c r="G509" s="198">
        <f>+G508+7</f>
        <v/>
      </c>
      <c r="H509" s="361">
        <f>+CO509/CP509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3.58</v>
      </c>
      <c r="CP509" s="970" t="n">
        <v>0.77893</v>
      </c>
    </row>
    <row r="510">
      <c r="B510" s="204">
        <f>+C510-1</f>
        <v/>
      </c>
      <c r="C510" s="204">
        <f>IF(bands_A!$D$9+1&gt;MONTH(G510),YEAR(G510),YEAR(G510)+1)</f>
        <v/>
      </c>
      <c r="D510" s="204">
        <f>+C510+1</f>
        <v/>
      </c>
      <c r="E510" s="203">
        <f>IF(C510&gt;C509,1,E509+1)</f>
        <v/>
      </c>
      <c r="F510" s="203">
        <f>COUNTIF(C:C,C510)</f>
        <v/>
      </c>
      <c r="G510" s="198">
        <f>+G509+7</f>
        <v/>
      </c>
      <c r="H510" s="361">
        <f>+CO510/CP510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3.53</v>
      </c>
      <c r="CP510" s="970" t="n">
        <v>0.78052</v>
      </c>
    </row>
    <row r="511">
      <c r="B511" s="204">
        <f>+C511-1</f>
        <v/>
      </c>
      <c r="C511" s="204">
        <f>IF(bands_A!$D$9+1&gt;MONTH(G511),YEAR(G511),YEAR(G511)+1)</f>
        <v/>
      </c>
      <c r="D511" s="204">
        <f>+C511+1</f>
        <v/>
      </c>
      <c r="E511" s="203">
        <f>IF(C511&gt;C510,1,E510+1)</f>
        <v/>
      </c>
      <c r="F511" s="203">
        <f>COUNTIF(C:C,C511)</f>
        <v/>
      </c>
      <c r="G511" s="198">
        <f>+G510+7</f>
        <v/>
      </c>
      <c r="H511" s="361">
        <f>+CO511/CP511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3.55</v>
      </c>
      <c r="CP511" s="970" t="n">
        <v>0.7815</v>
      </c>
    </row>
    <row r="512">
      <c r="B512" s="204">
        <f>+C512-1</f>
        <v/>
      </c>
      <c r="C512" s="204">
        <f>IF(bands_A!$D$9+1&gt;MONTH(G512),YEAR(G512),YEAR(G512)+1)</f>
        <v/>
      </c>
      <c r="D512" s="204">
        <f>+C512+1</f>
        <v/>
      </c>
      <c r="E512" s="203">
        <f>IF(C512&gt;C511,1,E511+1)</f>
        <v/>
      </c>
      <c r="F512" s="203">
        <f>COUNTIF(C:C,C512)</f>
        <v/>
      </c>
      <c r="G512" s="198">
        <f>+G511+7</f>
        <v/>
      </c>
      <c r="H512" s="361">
        <f>+CO512/CP512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3.69</v>
      </c>
      <c r="CP512" s="970" t="n">
        <v>0.78229</v>
      </c>
    </row>
    <row r="513">
      <c r="B513" s="204">
        <f>+C513-1</f>
        <v/>
      </c>
      <c r="C513" s="204">
        <f>IF(bands_A!$D$9+1&gt;MONTH(G513),YEAR(G513),YEAR(G513)+1)</f>
        <v/>
      </c>
      <c r="D513" s="204">
        <f>+C513+1</f>
        <v/>
      </c>
      <c r="E513" s="203">
        <f>IF(C513&gt;C512,1,E512+1)</f>
        <v/>
      </c>
      <c r="F513" s="203">
        <f>COUNTIF(C:C,C513)</f>
        <v/>
      </c>
      <c r="G513" s="198">
        <f>+G512+7</f>
        <v/>
      </c>
      <c r="H513" s="361">
        <f>+CO513/CP513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3.67</v>
      </c>
      <c r="CP513" s="970" t="n">
        <v>0.78544</v>
      </c>
    </row>
    <row r="514">
      <c r="B514" s="204">
        <f>+C514-1</f>
        <v/>
      </c>
      <c r="C514" s="204">
        <f>IF(bands_A!$D$9+1&gt;MONTH(G514),YEAR(G514),YEAR(G514)+1)</f>
        <v/>
      </c>
      <c r="D514" s="204">
        <f>+C514+1</f>
        <v/>
      </c>
      <c r="E514" s="203">
        <f>IF(C514&gt;C513,1,E513+1)</f>
        <v/>
      </c>
      <c r="F514" s="203">
        <f>COUNTIF(C:C,C514)</f>
        <v/>
      </c>
      <c r="G514" s="198">
        <f>+G513+7</f>
        <v/>
      </c>
      <c r="H514" s="361">
        <f>+CO514/CP514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3.74</v>
      </c>
      <c r="CP514" s="970" t="n">
        <v>0.7920700000000001</v>
      </c>
    </row>
    <row r="515">
      <c r="B515" s="204">
        <f>+C515-1</f>
        <v/>
      </c>
      <c r="C515" s="204">
        <f>IF(bands_A!$D$9+1&gt;MONTH(G515),YEAR(G515),YEAR(G515)+1)</f>
        <v/>
      </c>
      <c r="D515" s="204">
        <f>+C515+1</f>
        <v/>
      </c>
      <c r="E515" s="203">
        <f>IF(C515&gt;C514,1,E514+1)</f>
        <v/>
      </c>
      <c r="F515" s="203">
        <f>COUNTIF(C:C,C515)</f>
        <v/>
      </c>
      <c r="G515" s="198">
        <f>+G514+7</f>
        <v/>
      </c>
      <c r="H515" s="361">
        <f>+CO515/CP515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3.83</v>
      </c>
      <c r="CP515" s="970" t="n">
        <v>0.78933</v>
      </c>
    </row>
    <row r="516">
      <c r="B516" s="204">
        <f>+C516-1</f>
        <v/>
      </c>
      <c r="C516" s="204">
        <f>IF(bands_A!$D$9+1&gt;MONTH(G516),YEAR(G516),YEAR(G516)+1)</f>
        <v/>
      </c>
      <c r="D516" s="204">
        <f>+C516+1</f>
        <v/>
      </c>
      <c r="E516" s="203">
        <f>IF(C516&gt;C515,1,E515+1)</f>
        <v/>
      </c>
      <c r="F516" s="203">
        <f>COUNTIF(C:C,C516)</f>
        <v/>
      </c>
      <c r="G516" s="198">
        <f>+G515+7</f>
        <v/>
      </c>
      <c r="H516" s="361">
        <f>+CO516/CP516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3.81</v>
      </c>
      <c r="CP516" s="970" t="n">
        <v>0.79183</v>
      </c>
    </row>
    <row r="517">
      <c r="B517" s="204">
        <f>+C517-1</f>
        <v/>
      </c>
      <c r="C517" s="204">
        <f>IF(bands_A!$D$9+1&gt;MONTH(G517),YEAR(G517),YEAR(G517)+1)</f>
        <v/>
      </c>
      <c r="D517" s="204">
        <f>+C517+1</f>
        <v/>
      </c>
      <c r="E517" s="203">
        <f>IF(C517&gt;C516,1,E516+1)</f>
        <v/>
      </c>
      <c r="F517" s="203">
        <f>COUNTIF(C:C,C517)</f>
        <v/>
      </c>
      <c r="G517" s="198">
        <f>+G516+7</f>
        <v/>
      </c>
      <c r="H517" s="361">
        <f>+CO517/CP517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3.83</v>
      </c>
      <c r="CP517" s="970" t="n">
        <v>0.80235</v>
      </c>
    </row>
    <row r="518">
      <c r="B518" s="204">
        <f>+C518-1</f>
        <v/>
      </c>
      <c r="C518" s="204">
        <f>IF(bands_A!$D$9+1&gt;MONTH(G518),YEAR(G518),YEAR(G518)+1)</f>
        <v/>
      </c>
      <c r="D518" s="204">
        <f>+C518+1</f>
        <v/>
      </c>
      <c r="E518" s="203">
        <f>IF(C518&gt;C517,1,E517+1)</f>
        <v/>
      </c>
      <c r="F518" s="203">
        <f>COUNTIF(C:C,C518)</f>
        <v/>
      </c>
      <c r="G518" s="198">
        <f>+G517+7</f>
        <v/>
      </c>
      <c r="H518" s="361">
        <f>+CO518/CP518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3.98</v>
      </c>
      <c r="CP518" s="970" t="n">
        <v>0.80077</v>
      </c>
    </row>
    <row r="519">
      <c r="B519" s="204">
        <f>+C519-1</f>
        <v/>
      </c>
      <c r="C519" s="204">
        <f>IF(bands_A!$D$9+1&gt;MONTH(G519),YEAR(G519),YEAR(G519)+1)</f>
        <v/>
      </c>
      <c r="D519" s="204">
        <f>+C519+1</f>
        <v/>
      </c>
      <c r="E519" s="203">
        <f>IF(C519&gt;C518,1,E518+1)</f>
        <v/>
      </c>
      <c r="F519" s="203">
        <f>COUNTIF(C:C,C519)</f>
        <v/>
      </c>
      <c r="G519" s="198">
        <f>+G518+7</f>
        <v/>
      </c>
      <c r="H519" s="361">
        <f>+CO519/CP519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3.87</v>
      </c>
      <c r="CP519" s="970" t="n">
        <v>0.8006</v>
      </c>
    </row>
    <row r="520">
      <c r="B520" s="204">
        <f>+C520-1</f>
        <v/>
      </c>
      <c r="C520" s="204">
        <f>IF(bands_A!$D$9+1&gt;MONTH(G520),YEAR(G520),YEAR(G520)+1)</f>
        <v/>
      </c>
      <c r="D520" s="204">
        <f>+C520+1</f>
        <v/>
      </c>
      <c r="E520" s="203">
        <f>IF(C520&gt;C519,1,E519+1)</f>
        <v/>
      </c>
      <c r="F520" s="203">
        <f>COUNTIF(C:C,C520)</f>
        <v/>
      </c>
      <c r="G520" s="198">
        <f>+G519+7</f>
        <v/>
      </c>
      <c r="H520" s="361">
        <f>+CO520/CP520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3.94</v>
      </c>
      <c r="CP520" s="970" t="n">
        <v>0.8012</v>
      </c>
    </row>
    <row r="521">
      <c r="B521" s="204">
        <f>+C521-1</f>
        <v/>
      </c>
      <c r="C521" s="204">
        <f>IF(bands_A!$D$9+1&gt;MONTH(G521),YEAR(G521),YEAR(G521)+1)</f>
        <v/>
      </c>
      <c r="D521" s="204">
        <f>+C521+1</f>
        <v/>
      </c>
      <c r="E521" s="203">
        <f>IF(C521&gt;C520,1,E520+1)</f>
        <v/>
      </c>
      <c r="F521" s="203">
        <f>COUNTIF(C:C,C521)</f>
        <v/>
      </c>
      <c r="G521" s="198">
        <f>+G520+7</f>
        <v/>
      </c>
      <c r="H521" s="361">
        <f>+CO521/CP521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3.85</v>
      </c>
      <c r="CP521" s="970" t="n">
        <v>0.80269</v>
      </c>
    </row>
    <row r="522">
      <c r="B522" s="204">
        <f>+C522-1</f>
        <v/>
      </c>
      <c r="C522" s="204">
        <f>IF(bands_A!$D$9+1&gt;MONTH(G522),YEAR(G522),YEAR(G522)+1)</f>
        <v/>
      </c>
      <c r="D522" s="204">
        <f>+C522+1</f>
        <v/>
      </c>
      <c r="E522" s="203">
        <f>IF(C522&gt;C521,1,E521+1)</f>
        <v/>
      </c>
      <c r="F522" s="203">
        <f>COUNTIF(C:C,C522)</f>
        <v/>
      </c>
      <c r="G522" s="198">
        <f>+G521+7</f>
        <v/>
      </c>
      <c r="H522" s="361">
        <f>+CO522/CP522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3.77</v>
      </c>
      <c r="CP522" s="970" t="n">
        <v>0.80661</v>
      </c>
    </row>
    <row r="523">
      <c r="B523" s="204">
        <f>+C523-1</f>
        <v/>
      </c>
      <c r="C523" s="204">
        <f>IF(bands_A!$D$9+1&gt;MONTH(G523),YEAR(G523),YEAR(G523)+1)</f>
        <v/>
      </c>
      <c r="D523" s="204">
        <f>+C523+1</f>
        <v/>
      </c>
      <c r="E523" s="203">
        <f>IF(C523&gt;C522,1,E522+1)</f>
        <v/>
      </c>
      <c r="F523" s="203">
        <f>COUNTIF(C:C,C523)</f>
        <v/>
      </c>
      <c r="G523" s="198">
        <f>+G522+7</f>
        <v/>
      </c>
      <c r="H523" s="361">
        <f>+CO523/CP523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3.7</v>
      </c>
      <c r="CP523" s="970" t="n">
        <v>0.80746</v>
      </c>
    </row>
    <row r="524">
      <c r="B524" s="204">
        <f>+C524-1</f>
        <v/>
      </c>
      <c r="C524" s="204">
        <f>IF(bands_A!$D$9+1&gt;MONTH(G524),YEAR(G524),YEAR(G524)+1)</f>
        <v/>
      </c>
      <c r="D524" s="204">
        <f>+C524+1</f>
        <v/>
      </c>
      <c r="E524" s="203">
        <f>IF(C524&gt;C523,1,E523+1)</f>
        <v/>
      </c>
      <c r="F524" s="203">
        <f>COUNTIF(C:C,C524)</f>
        <v/>
      </c>
      <c r="G524" s="198">
        <f>+G523+7</f>
        <v/>
      </c>
      <c r="H524" s="361">
        <f>+CO524/CP524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3.74</v>
      </c>
      <c r="CP524" s="970" t="n">
        <v>0.80342</v>
      </c>
    </row>
    <row r="525">
      <c r="B525" s="204">
        <f>+C525-1</f>
        <v/>
      </c>
      <c r="C525" s="204">
        <f>IF(bands_A!$D$9+1&gt;MONTH(G525),YEAR(G525),YEAR(G525)+1)</f>
        <v/>
      </c>
      <c r="D525" s="204">
        <f>+C525+1</f>
        <v/>
      </c>
      <c r="E525" s="203">
        <f>IF(C525&gt;C524,1,E524+1)</f>
        <v/>
      </c>
      <c r="F525" s="203">
        <f>COUNTIF(C:C,C525)</f>
        <v/>
      </c>
      <c r="G525" s="198">
        <f>+G524+7</f>
        <v/>
      </c>
      <c r="H525" s="361">
        <f>+CO525/CP525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3.72</v>
      </c>
      <c r="CP525" s="970" t="n">
        <v>0.80415</v>
      </c>
    </row>
    <row r="526">
      <c r="B526" s="204">
        <f>+C526-1</f>
        <v/>
      </c>
      <c r="C526" s="204">
        <f>IF(bands_A!$D$9+1&gt;MONTH(G526),YEAR(G526),YEAR(G526)+1)</f>
        <v/>
      </c>
      <c r="D526" s="204">
        <f>+C526+1</f>
        <v/>
      </c>
      <c r="E526" s="203">
        <f>IF(C526&gt;C525,1,E525+1)</f>
        <v/>
      </c>
      <c r="F526" s="203">
        <f>COUNTIF(C:C,C526)</f>
        <v/>
      </c>
      <c r="G526" s="198">
        <f>+G525+7</f>
        <v/>
      </c>
      <c r="H526" s="361">
        <f>+CO526/CP526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3.73</v>
      </c>
      <c r="CP526" s="970" t="n">
        <v>0.80428</v>
      </c>
    </row>
    <row r="527">
      <c r="B527" s="204">
        <f>+C527-1</f>
        <v/>
      </c>
      <c r="C527" s="204">
        <f>IF(bands_A!$D$9+1&gt;MONTH(G527),YEAR(G527),YEAR(G527)+1)</f>
        <v/>
      </c>
      <c r="D527" s="204">
        <f>+C527+1</f>
        <v/>
      </c>
      <c r="E527" s="203">
        <f>IF(C527&gt;C526,1,E526+1)</f>
        <v/>
      </c>
      <c r="F527" s="203">
        <f>COUNTIF(C:C,C527)</f>
        <v/>
      </c>
      <c r="G527" s="198">
        <f>+G526+7</f>
        <v/>
      </c>
      <c r="H527" s="361">
        <f>+CO527/CP527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3.65</v>
      </c>
      <c r="CP527" s="970" t="n">
        <v>0.80586</v>
      </c>
    </row>
    <row r="528">
      <c r="B528" s="204">
        <f>+C528-1</f>
        <v/>
      </c>
      <c r="C528" s="204">
        <f>IF(bands_A!$D$9+1&gt;MONTH(G528),YEAR(G528),YEAR(G528)+1)</f>
        <v/>
      </c>
      <c r="D528" s="204">
        <f>+C528+1</f>
        <v/>
      </c>
      <c r="E528" s="203">
        <f>IF(C528&gt;C527,1,E527+1)</f>
        <v/>
      </c>
      <c r="F528" s="203">
        <f>COUNTIF(C:C,C528)</f>
        <v/>
      </c>
      <c r="G528" s="198">
        <f>+G527+7</f>
        <v/>
      </c>
      <c r="H528" s="361">
        <f>+CO528/CP528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3.65</v>
      </c>
      <c r="CP528" s="970" t="n">
        <v>0.80625</v>
      </c>
    </row>
    <row r="529">
      <c r="B529" s="204">
        <f>+C529-1</f>
        <v/>
      </c>
      <c r="C529" s="204">
        <f>IF(bands_A!$D$9+1&gt;MONTH(G529),YEAR(G529),YEAR(G529)+1)</f>
        <v/>
      </c>
      <c r="D529" s="204">
        <f>+C529+1</f>
        <v/>
      </c>
      <c r="E529" s="203">
        <f>IF(C529&gt;C528,1,E528+1)</f>
        <v/>
      </c>
      <c r="F529" s="203">
        <f>COUNTIF(C:C,C529)</f>
        <v/>
      </c>
      <c r="G529" s="198">
        <f>+G528+7</f>
        <v/>
      </c>
      <c r="H529" s="361">
        <f>+CO529/CP529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3.82</v>
      </c>
      <c r="CP529" s="970" t="n">
        <v>0.80117</v>
      </c>
    </row>
    <row r="530">
      <c r="B530" s="204">
        <f>+C530-1</f>
        <v/>
      </c>
      <c r="C530" s="204">
        <f>IF(bands_A!$D$9+1&gt;MONTH(G530),YEAR(G530),YEAR(G530)+1)</f>
        <v/>
      </c>
      <c r="D530" s="204">
        <f>+C530+1</f>
        <v/>
      </c>
      <c r="E530" s="203">
        <f>IF(C530&gt;C529,1,E529+1)</f>
        <v/>
      </c>
      <c r="F530" s="203">
        <f>COUNTIF(C:C,C530)</f>
        <v/>
      </c>
      <c r="G530" s="198">
        <f>+G529+7</f>
        <v/>
      </c>
      <c r="H530" s="361">
        <f>+CO530/CP530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3.79</v>
      </c>
      <c r="CP530" s="970" t="n">
        <v>0.80289</v>
      </c>
    </row>
    <row r="531">
      <c r="B531" s="204">
        <f>+C531-1</f>
        <v/>
      </c>
      <c r="C531" s="204">
        <f>IF(bands_A!$D$9+1&gt;MONTH(G531),YEAR(G531),YEAR(G531)+1)</f>
        <v/>
      </c>
      <c r="D531" s="204">
        <f>+C531+1</f>
        <v/>
      </c>
      <c r="E531" s="203">
        <f>IF(C531&gt;C530,1,E530+1)</f>
        <v/>
      </c>
      <c r="F531" s="203">
        <f>COUNTIF(C:C,C531)</f>
        <v/>
      </c>
      <c r="G531" s="198">
        <f>+G530+7</f>
        <v/>
      </c>
      <c r="H531" s="361">
        <f>+CO531/CP531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3.81</v>
      </c>
      <c r="CP531" s="970" t="n">
        <v>0.80231</v>
      </c>
    </row>
    <row r="532">
      <c r="B532" s="204">
        <f>+C532-1</f>
        <v/>
      </c>
      <c r="C532" s="204">
        <f>IF(bands_A!$D$9+1&gt;MONTH(G532),YEAR(G532),YEAR(G532)+1)</f>
        <v/>
      </c>
      <c r="D532" s="204">
        <f>+C532+1</f>
        <v/>
      </c>
      <c r="E532" s="203">
        <f>IF(C532&gt;C531,1,E531+1)</f>
        <v/>
      </c>
      <c r="F532" s="203">
        <f>COUNTIF(C:C,C532)</f>
        <v/>
      </c>
      <c r="G532" s="198">
        <f>+G531+7</f>
        <v/>
      </c>
      <c r="H532" s="361">
        <f>+CO532/CP532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3.84</v>
      </c>
      <c r="CP532" s="970" t="n">
        <v>0.80045</v>
      </c>
    </row>
    <row r="533">
      <c r="B533" s="204">
        <f>+C533-1</f>
        <v/>
      </c>
      <c r="C533" s="204">
        <f>IF(bands_A!$D$9+1&gt;MONTH(G533),YEAR(G533),YEAR(G533)+1)</f>
        <v/>
      </c>
      <c r="D533" s="204">
        <f>+C533+1</f>
        <v/>
      </c>
      <c r="E533" s="203">
        <f>IF(C533&gt;C532,1,E532+1)</f>
        <v/>
      </c>
      <c r="F533" s="203">
        <f>COUNTIF(C:C,C533)</f>
        <v/>
      </c>
      <c r="G533" s="198">
        <f>+G532+7</f>
        <v/>
      </c>
      <c r="H533" s="361">
        <f>+CO533/CP533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3.83</v>
      </c>
      <c r="CP533" s="970" t="n">
        <v>0.8004599999999999</v>
      </c>
    </row>
    <row r="534">
      <c r="B534" s="204">
        <f>+C534-1</f>
        <v/>
      </c>
      <c r="C534" s="204">
        <f>IF(bands_A!$D$9+1&gt;MONTH(G534),YEAR(G534),YEAR(G534)+1)</f>
        <v/>
      </c>
      <c r="D534" s="204">
        <f>+C534+1</f>
        <v/>
      </c>
      <c r="E534" s="203">
        <f>IF(C534&gt;C533,1,E533+1)</f>
        <v/>
      </c>
      <c r="F534" s="203">
        <f>COUNTIF(C:C,C534)</f>
        <v/>
      </c>
      <c r="G534" s="198">
        <f>+G533+7</f>
        <v/>
      </c>
      <c r="H534" s="361">
        <f>+CO534/CP534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3.92</v>
      </c>
      <c r="CP534" s="970" t="n">
        <v>0.80152</v>
      </c>
    </row>
    <row r="535">
      <c r="B535" s="204">
        <f>+C535-1</f>
        <v/>
      </c>
      <c r="C535" s="204">
        <f>IF(bands_A!$D$9+1&gt;MONTH(G535),YEAR(G535),YEAR(G535)+1)</f>
        <v/>
      </c>
      <c r="D535" s="204">
        <f>+C535+1</f>
        <v/>
      </c>
      <c r="E535" s="203">
        <f>IF(C535&gt;C534,1,E534+1)</f>
        <v/>
      </c>
      <c r="F535" s="203">
        <f>COUNTIF(C:C,C535)</f>
        <v/>
      </c>
      <c r="G535" s="198">
        <f>+G534+7</f>
        <v/>
      </c>
      <c r="H535" s="361">
        <f>+CO535/CP535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4</v>
      </c>
      <c r="CP535" s="970" t="n">
        <v>0.799</v>
      </c>
    </row>
    <row r="536">
      <c r="B536" s="204">
        <f>+C536-1</f>
        <v/>
      </c>
      <c r="C536" s="204">
        <f>IF(bands_A!$D$9+1&gt;MONTH(G536),YEAR(G536),YEAR(G536)+1)</f>
        <v/>
      </c>
      <c r="D536" s="204">
        <f>+C536+1</f>
        <v/>
      </c>
      <c r="E536" s="203">
        <f>IF(C536&gt;C535,1,E535+1)</f>
        <v/>
      </c>
      <c r="F536" s="203">
        <f>COUNTIF(C:C,C536)</f>
        <v/>
      </c>
      <c r="G536" s="198">
        <f>+G535+7</f>
        <v/>
      </c>
      <c r="H536" s="361">
        <f>+CO536/CP536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3.99</v>
      </c>
      <c r="CP536" s="970" t="n">
        <v>0.79718</v>
      </c>
    </row>
    <row r="537">
      <c r="B537" s="204">
        <f>+C537-1</f>
        <v/>
      </c>
      <c r="C537" s="204">
        <f>IF(bands_A!$D$9+1&gt;MONTH(G537),YEAR(G537),YEAR(G537)+1)</f>
        <v/>
      </c>
      <c r="D537" s="204">
        <f>+C537+1</f>
        <v/>
      </c>
      <c r="E537" s="203">
        <f>IF(C537&gt;C536,1,E536+1)</f>
        <v/>
      </c>
      <c r="F537" s="203">
        <f>COUNTIF(C:C,C537)</f>
        <v/>
      </c>
      <c r="G537" s="198">
        <f>+G536+7</f>
        <v/>
      </c>
      <c r="H537" s="361">
        <f>+CO537/CP537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4.02</v>
      </c>
      <c r="CP537" s="970" t="n">
        <v>0.79408</v>
      </c>
    </row>
    <row r="538">
      <c r="B538" s="204">
        <f>+C538-1</f>
        <v/>
      </c>
      <c r="C538" s="204">
        <f>IF(bands_A!$D$9+1&gt;MONTH(G538),YEAR(G538),YEAR(G538)+1)</f>
        <v/>
      </c>
      <c r="D538" s="204">
        <f>+C538+1</f>
        <v/>
      </c>
      <c r="E538" s="203">
        <f>IF(C538&gt;C537,1,E537+1)</f>
        <v/>
      </c>
      <c r="F538" s="203">
        <f>COUNTIF(C:C,C538)</f>
        <v/>
      </c>
      <c r="G538" s="198">
        <f>+G537+7</f>
        <v/>
      </c>
      <c r="H538" s="361">
        <f>+CO538/CP538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4</v>
      </c>
      <c r="CP538" s="970" t="n">
        <v>0.79408</v>
      </c>
    </row>
    <row r="539">
      <c r="B539" s="204">
        <f>+C539-1</f>
        <v/>
      </c>
      <c r="C539" s="204">
        <f>IF(bands_A!$D$9+1&gt;MONTH(G539),YEAR(G539),YEAR(G539)+1)</f>
        <v/>
      </c>
      <c r="D539" s="204">
        <f>+C539+1</f>
        <v/>
      </c>
      <c r="E539" s="203">
        <f>IF(C539&gt;C538,1,E538+1)</f>
        <v/>
      </c>
      <c r="F539" s="203">
        <f>COUNTIF(C:C,C539)</f>
        <v/>
      </c>
      <c r="G539" s="198">
        <f>+G538+7</f>
        <v/>
      </c>
      <c r="H539" s="361">
        <f>+CO539/CP539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4.02</v>
      </c>
      <c r="CP539" s="970" t="n">
        <v>0.79448</v>
      </c>
    </row>
    <row r="540">
      <c r="B540" s="204">
        <f>+C540-1</f>
        <v/>
      </c>
      <c r="C540" s="204">
        <f>IF(bands_A!$D$9+1&gt;MONTH(G540),YEAR(G540),YEAR(G540)+1)</f>
        <v/>
      </c>
      <c r="D540" s="204">
        <f>+C540+1</f>
        <v/>
      </c>
      <c r="E540" s="203">
        <f>IF(C540&gt;C539,1,E539+1)</f>
        <v/>
      </c>
      <c r="F540" s="203">
        <f>COUNTIF(C:C,C540)</f>
        <v/>
      </c>
      <c r="G540" s="198">
        <f>+G539+7</f>
        <v/>
      </c>
      <c r="H540" s="361">
        <f>+CO540/CP540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3.97</v>
      </c>
      <c r="CP540" s="970" t="n">
        <v>0.7928500000000001</v>
      </c>
    </row>
    <row r="541">
      <c r="B541" s="204">
        <f>+C541-1</f>
        <v/>
      </c>
      <c r="C541" s="204">
        <f>IF(bands_A!$D$9+1&gt;MONTH(G541),YEAR(G541),YEAR(G541)+1)</f>
        <v/>
      </c>
      <c r="D541" s="204">
        <f>+C541+1</f>
        <v/>
      </c>
      <c r="E541" s="203">
        <f>IF(C541&gt;C540,1,E540+1)</f>
        <v/>
      </c>
      <c r="F541" s="203">
        <f>COUNTIF(C:C,C541)</f>
        <v/>
      </c>
      <c r="G541" s="198">
        <f>+G540+7</f>
        <v/>
      </c>
      <c r="H541" s="361">
        <f>+CO541/CP541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4.31</v>
      </c>
      <c r="CP541" s="970" t="n">
        <v>0.79231</v>
      </c>
    </row>
    <row r="542">
      <c r="B542" s="204">
        <f>+C542-1</f>
        <v/>
      </c>
      <c r="C542" s="204">
        <f>IF(bands_A!$D$9+1&gt;MONTH(G542),YEAR(G542),YEAR(G542)+1)</f>
        <v/>
      </c>
      <c r="D542" s="204">
        <f>+C542+1</f>
        <v/>
      </c>
      <c r="E542" s="203">
        <f>IF(C542&gt;C541,1,E541+1)</f>
        <v/>
      </c>
      <c r="F542" s="203">
        <f>COUNTIF(C:C,C542)</f>
        <v/>
      </c>
      <c r="G542" s="198">
        <f>+G541+7</f>
        <v/>
      </c>
      <c r="H542" s="361">
        <f>+CO542/CP542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4.38</v>
      </c>
      <c r="CP542" s="970" t="n">
        <v>0.79134</v>
      </c>
    </row>
    <row r="543">
      <c r="B543" s="204">
        <f>+C543-1</f>
        <v/>
      </c>
      <c r="C543" s="204">
        <f>IF(bands_A!$D$9+1&gt;MONTH(G543),YEAR(G543),YEAR(G543)+1)</f>
        <v/>
      </c>
      <c r="D543" s="204">
        <f>+C543+1</f>
        <v/>
      </c>
      <c r="E543" s="203">
        <f>IF(C543&gt;C542,1,E542+1)</f>
        <v/>
      </c>
      <c r="F543" s="203">
        <f>COUNTIF(C:C,C543)</f>
        <v/>
      </c>
      <c r="G543" s="198">
        <f>+G542+7</f>
        <v/>
      </c>
      <c r="H543" s="361">
        <f>+CO543/CP543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4.35</v>
      </c>
      <c r="CP543" s="970" t="n">
        <v>0.79225</v>
      </c>
    </row>
    <row r="544">
      <c r="B544" s="204">
        <f>+C544-1</f>
        <v/>
      </c>
      <c r="C544" s="204">
        <f>IF(bands_A!$D$9+1&gt;MONTH(G544),YEAR(G544),YEAR(G544)+1)</f>
        <v/>
      </c>
      <c r="D544" s="204">
        <f>+C544+1</f>
        <v/>
      </c>
      <c r="E544" s="203">
        <f>IF(C544&gt;C543,1,E543+1)</f>
        <v/>
      </c>
      <c r="F544" s="203">
        <f>COUNTIF(C:C,C544)</f>
        <v/>
      </c>
      <c r="G544" s="198">
        <f>+G543+7</f>
        <v/>
      </c>
      <c r="H544" s="361">
        <f>+CO544/CP544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5.47</v>
      </c>
      <c r="CP544" s="970" t="n">
        <v>0.78981</v>
      </c>
    </row>
    <row r="545">
      <c r="B545" s="204">
        <f>+C545-1</f>
        <v/>
      </c>
      <c r="C545" s="204">
        <f>IF(bands_A!$D$9+1&gt;MONTH(G545),YEAR(G545),YEAR(G545)+1)</f>
        <v/>
      </c>
      <c r="D545" s="204">
        <f>+C545+1</f>
        <v/>
      </c>
      <c r="E545" s="203">
        <f>IF(C545&gt;C544,1,E544+1)</f>
        <v/>
      </c>
      <c r="F545" s="203">
        <f>COUNTIF(C:C,C545)</f>
        <v/>
      </c>
      <c r="G545" s="198">
        <f>+G544+7</f>
        <v/>
      </c>
      <c r="H545" s="361">
        <f>+CO545/CP545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5.42</v>
      </c>
      <c r="CP545" s="970" t="n">
        <v>0.79081</v>
      </c>
    </row>
    <row r="546">
      <c r="B546" s="204">
        <f>+C546-1</f>
        <v/>
      </c>
      <c r="C546" s="204">
        <f>IF(bands_A!$D$9+1&gt;MONTH(G546),YEAR(G546),YEAR(G546)+1)</f>
        <v/>
      </c>
      <c r="D546" s="204">
        <f>+C546+1</f>
        <v/>
      </c>
      <c r="E546" s="203">
        <f>IF(C546&gt;C545,1,E545+1)</f>
        <v/>
      </c>
      <c r="F546" s="203">
        <f>COUNTIF(C:C,C546)</f>
        <v/>
      </c>
      <c r="G546" s="198">
        <f>+G545+7</f>
        <v/>
      </c>
      <c r="H546" s="361">
        <f>+CO546/CP546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5.83</v>
      </c>
      <c r="CP546" s="970" t="n">
        <v>0.79009</v>
      </c>
    </row>
    <row r="547">
      <c r="B547" s="204">
        <f>+C547-1</f>
        <v/>
      </c>
      <c r="C547" s="204">
        <f>IF(bands_A!$D$9+1&gt;MONTH(G547),YEAR(G547),YEAR(G547)+1)</f>
        <v/>
      </c>
      <c r="D547" s="204">
        <f>+C547+1</f>
        <v/>
      </c>
      <c r="E547" s="203">
        <f>IF(C547&gt;C546,1,E546+1)</f>
        <v/>
      </c>
      <c r="F547" s="203">
        <f>COUNTIF(C:C,C547)</f>
        <v/>
      </c>
      <c r="G547" s="198">
        <f>+G546+7</f>
        <v/>
      </c>
      <c r="H547" s="361">
        <f>+CO547/CP547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5.5</v>
      </c>
      <c r="CP547" s="970" t="n">
        <v>0.7894600000000001</v>
      </c>
    </row>
    <row r="548">
      <c r="B548" s="204">
        <f>+C548-1</f>
        <v/>
      </c>
      <c r="C548" s="204">
        <f>IF(bands_A!$D$9+1&gt;MONTH(G548),YEAR(G548),YEAR(G548)+1)</f>
        <v/>
      </c>
      <c r="D548" s="204">
        <f>+C548+1</f>
        <v/>
      </c>
      <c r="E548" s="203">
        <f>IF(C548&gt;C547,1,E547+1)</f>
        <v/>
      </c>
      <c r="F548" s="203">
        <f>COUNTIF(C:C,C548)</f>
        <v/>
      </c>
      <c r="G548" s="198">
        <f>+G547+7</f>
        <v/>
      </c>
      <c r="H548" s="361">
        <f>+CO548/CP548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5.26</v>
      </c>
      <c r="CP548" s="971" t="n">
        <v>0.78866</v>
      </c>
    </row>
    <row r="549">
      <c r="B549" s="204">
        <f>+C549-1</f>
        <v/>
      </c>
      <c r="C549" s="204">
        <f>IF(bands_A!$D$9+1&gt;MONTH(G549),YEAR(G549),YEAR(G549)+1)</f>
        <v/>
      </c>
      <c r="D549" s="204">
        <f>+C549+1</f>
        <v/>
      </c>
      <c r="E549" s="203">
        <f>IF(C549&gt;C548,1,E548+1)</f>
        <v/>
      </c>
      <c r="F549" s="203">
        <f>COUNTIF(C:C,C549)</f>
        <v/>
      </c>
      <c r="G549" s="198">
        <f>+G548+7</f>
        <v/>
      </c>
      <c r="H549" s="361">
        <f>+CO549/CP549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5.83</v>
      </c>
      <c r="CP549" s="971" t="n">
        <v>0.78827</v>
      </c>
    </row>
    <row r="550">
      <c r="B550" s="204">
        <f>+C550-1</f>
        <v/>
      </c>
      <c r="C550" s="204">
        <f>IF(bands_A!$D$9+1&gt;MONTH(G550),YEAR(G550),YEAR(G550)+1)</f>
        <v/>
      </c>
      <c r="D550" s="204">
        <f>+C550+1</f>
        <v/>
      </c>
      <c r="E550" s="203">
        <f>IF(C550&gt;C549,1,E549+1)</f>
        <v/>
      </c>
      <c r="F550" s="203">
        <f>COUNTIF(C:C,C550)</f>
        <v/>
      </c>
      <c r="G550" s="198">
        <f>+G549+7</f>
        <v/>
      </c>
      <c r="H550" s="361">
        <f>+CO550/CP550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6.33</v>
      </c>
      <c r="CP550" s="971" t="n">
        <v>0.78979</v>
      </c>
    </row>
    <row r="551">
      <c r="B551" s="204">
        <f>+C551-1</f>
        <v/>
      </c>
      <c r="C551" s="204">
        <f>IF(bands_A!$D$9+1&gt;MONTH(G551),YEAR(G551),YEAR(G551)+1)</f>
        <v/>
      </c>
      <c r="D551" s="204">
        <f>+C551+1</f>
        <v/>
      </c>
      <c r="E551" s="203">
        <f>IF(C551&gt;C550,1,E550+1)</f>
        <v/>
      </c>
      <c r="F551" s="203">
        <f>COUNTIF(C:C,C551)</f>
        <v/>
      </c>
      <c r="G551" s="198">
        <f>+G550+7</f>
        <v/>
      </c>
      <c r="H551" s="361">
        <f>+CO551/CP551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6.08</v>
      </c>
      <c r="CP551" s="971" t="n">
        <v>0.79076</v>
      </c>
    </row>
    <row r="552">
      <c r="B552" s="204">
        <f>+C552-1</f>
        <v/>
      </c>
      <c r="C552" s="204">
        <f>IF(bands_A!$D$9+1&gt;MONTH(G552),YEAR(G552),YEAR(G552)+1)</f>
        <v/>
      </c>
      <c r="D552" s="204">
        <f>+C552+1</f>
        <v/>
      </c>
      <c r="E552" s="203">
        <f>IF(C552&gt;C551,1,E551+1)</f>
        <v/>
      </c>
      <c r="F552" s="203">
        <f>COUNTIF(C:C,C552)</f>
        <v/>
      </c>
      <c r="G552" s="198">
        <f>+G551+7</f>
        <v/>
      </c>
      <c r="H552" s="361">
        <f>+CO552/CP552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6.17</v>
      </c>
      <c r="CP552" s="971" t="n">
        <v>0.78918</v>
      </c>
    </row>
    <row r="553">
      <c r="B553" s="204">
        <f>+C553-1</f>
        <v/>
      </c>
      <c r="C553" s="204">
        <f>IF(bands_A!$D$9+1&gt;MONTH(G553),YEAR(G553),YEAR(G553)+1)</f>
        <v/>
      </c>
      <c r="D553" s="204">
        <f>+C553+1</f>
        <v/>
      </c>
      <c r="E553" s="203">
        <f>IF(C553&gt;C552,1,E552+1)</f>
        <v/>
      </c>
      <c r="F553" s="203">
        <f>COUNTIF(C:C,C553)</f>
        <v/>
      </c>
      <c r="G553" s="198">
        <f>+G552+7</f>
        <v/>
      </c>
      <c r="H553" s="361">
        <f>+CO553/CP553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6.34</v>
      </c>
      <c r="CP553" s="971" t="n">
        <v>0.79216</v>
      </c>
    </row>
    <row r="554">
      <c r="B554" s="204">
        <f>+C554-1</f>
        <v/>
      </c>
      <c r="C554" s="204">
        <f>IF(bands_A!$D$9+1&gt;MONTH(G554),YEAR(G554),YEAR(G554)+1)</f>
        <v/>
      </c>
      <c r="D554" s="204">
        <f>+C554+1</f>
        <v/>
      </c>
      <c r="E554" s="203">
        <f>IF(C554&gt;C553,1,E553+1)</f>
        <v/>
      </c>
      <c r="F554" s="203">
        <f>COUNTIF(C:C,C554)</f>
        <v/>
      </c>
      <c r="G554" s="198">
        <f>+G553+7</f>
        <v/>
      </c>
      <c r="H554" s="361">
        <f>+CO554/CP554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6.97</v>
      </c>
      <c r="CP554" s="971" t="n">
        <v>0.79348</v>
      </c>
    </row>
    <row r="555">
      <c r="B555" s="204">
        <f>+C555-1</f>
        <v/>
      </c>
      <c r="C555" s="204">
        <f>IF(bands_A!$D$9+1&gt;MONTH(G555),YEAR(G555),YEAR(G555)+1)</f>
        <v/>
      </c>
      <c r="D555" s="204">
        <f>+C555+1</f>
        <v/>
      </c>
      <c r="E555" s="203">
        <f>IF(C555&gt;C554,1,E554+1)</f>
        <v/>
      </c>
      <c r="F555" s="203">
        <f>COUNTIF(C:C,C555)</f>
        <v/>
      </c>
      <c r="G555" s="198">
        <f>+G554+7</f>
        <v/>
      </c>
      <c r="H555" s="361">
        <f>+CO555/CP555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7.22</v>
      </c>
      <c r="CP555" s="971" t="n">
        <v>0.79814</v>
      </c>
    </row>
    <row r="556">
      <c r="B556" s="204">
        <f>+C556-1</f>
        <v/>
      </c>
      <c r="C556" s="204">
        <f>IF(bands_A!$D$9+1&gt;MONTH(G556),YEAR(G556),YEAR(G556)+1)</f>
        <v/>
      </c>
      <c r="D556" s="204">
        <f>+C556+1</f>
        <v/>
      </c>
      <c r="E556" s="203">
        <f>IF(C556&gt;C555,1,E555+1)</f>
        <v/>
      </c>
      <c r="F556" s="203">
        <f>COUNTIF(C:C,C556)</f>
        <v/>
      </c>
      <c r="G556" s="198">
        <f>+G555+7</f>
        <v/>
      </c>
      <c r="H556" s="361">
        <f>+CO556/CP556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8.09</v>
      </c>
      <c r="CP556" s="971" t="n">
        <v>0.80258</v>
      </c>
    </row>
    <row r="557">
      <c r="B557" s="204">
        <f>+C557-1</f>
        <v/>
      </c>
      <c r="C557" s="204">
        <f>IF(bands_A!$D$9+1&gt;MONTH(G557),YEAR(G557),YEAR(G557)+1)</f>
        <v/>
      </c>
      <c r="D557" s="204">
        <f>+C557+1</f>
        <v/>
      </c>
      <c r="E557" s="203">
        <f>IF(C557&gt;C556,1,E556+1)</f>
        <v/>
      </c>
      <c r="F557" s="203">
        <f>COUNTIF(C:C,C557)</f>
        <v/>
      </c>
      <c r="G557" s="198">
        <f>+G556+7</f>
        <v/>
      </c>
      <c r="H557" s="361">
        <f>+CO557/CP557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7.59</v>
      </c>
      <c r="CP557" s="971" t="n">
        <v>0.80248</v>
      </c>
    </row>
    <row r="558">
      <c r="B558" s="204">
        <f>+C558-1</f>
        <v/>
      </c>
      <c r="C558" s="204">
        <f>IF(bands_A!$D$9+1&gt;MONTH(G558),YEAR(G558),YEAR(G558)+1)</f>
        <v/>
      </c>
      <c r="D558" s="204">
        <f>+C558+1</f>
        <v/>
      </c>
      <c r="E558" s="203">
        <f>IF(C558&gt;C557,1,E557+1)</f>
        <v/>
      </c>
      <c r="F558" s="203">
        <f>COUNTIF(C:C,C558)</f>
        <v/>
      </c>
      <c r="G558" s="198">
        <f>+G557+7</f>
        <v/>
      </c>
      <c r="H558" s="361">
        <f>+CO558/CP558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8.25</v>
      </c>
      <c r="CP558" s="971" t="n">
        <v>0.80015</v>
      </c>
    </row>
    <row r="559">
      <c r="B559" s="204">
        <f>+C559-1</f>
        <v/>
      </c>
      <c r="C559" s="204">
        <f>IF(bands_A!$D$9+1&gt;MONTH(G559),YEAR(G559),YEAR(G559)+1)</f>
        <v/>
      </c>
      <c r="D559" s="204">
        <f>+C559+1</f>
        <v/>
      </c>
      <c r="E559" s="203">
        <f>IF(C559&gt;C558,1,E558+1)</f>
        <v/>
      </c>
      <c r="F559" s="203">
        <f>COUNTIF(C:C,C559)</f>
        <v/>
      </c>
      <c r="G559" s="198">
        <f>+G558+7</f>
        <v/>
      </c>
      <c r="H559" s="361">
        <f>+CO559/CP559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9.41</v>
      </c>
      <c r="CP559" s="971" t="n">
        <v>0.80108</v>
      </c>
    </row>
    <row r="560">
      <c r="B560" s="204">
        <f>+C560-1</f>
        <v/>
      </c>
      <c r="C560" s="204">
        <f>IF(bands_A!$D$9+1&gt;MONTH(G560),YEAR(G560),YEAR(G560)+1)</f>
        <v/>
      </c>
      <c r="D560" s="204">
        <f>+C560+1</f>
        <v/>
      </c>
      <c r="E560" s="203">
        <f>IF(C560&gt;C559,1,E559+1)</f>
        <v/>
      </c>
      <c r="F560" s="203">
        <f>COUNTIF(C:C,C560)</f>
        <v/>
      </c>
      <c r="G560" s="198">
        <f>+G559+7</f>
        <v/>
      </c>
      <c r="H560" s="361">
        <f>+CO560/CP560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9.550000000000001</v>
      </c>
      <c r="CP560" s="971" t="n">
        <v>0.80062</v>
      </c>
    </row>
    <row r="561">
      <c r="B561" s="204">
        <f>+C561-1</f>
        <v/>
      </c>
      <c r="C561" s="204">
        <f>IF(bands_A!$D$9+1&gt;MONTH(G561),YEAR(G561),YEAR(G561)+1)</f>
        <v/>
      </c>
      <c r="D561" s="204">
        <f>+C561+1</f>
        <v/>
      </c>
      <c r="E561" s="203">
        <f>IF(C561&gt;C560,1,E560+1)</f>
        <v/>
      </c>
      <c r="F561" s="203">
        <f>COUNTIF(C:C,C561)</f>
        <v/>
      </c>
      <c r="G561" s="198">
        <f>+G560+7</f>
        <v/>
      </c>
      <c r="H561" s="361">
        <f>+CO561/CP561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10.28</v>
      </c>
      <c r="CP561" s="971" t="n">
        <v>0.80367</v>
      </c>
    </row>
    <row r="562">
      <c r="B562" s="204">
        <f>+C562-1</f>
        <v/>
      </c>
      <c r="C562" s="204">
        <f>IF(bands_A!$D$9+1&gt;MONTH(G562),YEAR(G562),YEAR(G562)+1)</f>
        <v/>
      </c>
      <c r="D562" s="204">
        <f>+C562+1</f>
        <v/>
      </c>
      <c r="E562" s="203">
        <f>IF(C562&gt;C561,1,E561+1)</f>
        <v/>
      </c>
      <c r="F562" s="203">
        <f>COUNTIF(C:C,C562)</f>
        <v/>
      </c>
      <c r="G562" s="198">
        <f>+G561+7</f>
        <v/>
      </c>
      <c r="H562" s="361">
        <f>+CO562/CP562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0" t="n">
        <v>10.93</v>
      </c>
      <c r="CP562" s="971" t="n">
        <v>0.80684</v>
      </c>
    </row>
    <row r="563">
      <c r="B563" s="204">
        <f>+C563-1</f>
        <v/>
      </c>
      <c r="C563" s="204">
        <f>IF(bands_A!$D$9+1&gt;MONTH(G563),YEAR(G563),YEAR(G563)+1)</f>
        <v/>
      </c>
      <c r="D563" s="204">
        <f>+C563+1</f>
        <v/>
      </c>
      <c r="E563" s="203">
        <f>IF(C563&gt;C562,1,E562+1)</f>
        <v/>
      </c>
      <c r="F563" s="203">
        <f>COUNTIF(C:C,C563)</f>
        <v/>
      </c>
      <c r="G563" s="198">
        <f>+G562+7</f>
        <v/>
      </c>
      <c r="H563" s="361">
        <f>+CO563/CP563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0" t="n">
        <v>10.26</v>
      </c>
      <c r="CP563" s="972" t="n">
        <v>0.8054</v>
      </c>
    </row>
    <row r="564">
      <c r="B564" s="204">
        <f>+C564-1</f>
        <v/>
      </c>
      <c r="C564" s="204">
        <f>IF(bands_A!$D$9+1&gt;MONTH(G564),YEAR(G564),YEAR(G564)+1)</f>
        <v/>
      </c>
      <c r="D564" s="204">
        <f>+C564+1</f>
        <v/>
      </c>
      <c r="E564" s="203">
        <f>IF(C564&gt;C563,1,E563+1)</f>
        <v/>
      </c>
      <c r="F564" s="203">
        <f>COUNTIF(C:C,C564)</f>
        <v/>
      </c>
      <c r="G564" s="198">
        <f>+G563+7</f>
        <v/>
      </c>
      <c r="H564" s="361">
        <f>+CO564/CP564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t="n">
        <v>9.789999999999999</v>
      </c>
      <c r="CP564" s="972" t="n">
        <v>0.80516</v>
      </c>
    </row>
    <row r="565">
      <c r="B565" s="204">
        <f>+C565-1</f>
        <v/>
      </c>
      <c r="C565" s="204">
        <f>IF(bands_A!$D$9+1&gt;MONTH(G565),YEAR(G565),YEAR(G565)+1)</f>
        <v/>
      </c>
      <c r="D565" s="204">
        <f>+C565+1</f>
        <v/>
      </c>
      <c r="E565" s="203">
        <f>IF(C565&gt;C564,1,E564+1)</f>
        <v/>
      </c>
      <c r="F565" s="203">
        <f>COUNTIF(C:C,C565)</f>
        <v/>
      </c>
      <c r="G565" s="198">
        <f>+G564+7</f>
        <v/>
      </c>
      <c r="H565" s="361">
        <f>+CO565/CP565</f>
        <v/>
      </c>
      <c r="I565" s="968">
        <f>H565/M565</f>
        <v/>
      </c>
      <c r="J565" s="968">
        <f>H565/N565</f>
        <v/>
      </c>
      <c r="K565" s="968">
        <f>(H565+Q565)/O565</f>
        <v/>
      </c>
      <c r="L565" s="968">
        <f>(H565+Q565)/P565</f>
        <v/>
      </c>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f>H565/(HLOOKUP(B:B,$4:$10,3,FALSE)+((HLOOKUP(C:C,$4:$10,3,FALSE)-HLOOKUP(B:B,$4:$10,3,FALSE))*E565/F565))</f>
        <v/>
      </c>
      <c r="V565" s="969">
        <f>HLOOKUP(B:B,$4:$10,7,FALSE)+((HLOOKUP(C:C,$4:$10,7,FALSE)-HLOOKUP(B:B,$4:$10,7,FALSE))*E565/F565)</f>
        <v/>
      </c>
      <c r="AB565" s="198">
        <f>$G565</f>
        <v/>
      </c>
      <c r="AC565" s="199">
        <f>$H565</f>
        <v/>
      </c>
      <c r="AD565" s="199">
        <f>$M565*AD$34</f>
        <v/>
      </c>
      <c r="AE565" s="199">
        <f>$M565*AE$34</f>
        <v/>
      </c>
      <c r="AF565" s="199">
        <f>$M565*AF$34</f>
        <v/>
      </c>
      <c r="AG565" s="199">
        <f>$M565*AG$34</f>
        <v/>
      </c>
      <c r="AH565" s="199">
        <f>$M565*AH$34</f>
        <v/>
      </c>
      <c r="AJ565" s="198">
        <f>$G565</f>
        <v/>
      </c>
      <c r="AK565" s="199">
        <f>$H565</f>
        <v/>
      </c>
      <c r="AL565" s="199">
        <f>$N565*AL$34</f>
        <v/>
      </c>
      <c r="AM565" s="199">
        <f>$N565*AM$34</f>
        <v/>
      </c>
      <c r="AN565" s="199">
        <f>$N565*AN$34</f>
        <v/>
      </c>
      <c r="AO565" s="199">
        <f>$N565*AO$34</f>
        <v/>
      </c>
      <c r="AP565" s="199">
        <f>$N565*AP$34</f>
        <v/>
      </c>
      <c r="AR565" s="198">
        <f>$G565</f>
        <v/>
      </c>
      <c r="AS565" s="199">
        <f>$H565</f>
        <v/>
      </c>
      <c r="AT565" s="199">
        <f>$O565*AT$34-$Q565</f>
        <v/>
      </c>
      <c r="AU565" s="199">
        <f>$O565*AU$34-$Q565</f>
        <v/>
      </c>
      <c r="AV565" s="199">
        <f>$O565*AV$34-$Q565</f>
        <v/>
      </c>
      <c r="AW565" s="199">
        <f>$O565*AW$34-$Q565</f>
        <v/>
      </c>
      <c r="AX565" s="199">
        <f>$O565*AX$34-$Q565</f>
        <v/>
      </c>
      <c r="AZ565" s="198">
        <f>$G565</f>
        <v/>
      </c>
      <c r="BA565" s="199">
        <f>$H565</f>
        <v/>
      </c>
      <c r="BB565" s="199">
        <f>$P565*BB$34-$Q565</f>
        <v/>
      </c>
      <c r="BC565" s="199">
        <f>$P565*BC$34-$Q565</f>
        <v/>
      </c>
      <c r="BD565" s="199">
        <f>$P565*BD$34-$Q565</f>
        <v/>
      </c>
      <c r="BE565" s="199">
        <f>$P565*BE$34-$Q565</f>
        <v/>
      </c>
      <c r="BF565" s="199">
        <f>$P565*BF$34-$Q565</f>
        <v/>
      </c>
      <c r="BH565" s="198">
        <f>$G565</f>
        <v/>
      </c>
      <c r="BI565" s="197">
        <f>$I565</f>
        <v/>
      </c>
      <c r="BJ565" s="197">
        <f>IF(ISBLANK(BJ566),AVERAGE($I$53:$I565)-STDEV($I$53:$I565)*2,BJ566)</f>
        <v/>
      </c>
      <c r="BK565" s="197">
        <f>IF(ISBLANK(BK566),AVERAGE($I$53:$I565)-STDEV($I$53:$I565),BK566)</f>
        <v/>
      </c>
      <c r="BL565" s="197">
        <f>IF(ISBLANK(BL566),AVERAGE($I$53:$I565),BL566)</f>
        <v/>
      </c>
      <c r="BM565" s="197">
        <f>IF(ISBLANK(BM566),AVERAGE($I$53:$I565)+STDEV($I$53:$I565),BM566)</f>
        <v/>
      </c>
      <c r="BN565" s="197">
        <f>IF(ISBLANK(BN566),AVERAGE($I$53:$I565)+STDEV($I$53:$I565)*2,BN566)</f>
        <v/>
      </c>
      <c r="BP565" s="198">
        <f>$G565</f>
        <v/>
      </c>
      <c r="BQ565" s="197">
        <f>$J565</f>
        <v/>
      </c>
      <c r="BR565" s="197">
        <f>IF(ISBLANK(BR566),AVERAGE($J$53:$J565)-STDEV($J$53:$J565)*2,BR566)</f>
        <v/>
      </c>
      <c r="BS565" s="197">
        <f>IF(ISBLANK(BS566),AVERAGE($J$53:$J565)-STDEV($J$53:$J565),BS566)</f>
        <v/>
      </c>
      <c r="BT565" s="197">
        <f>IF(ISBLANK(BT566),AVERAGE($J$53:$J565),BT566)</f>
        <v/>
      </c>
      <c r="BU565" s="197">
        <f>IF(ISBLANK(BU566),AVERAGE($J$53:$J565)+STDEV($J$53:$J565),BU566)</f>
        <v/>
      </c>
      <c r="BV565" s="197">
        <f>IF(ISBLANK(BV566),AVERAGE($J$53:$J565)+STDEV($J$53:$J565)*2,BV566)</f>
        <v/>
      </c>
      <c r="BX565" s="198">
        <f>$G565</f>
        <v/>
      </c>
      <c r="BY565" s="197">
        <f>$K565</f>
        <v/>
      </c>
      <c r="BZ565" s="197">
        <f>IF(ISBLANK(BZ566),AVERAGE($K$53:$K565)-STDEV($K$53:$K565)*2,BZ566)</f>
        <v/>
      </c>
      <c r="CA565" s="197">
        <f>IF(ISBLANK(CA566),AVERAGE($K$53:$K565)-STDEV($K$53:$K565),CA566)</f>
        <v/>
      </c>
      <c r="CB565" s="197">
        <f>IF(ISBLANK(CB566),AVERAGE($K$53:$K565),CB566)</f>
        <v/>
      </c>
      <c r="CC565" s="197">
        <f>IF(ISBLANK(CC566),AVERAGE($K$53:$K565)+STDEV($K$53:$K565),CC566)</f>
        <v/>
      </c>
      <c r="CD565" s="197">
        <f>IF(ISBLANK(CD566),AVERAGE($K$53:$K565)+STDEV($K$53:$K565)*2,CD566)</f>
        <v/>
      </c>
      <c r="CF565" s="198">
        <f>$G565</f>
        <v/>
      </c>
      <c r="CG565" s="197">
        <f>$L565</f>
        <v/>
      </c>
      <c r="CH565" s="197">
        <f>IF(ISBLANK(CH566),AVERAGE($L$53:$L565)-STDEV($L$53:$L565)*2,CH566)</f>
        <v/>
      </c>
      <c r="CI565" s="197">
        <f>IF(ISBLANK(CI566),AVERAGE($L$53:$L565)-STDEV($L$53:$L565),CI566)</f>
        <v/>
      </c>
      <c r="CJ565" s="197">
        <f>IF(ISBLANK(CJ566),AVERAGE($L$53:$L565),CJ566)</f>
        <v/>
      </c>
      <c r="CK565" s="197">
        <f>IF(ISBLANK(CK566),AVERAGE($L$53:$L565)+STDEV($L$53:$L565),CK566)</f>
        <v/>
      </c>
      <c r="CL565" s="197">
        <f>IF(ISBLANK(CL566),AVERAGE($L$53:$L565)+STDEV($L$53:$L565)*2,CL566)</f>
        <v/>
      </c>
      <c r="CO565" s="370" t="n">
        <v>9.699999999999999</v>
      </c>
      <c r="CP565" s="972" t="n">
        <v>0.80615</v>
      </c>
    </row>
    <row r="566">
      <c r="B566" s="204">
        <f>+C566-1</f>
        <v/>
      </c>
      <c r="C566" s="204">
        <f>IF(bands_A!$D$9+1&gt;MONTH(G566),YEAR(G566),YEAR(G566)+1)</f>
        <v/>
      </c>
      <c r="D566" s="204">
        <f>+C566+1</f>
        <v/>
      </c>
      <c r="E566" s="203">
        <f>IF(C566&gt;C565,1,E565+1)</f>
        <v/>
      </c>
      <c r="F566" s="203">
        <f>COUNTIF(C:C,C566)</f>
        <v/>
      </c>
      <c r="G566" s="198">
        <f>+G565+7</f>
        <v/>
      </c>
      <c r="H566" s="361">
        <f>+CO566/CP566</f>
        <v/>
      </c>
      <c r="I566" s="968">
        <f>H566/M566</f>
        <v/>
      </c>
      <c r="J566" s="968">
        <f>H566/N566</f>
        <v/>
      </c>
      <c r="K566" s="968">
        <f>(H566+Q566)/O566</f>
        <v/>
      </c>
      <c r="L566" s="968">
        <f>(H566+Q566)/P566</f>
        <v/>
      </c>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f>H566/(HLOOKUP(B:B,$4:$10,3,FALSE)+((HLOOKUP(C:C,$4:$10,3,FALSE)-HLOOKUP(B:B,$4:$10,3,FALSE))*E566/F566))</f>
        <v/>
      </c>
      <c r="V566" s="969">
        <f>HLOOKUP(B:B,$4:$10,7,FALSE)+((HLOOKUP(C:C,$4:$10,7,FALSE)-HLOOKUP(B:B,$4:$10,7,FALSE))*E566/F566)</f>
        <v/>
      </c>
      <c r="AB566" s="198">
        <f>$G566</f>
        <v/>
      </c>
      <c r="AC566" s="199">
        <f>$H566</f>
        <v/>
      </c>
      <c r="AD566" s="199">
        <f>$M566*AD$34</f>
        <v/>
      </c>
      <c r="AE566" s="199">
        <f>$M566*AE$34</f>
        <v/>
      </c>
      <c r="AF566" s="199">
        <f>$M566*AF$34</f>
        <v/>
      </c>
      <c r="AG566" s="199">
        <f>$M566*AG$34</f>
        <v/>
      </c>
      <c r="AH566" s="199">
        <f>$M566*AH$34</f>
        <v/>
      </c>
      <c r="AJ566" s="198">
        <f>$G566</f>
        <v/>
      </c>
      <c r="AK566" s="199">
        <f>$H566</f>
        <v/>
      </c>
      <c r="AL566" s="199">
        <f>$N566*AL$34</f>
        <v/>
      </c>
      <c r="AM566" s="199">
        <f>$N566*AM$34</f>
        <v/>
      </c>
      <c r="AN566" s="199">
        <f>$N566*AN$34</f>
        <v/>
      </c>
      <c r="AO566" s="199">
        <f>$N566*AO$34</f>
        <v/>
      </c>
      <c r="AP566" s="199">
        <f>$N566*AP$34</f>
        <v/>
      </c>
      <c r="AR566" s="198">
        <f>$G566</f>
        <v/>
      </c>
      <c r="AS566" s="199">
        <f>$H566</f>
        <v/>
      </c>
      <c r="AT566" s="199">
        <f>$O566*AT$34-$Q566</f>
        <v/>
      </c>
      <c r="AU566" s="199">
        <f>$O566*AU$34-$Q566</f>
        <v/>
      </c>
      <c r="AV566" s="199">
        <f>$O566*AV$34-$Q566</f>
        <v/>
      </c>
      <c r="AW566" s="199">
        <f>$O566*AW$34-$Q566</f>
        <v/>
      </c>
      <c r="AX566" s="199">
        <f>$O566*AX$34-$Q566</f>
        <v/>
      </c>
      <c r="AZ566" s="198">
        <f>$G566</f>
        <v/>
      </c>
      <c r="BA566" s="199">
        <f>$H566</f>
        <v/>
      </c>
      <c r="BB566" s="199">
        <f>$P566*BB$34-$Q566</f>
        <v/>
      </c>
      <c r="BC566" s="199">
        <f>$P566*BC$34-$Q566</f>
        <v/>
      </c>
      <c r="BD566" s="199">
        <f>$P566*BD$34-$Q566</f>
        <v/>
      </c>
      <c r="BE566" s="199">
        <f>$P566*BE$34-$Q566</f>
        <v/>
      </c>
      <c r="BF566" s="199">
        <f>$P566*BF$34-$Q566</f>
        <v/>
      </c>
      <c r="BH566" s="198">
        <f>$G566</f>
        <v/>
      </c>
      <c r="BI566" s="197">
        <f>$I566</f>
        <v/>
      </c>
      <c r="BJ566" s="197">
        <f>IF(ISBLANK(BJ567),AVERAGE($I$53:$I566)-STDEV($I$53:$I566)*2,BJ567)</f>
        <v/>
      </c>
      <c r="BK566" s="197">
        <f>IF(ISBLANK(BK567),AVERAGE($I$53:$I566)-STDEV($I$53:$I566),BK567)</f>
        <v/>
      </c>
      <c r="BL566" s="197">
        <f>IF(ISBLANK(BL567),AVERAGE($I$53:$I566),BL567)</f>
        <v/>
      </c>
      <c r="BM566" s="197">
        <f>IF(ISBLANK(BM567),AVERAGE($I$53:$I566)+STDEV($I$53:$I566),BM567)</f>
        <v/>
      </c>
      <c r="BN566" s="197">
        <f>IF(ISBLANK(BN567),AVERAGE($I$53:$I566)+STDEV($I$53:$I566)*2,BN567)</f>
        <v/>
      </c>
      <c r="BP566" s="198">
        <f>$G566</f>
        <v/>
      </c>
      <c r="BQ566" s="197">
        <f>$J566</f>
        <v/>
      </c>
      <c r="BR566" s="197">
        <f>IF(ISBLANK(BR567),AVERAGE($J$53:$J566)-STDEV($J$53:$J566)*2,BR567)</f>
        <v/>
      </c>
      <c r="BS566" s="197">
        <f>IF(ISBLANK(BS567),AVERAGE($J$53:$J566)-STDEV($J$53:$J566),BS567)</f>
        <v/>
      </c>
      <c r="BT566" s="197">
        <f>IF(ISBLANK(BT567),AVERAGE($J$53:$J566),BT567)</f>
        <v/>
      </c>
      <c r="BU566" s="197">
        <f>IF(ISBLANK(BU567),AVERAGE($J$53:$J566)+STDEV($J$53:$J566),BU567)</f>
        <v/>
      </c>
      <c r="BV566" s="197">
        <f>IF(ISBLANK(BV567),AVERAGE($J$53:$J566)+STDEV($J$53:$J566)*2,BV567)</f>
        <v/>
      </c>
      <c r="BX566" s="198">
        <f>$G566</f>
        <v/>
      </c>
      <c r="BY566" s="197">
        <f>$K566</f>
        <v/>
      </c>
      <c r="BZ566" s="197">
        <f>IF(ISBLANK(BZ567),AVERAGE($K$53:$K566)-STDEV($K$53:$K566)*2,BZ567)</f>
        <v/>
      </c>
      <c r="CA566" s="197">
        <f>IF(ISBLANK(CA567),AVERAGE($K$53:$K566)-STDEV($K$53:$K566),CA567)</f>
        <v/>
      </c>
      <c r="CB566" s="197">
        <f>IF(ISBLANK(CB567),AVERAGE($K$53:$K566),CB567)</f>
        <v/>
      </c>
      <c r="CC566" s="197">
        <f>IF(ISBLANK(CC567),AVERAGE($K$53:$K566)+STDEV($K$53:$K566),CC567)</f>
        <v/>
      </c>
      <c r="CD566" s="197">
        <f>IF(ISBLANK(CD567),AVERAGE($K$53:$K566)+STDEV($K$53:$K566)*2,CD567)</f>
        <v/>
      </c>
      <c r="CF566" s="198">
        <f>$G566</f>
        <v/>
      </c>
      <c r="CG566" s="197">
        <f>$L566</f>
        <v/>
      </c>
      <c r="CH566" s="197">
        <f>IF(ISBLANK(CH567),AVERAGE($L$53:$L566)-STDEV($L$53:$L566)*2,CH567)</f>
        <v/>
      </c>
      <c r="CI566" s="197">
        <f>IF(ISBLANK(CI567),AVERAGE($L$53:$L566)-STDEV($L$53:$L566),CI567)</f>
        <v/>
      </c>
      <c r="CJ566" s="197">
        <f>IF(ISBLANK(CJ567),AVERAGE($L$53:$L566),CJ567)</f>
        <v/>
      </c>
      <c r="CK566" s="197">
        <f>IF(ISBLANK(CK567),AVERAGE($L$53:$L566)+STDEV($L$53:$L566),CK567)</f>
        <v/>
      </c>
      <c r="CL566" s="197">
        <f>IF(ISBLANK(CL567),AVERAGE($L$53:$L566)+STDEV($L$53:$L566)*2,CL567)</f>
        <v/>
      </c>
      <c r="CO566" s="370" t="n">
        <v>10.11</v>
      </c>
      <c r="CP566" s="972" t="n">
        <v>0.80806</v>
      </c>
    </row>
    <row r="567">
      <c r="B567" s="204">
        <f>+C567-1</f>
        <v/>
      </c>
      <c r="C567" s="204">
        <f>IF(bands_A!$D$9+1&gt;MONTH(G567),YEAR(G567),YEAR(G567)+1)</f>
        <v/>
      </c>
      <c r="D567" s="204">
        <f>+C567+1</f>
        <v/>
      </c>
      <c r="E567" s="203">
        <f>IF(C567&gt;C566,1,E566+1)</f>
        <v/>
      </c>
      <c r="F567" s="203">
        <f>COUNTIF(C:C,C567)</f>
        <v/>
      </c>
      <c r="G567" s="198">
        <f>+G566+7</f>
        <v/>
      </c>
      <c r="H567" s="361">
        <f>+CO567/CP567</f>
        <v/>
      </c>
      <c r="I567" s="968">
        <f>H567/M567</f>
        <v/>
      </c>
      <c r="J567" s="968">
        <f>H567/N567</f>
        <v/>
      </c>
      <c r="K567" s="968">
        <f>(H567+Q567)/O567</f>
        <v/>
      </c>
      <c r="L567" s="968">
        <f>(H567+Q567)/P567</f>
        <v/>
      </c>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f>H567/(HLOOKUP(B:B,$4:$10,3,FALSE)+((HLOOKUP(C:C,$4:$10,3,FALSE)-HLOOKUP(B:B,$4:$10,3,FALSE))*E567/F567))</f>
        <v/>
      </c>
      <c r="V567" s="969">
        <f>HLOOKUP(B:B,$4:$10,7,FALSE)+((HLOOKUP(C:C,$4:$10,7,FALSE)-HLOOKUP(B:B,$4:$10,7,FALSE))*E567/F567)</f>
        <v/>
      </c>
      <c r="AB567" s="198">
        <f>$G567</f>
        <v/>
      </c>
      <c r="AC567" s="199">
        <f>$H567</f>
        <v/>
      </c>
      <c r="AD567" s="199">
        <f>$M567*AD$34</f>
        <v/>
      </c>
      <c r="AE567" s="199">
        <f>$M567*AE$34</f>
        <v/>
      </c>
      <c r="AF567" s="199">
        <f>$M567*AF$34</f>
        <v/>
      </c>
      <c r="AG567" s="199">
        <f>$M567*AG$34</f>
        <v/>
      </c>
      <c r="AH567" s="199">
        <f>$M567*AH$34</f>
        <v/>
      </c>
      <c r="AJ567" s="198">
        <f>$G567</f>
        <v/>
      </c>
      <c r="AK567" s="199">
        <f>$H567</f>
        <v/>
      </c>
      <c r="AL567" s="199">
        <f>$N567*AL$34</f>
        <v/>
      </c>
      <c r="AM567" s="199">
        <f>$N567*AM$34</f>
        <v/>
      </c>
      <c r="AN567" s="199">
        <f>$N567*AN$34</f>
        <v/>
      </c>
      <c r="AO567" s="199">
        <f>$N567*AO$34</f>
        <v/>
      </c>
      <c r="AP567" s="199">
        <f>$N567*AP$34</f>
        <v/>
      </c>
      <c r="AR567" s="198">
        <f>$G567</f>
        <v/>
      </c>
      <c r="AS567" s="199">
        <f>$H567</f>
        <v/>
      </c>
      <c r="AT567" s="199">
        <f>$O567*AT$34-$Q567</f>
        <v/>
      </c>
      <c r="AU567" s="199">
        <f>$O567*AU$34-$Q567</f>
        <v/>
      </c>
      <c r="AV567" s="199">
        <f>$O567*AV$34-$Q567</f>
        <v/>
      </c>
      <c r="AW567" s="199">
        <f>$O567*AW$34-$Q567</f>
        <v/>
      </c>
      <c r="AX567" s="199">
        <f>$O567*AX$34-$Q567</f>
        <v/>
      </c>
      <c r="AZ567" s="198">
        <f>$G567</f>
        <v/>
      </c>
      <c r="BA567" s="199">
        <f>$H567</f>
        <v/>
      </c>
      <c r="BB567" s="199">
        <f>$P567*BB$34-$Q567</f>
        <v/>
      </c>
      <c r="BC567" s="199">
        <f>$P567*BC$34-$Q567</f>
        <v/>
      </c>
      <c r="BD567" s="199">
        <f>$P567*BD$34-$Q567</f>
        <v/>
      </c>
      <c r="BE567" s="199">
        <f>$P567*BE$34-$Q567</f>
        <v/>
      </c>
      <c r="BF567" s="199">
        <f>$P567*BF$34-$Q567</f>
        <v/>
      </c>
      <c r="BH567" s="198">
        <f>$G567</f>
        <v/>
      </c>
      <c r="BI567" s="197">
        <f>$I567</f>
        <v/>
      </c>
      <c r="BJ567" s="197">
        <f>IF(ISBLANK(BJ568),AVERAGE($I$53:$I567)-STDEV($I$53:$I567)*2,BJ568)</f>
        <v/>
      </c>
      <c r="BK567" s="197">
        <f>IF(ISBLANK(BK568),AVERAGE($I$53:$I567)-STDEV($I$53:$I567),BK568)</f>
        <v/>
      </c>
      <c r="BL567" s="197">
        <f>IF(ISBLANK(BL568),AVERAGE($I$53:$I567),BL568)</f>
        <v/>
      </c>
      <c r="BM567" s="197">
        <f>IF(ISBLANK(BM568),AVERAGE($I$53:$I567)+STDEV($I$53:$I567),BM568)</f>
        <v/>
      </c>
      <c r="BN567" s="197">
        <f>IF(ISBLANK(BN568),AVERAGE($I$53:$I567)+STDEV($I$53:$I567)*2,BN568)</f>
        <v/>
      </c>
      <c r="BP567" s="198">
        <f>$G567</f>
        <v/>
      </c>
      <c r="BQ567" s="197">
        <f>$J567</f>
        <v/>
      </c>
      <c r="BR567" s="197">
        <f>IF(ISBLANK(BR568),AVERAGE($J$53:$J567)-STDEV($J$53:$J567)*2,BR568)</f>
        <v/>
      </c>
      <c r="BS567" s="197">
        <f>IF(ISBLANK(BS568),AVERAGE($J$53:$J567)-STDEV($J$53:$J567),BS568)</f>
        <v/>
      </c>
      <c r="BT567" s="197">
        <f>IF(ISBLANK(BT568),AVERAGE($J$53:$J567),BT568)</f>
        <v/>
      </c>
      <c r="BU567" s="197">
        <f>IF(ISBLANK(BU568),AVERAGE($J$53:$J567)+STDEV($J$53:$J567),BU568)</f>
        <v/>
      </c>
      <c r="BV567" s="197">
        <f>IF(ISBLANK(BV568),AVERAGE($J$53:$J567)+STDEV($J$53:$J567)*2,BV568)</f>
        <v/>
      </c>
      <c r="BX567" s="198">
        <f>$G567</f>
        <v/>
      </c>
      <c r="BY567" s="197">
        <f>$K567</f>
        <v/>
      </c>
      <c r="BZ567" s="197">
        <f>IF(ISBLANK(BZ568),AVERAGE($K$53:$K567)-STDEV($K$53:$K567)*2,BZ568)</f>
        <v/>
      </c>
      <c r="CA567" s="197">
        <f>IF(ISBLANK(CA568),AVERAGE($K$53:$K567)-STDEV($K$53:$K567),CA568)</f>
        <v/>
      </c>
      <c r="CB567" s="197">
        <f>IF(ISBLANK(CB568),AVERAGE($K$53:$K567),CB568)</f>
        <v/>
      </c>
      <c r="CC567" s="197">
        <f>IF(ISBLANK(CC568),AVERAGE($K$53:$K567)+STDEV($K$53:$K567),CC568)</f>
        <v/>
      </c>
      <c r="CD567" s="197">
        <f>IF(ISBLANK(CD568),AVERAGE($K$53:$K567)+STDEV($K$53:$K567)*2,CD568)</f>
        <v/>
      </c>
      <c r="CF567" s="198">
        <f>$G567</f>
        <v/>
      </c>
      <c r="CG567" s="197">
        <f>$L567</f>
        <v/>
      </c>
      <c r="CH567" s="197">
        <f>IF(ISBLANK(CH568),AVERAGE($L$53:$L567)-STDEV($L$53:$L567)*2,CH568)</f>
        <v/>
      </c>
      <c r="CI567" s="197">
        <f>IF(ISBLANK(CI568),AVERAGE($L$53:$L567)-STDEV($L$53:$L567),CI568)</f>
        <v/>
      </c>
      <c r="CJ567" s="197">
        <f>IF(ISBLANK(CJ568),AVERAGE($L$53:$L567),CJ568)</f>
        <v/>
      </c>
      <c r="CK567" s="197">
        <f>IF(ISBLANK(CK568),AVERAGE($L$53:$L567)+STDEV($L$53:$L567),CK568)</f>
        <v/>
      </c>
      <c r="CL567" s="197">
        <f>IF(ISBLANK(CL568),AVERAGE($L$53:$L567)+STDEV($L$53:$L567)*2,CL568)</f>
        <v/>
      </c>
      <c r="CO567" s="370" t="n">
        <v>10.13</v>
      </c>
      <c r="CP567" s="972" t="n">
        <v>0.8076</v>
      </c>
    </row>
    <row r="568">
      <c r="B568" s="204">
        <f>+C568-1</f>
        <v/>
      </c>
      <c r="C568" s="204">
        <f>IF(bands_A!$D$9+1&gt;MONTH(G568),YEAR(G568),YEAR(G568)+1)</f>
        <v/>
      </c>
      <c r="D568" s="204">
        <f>+C568+1</f>
        <v/>
      </c>
      <c r="E568" s="203">
        <f>IF(C568&gt;C567,1,E567+1)</f>
        <v/>
      </c>
      <c r="F568" s="203">
        <f>COUNTIF(C:C,C568)</f>
        <v/>
      </c>
      <c r="G568" s="198">
        <f>+G567+7</f>
        <v/>
      </c>
      <c r="H568" s="361">
        <f>+CO568/CP568</f>
        <v/>
      </c>
      <c r="I568" s="968">
        <f>H568/M568</f>
        <v/>
      </c>
      <c r="J568" s="968">
        <f>H568/N568</f>
        <v/>
      </c>
      <c r="K568" s="968">
        <f>(H568+Q568)/O568</f>
        <v/>
      </c>
      <c r="L568" s="968">
        <f>(H568+Q568)/P568</f>
        <v/>
      </c>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f>H568/(HLOOKUP(B:B,$4:$10,3,FALSE)+((HLOOKUP(C:C,$4:$10,3,FALSE)-HLOOKUP(B:B,$4:$10,3,FALSE))*E568/F568))</f>
        <v/>
      </c>
      <c r="V568" s="969">
        <f>HLOOKUP(B:B,$4:$10,7,FALSE)+((HLOOKUP(C:C,$4:$10,7,FALSE)-HLOOKUP(B:B,$4:$10,7,FALSE))*E568/F568)</f>
        <v/>
      </c>
      <c r="AB568" s="198">
        <f>$G568</f>
        <v/>
      </c>
      <c r="AC568" s="199">
        <f>$H568</f>
        <v/>
      </c>
      <c r="AD568" s="199">
        <f>$M568*AD$34</f>
        <v/>
      </c>
      <c r="AE568" s="199">
        <f>$M568*AE$34</f>
        <v/>
      </c>
      <c r="AF568" s="199">
        <f>$M568*AF$34</f>
        <v/>
      </c>
      <c r="AG568" s="199">
        <f>$M568*AG$34</f>
        <v/>
      </c>
      <c r="AH568" s="199">
        <f>$M568*AH$34</f>
        <v/>
      </c>
      <c r="AJ568" s="198">
        <f>$G568</f>
        <v/>
      </c>
      <c r="AK568" s="199">
        <f>$H568</f>
        <v/>
      </c>
      <c r="AL568" s="199">
        <f>$N568*AL$34</f>
        <v/>
      </c>
      <c r="AM568" s="199">
        <f>$N568*AM$34</f>
        <v/>
      </c>
      <c r="AN568" s="199">
        <f>$N568*AN$34</f>
        <v/>
      </c>
      <c r="AO568" s="199">
        <f>$N568*AO$34</f>
        <v/>
      </c>
      <c r="AP568" s="199">
        <f>$N568*AP$34</f>
        <v/>
      </c>
      <c r="AR568" s="198">
        <f>$G568</f>
        <v/>
      </c>
      <c r="AS568" s="199">
        <f>$H568</f>
        <v/>
      </c>
      <c r="AT568" s="199">
        <f>$O568*AT$34-$Q568</f>
        <v/>
      </c>
      <c r="AU568" s="199">
        <f>$O568*AU$34-$Q568</f>
        <v/>
      </c>
      <c r="AV568" s="199">
        <f>$O568*AV$34-$Q568</f>
        <v/>
      </c>
      <c r="AW568" s="199">
        <f>$O568*AW$34-$Q568</f>
        <v/>
      </c>
      <c r="AX568" s="199">
        <f>$O568*AX$34-$Q568</f>
        <v/>
      </c>
      <c r="AZ568" s="198">
        <f>$G568</f>
        <v/>
      </c>
      <c r="BA568" s="199">
        <f>$H568</f>
        <v/>
      </c>
      <c r="BB568" s="199">
        <f>$P568*BB$34-$Q568</f>
        <v/>
      </c>
      <c r="BC568" s="199">
        <f>$P568*BC$34-$Q568</f>
        <v/>
      </c>
      <c r="BD568" s="199">
        <f>$P568*BD$34-$Q568</f>
        <v/>
      </c>
      <c r="BE568" s="199">
        <f>$P568*BE$34-$Q568</f>
        <v/>
      </c>
      <c r="BF568" s="199">
        <f>$P568*BF$34-$Q568</f>
        <v/>
      </c>
      <c r="BH568" s="198">
        <f>$G568</f>
        <v/>
      </c>
      <c r="BI568" s="197">
        <f>$I568</f>
        <v/>
      </c>
      <c r="BJ568" s="197">
        <f>IF(ISBLANK(BJ569),AVERAGE($I$53:$I568)-STDEV($I$53:$I568)*2,BJ569)</f>
        <v/>
      </c>
      <c r="BK568" s="197">
        <f>IF(ISBLANK(BK569),AVERAGE($I$53:$I568)-STDEV($I$53:$I568),BK569)</f>
        <v/>
      </c>
      <c r="BL568" s="197">
        <f>IF(ISBLANK(BL569),AVERAGE($I$53:$I568),BL569)</f>
        <v/>
      </c>
      <c r="BM568" s="197">
        <f>IF(ISBLANK(BM569),AVERAGE($I$53:$I568)+STDEV($I$53:$I568),BM569)</f>
        <v/>
      </c>
      <c r="BN568" s="197">
        <f>IF(ISBLANK(BN569),AVERAGE($I$53:$I568)+STDEV($I$53:$I568)*2,BN569)</f>
        <v/>
      </c>
      <c r="BP568" s="198">
        <f>$G568</f>
        <v/>
      </c>
      <c r="BQ568" s="197">
        <f>$J568</f>
        <v/>
      </c>
      <c r="BR568" s="197">
        <f>IF(ISBLANK(BR569),AVERAGE($J$53:$J568)-STDEV($J$53:$J568)*2,BR569)</f>
        <v/>
      </c>
      <c r="BS568" s="197">
        <f>IF(ISBLANK(BS569),AVERAGE($J$53:$J568)-STDEV($J$53:$J568),BS569)</f>
        <v/>
      </c>
      <c r="BT568" s="197">
        <f>IF(ISBLANK(BT569),AVERAGE($J$53:$J568),BT569)</f>
        <v/>
      </c>
      <c r="BU568" s="197">
        <f>IF(ISBLANK(BU569),AVERAGE($J$53:$J568)+STDEV($J$53:$J568),BU569)</f>
        <v/>
      </c>
      <c r="BV568" s="197">
        <f>IF(ISBLANK(BV569),AVERAGE($J$53:$J568)+STDEV($J$53:$J568)*2,BV569)</f>
        <v/>
      </c>
      <c r="BX568" s="198">
        <f>$G568</f>
        <v/>
      </c>
      <c r="BY568" s="197">
        <f>$K568</f>
        <v/>
      </c>
      <c r="BZ568" s="197">
        <f>IF(ISBLANK(BZ569),AVERAGE($K$53:$K568)-STDEV($K$53:$K568)*2,BZ569)</f>
        <v/>
      </c>
      <c r="CA568" s="197">
        <f>IF(ISBLANK(CA569),AVERAGE($K$53:$K568)-STDEV($K$53:$K568),CA569)</f>
        <v/>
      </c>
      <c r="CB568" s="197">
        <f>IF(ISBLANK(CB569),AVERAGE($K$53:$K568),CB569)</f>
        <v/>
      </c>
      <c r="CC568" s="197">
        <f>IF(ISBLANK(CC569),AVERAGE($K$53:$K568)+STDEV($K$53:$K568),CC569)</f>
        <v/>
      </c>
      <c r="CD568" s="197">
        <f>IF(ISBLANK(CD569),AVERAGE($K$53:$K568)+STDEV($K$53:$K568)*2,CD569)</f>
        <v/>
      </c>
      <c r="CF568" s="198">
        <f>$G568</f>
        <v/>
      </c>
      <c r="CG568" s="197">
        <f>$L568</f>
        <v/>
      </c>
      <c r="CH568" s="197">
        <f>IF(ISBLANK(CH569),AVERAGE($L$53:$L568)-STDEV($L$53:$L568)*2,CH569)</f>
        <v/>
      </c>
      <c r="CI568" s="197">
        <f>IF(ISBLANK(CI569),AVERAGE($L$53:$L568)-STDEV($L$53:$L568),CI569)</f>
        <v/>
      </c>
      <c r="CJ568" s="197">
        <f>IF(ISBLANK(CJ569),AVERAGE($L$53:$L568),CJ569)</f>
        <v/>
      </c>
      <c r="CK568" s="197">
        <f>IF(ISBLANK(CK569),AVERAGE($L$53:$L568)+STDEV($L$53:$L568),CK569)</f>
        <v/>
      </c>
      <c r="CL568" s="197">
        <f>IF(ISBLANK(CL569),AVERAGE($L$53:$L568)+STDEV($L$53:$L568)*2,CL569)</f>
        <v/>
      </c>
      <c r="CO568" s="370" t="n">
        <v>10.55</v>
      </c>
      <c r="CP568" s="972" t="n">
        <v>0.80609</v>
      </c>
    </row>
    <row r="569">
      <c r="B569" s="204">
        <f>+C569-1</f>
        <v/>
      </c>
      <c r="C569" s="204">
        <f>IF(bands_A!$D$9+1&gt;MONTH(G569),YEAR(G569),YEAR(G569)+1)</f>
        <v/>
      </c>
      <c r="D569" s="204">
        <f>+C569+1</f>
        <v/>
      </c>
      <c r="E569" s="203">
        <f>IF(C569&gt;C568,1,E568+1)</f>
        <v/>
      </c>
      <c r="F569" s="203">
        <f>COUNTIF(C:C,C569)</f>
        <v/>
      </c>
      <c r="G569" s="198">
        <f>+G568+7</f>
        <v/>
      </c>
      <c r="H569" s="361">
        <f>+CO569/CP569</f>
        <v/>
      </c>
      <c r="I569" s="968">
        <f>H569/M569</f>
        <v/>
      </c>
      <c r="J569" s="968">
        <f>H569/N569</f>
        <v/>
      </c>
      <c r="K569" s="968">
        <f>(H569+Q569)/O569</f>
        <v/>
      </c>
      <c r="L569" s="968">
        <f>(H569+Q569)/P569</f>
        <v/>
      </c>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f>H569/(HLOOKUP(B:B,$4:$10,3,FALSE)+((HLOOKUP(C:C,$4:$10,3,FALSE)-HLOOKUP(B:B,$4:$10,3,FALSE))*E569/F569))</f>
        <v/>
      </c>
      <c r="V569" s="969">
        <f>HLOOKUP(B:B,$4:$10,7,FALSE)+((HLOOKUP(C:C,$4:$10,7,FALSE)-HLOOKUP(B:B,$4:$10,7,FALSE))*E569/F569)</f>
        <v/>
      </c>
      <c r="AB569" s="198">
        <f>$G569</f>
        <v/>
      </c>
      <c r="AC569" s="199">
        <f>$H569</f>
        <v/>
      </c>
      <c r="AD569" s="199">
        <f>$M569*AD$34</f>
        <v/>
      </c>
      <c r="AE569" s="199">
        <f>$M569*AE$34</f>
        <v/>
      </c>
      <c r="AF569" s="199">
        <f>$M569*AF$34</f>
        <v/>
      </c>
      <c r="AG569" s="199">
        <f>$M569*AG$34</f>
        <v/>
      </c>
      <c r="AH569" s="199">
        <f>$M569*AH$34</f>
        <v/>
      </c>
      <c r="AJ569" s="198">
        <f>$G569</f>
        <v/>
      </c>
      <c r="AK569" s="199">
        <f>$H569</f>
        <v/>
      </c>
      <c r="AL569" s="199">
        <f>$N569*AL$34</f>
        <v/>
      </c>
      <c r="AM569" s="199">
        <f>$N569*AM$34</f>
        <v/>
      </c>
      <c r="AN569" s="199">
        <f>$N569*AN$34</f>
        <v/>
      </c>
      <c r="AO569" s="199">
        <f>$N569*AO$34</f>
        <v/>
      </c>
      <c r="AP569" s="199">
        <f>$N569*AP$34</f>
        <v/>
      </c>
      <c r="AR569" s="198">
        <f>$G569</f>
        <v/>
      </c>
      <c r="AS569" s="199">
        <f>$H569</f>
        <v/>
      </c>
      <c r="AT569" s="199">
        <f>$O569*AT$34-$Q569</f>
        <v/>
      </c>
      <c r="AU569" s="199">
        <f>$O569*AU$34-$Q569</f>
        <v/>
      </c>
      <c r="AV569" s="199">
        <f>$O569*AV$34-$Q569</f>
        <v/>
      </c>
      <c r="AW569" s="199">
        <f>$O569*AW$34-$Q569</f>
        <v/>
      </c>
      <c r="AX569" s="199">
        <f>$O569*AX$34-$Q569</f>
        <v/>
      </c>
      <c r="AZ569" s="198">
        <f>$G569</f>
        <v/>
      </c>
      <c r="BA569" s="199">
        <f>$H569</f>
        <v/>
      </c>
      <c r="BB569" s="199">
        <f>$P569*BB$34-$Q569</f>
        <v/>
      </c>
      <c r="BC569" s="199">
        <f>$P569*BC$34-$Q569</f>
        <v/>
      </c>
      <c r="BD569" s="199">
        <f>$P569*BD$34-$Q569</f>
        <v/>
      </c>
      <c r="BE569" s="199">
        <f>$P569*BE$34-$Q569</f>
        <v/>
      </c>
      <c r="BF569" s="199">
        <f>$P569*BF$34-$Q569</f>
        <v/>
      </c>
      <c r="BH569" s="198">
        <f>$G569</f>
        <v/>
      </c>
      <c r="BI569" s="197">
        <f>$I569</f>
        <v/>
      </c>
      <c r="BJ569" s="197">
        <f>IF(ISBLANK(BJ570),AVERAGE($I$53:$I569)-STDEV($I$53:$I569)*2,BJ570)</f>
        <v/>
      </c>
      <c r="BK569" s="197">
        <f>IF(ISBLANK(BK570),AVERAGE($I$53:$I569)-STDEV($I$53:$I569),BK570)</f>
        <v/>
      </c>
      <c r="BL569" s="197">
        <f>IF(ISBLANK(BL570),AVERAGE($I$53:$I569),BL570)</f>
        <v/>
      </c>
      <c r="BM569" s="197">
        <f>IF(ISBLANK(BM570),AVERAGE($I$53:$I569)+STDEV($I$53:$I569),BM570)</f>
        <v/>
      </c>
      <c r="BN569" s="197">
        <f>IF(ISBLANK(BN570),AVERAGE($I$53:$I569)+STDEV($I$53:$I569)*2,BN570)</f>
        <v/>
      </c>
      <c r="BP569" s="198">
        <f>$G569</f>
        <v/>
      </c>
      <c r="BQ569" s="197">
        <f>$J569</f>
        <v/>
      </c>
      <c r="BR569" s="197">
        <f>IF(ISBLANK(BR570),AVERAGE($J$53:$J569)-STDEV($J$53:$J569)*2,BR570)</f>
        <v/>
      </c>
      <c r="BS569" s="197">
        <f>IF(ISBLANK(BS570),AVERAGE($J$53:$J569)-STDEV($J$53:$J569),BS570)</f>
        <v/>
      </c>
      <c r="BT569" s="197">
        <f>IF(ISBLANK(BT570),AVERAGE($J$53:$J569),BT570)</f>
        <v/>
      </c>
      <c r="BU569" s="197">
        <f>IF(ISBLANK(BU570),AVERAGE($J$53:$J569)+STDEV($J$53:$J569),BU570)</f>
        <v/>
      </c>
      <c r="BV569" s="197">
        <f>IF(ISBLANK(BV570),AVERAGE($J$53:$J569)+STDEV($J$53:$J569)*2,BV570)</f>
        <v/>
      </c>
      <c r="BX569" s="198">
        <f>$G569</f>
        <v/>
      </c>
      <c r="BY569" s="197">
        <f>$K569</f>
        <v/>
      </c>
      <c r="BZ569" s="197">
        <f>IF(ISBLANK(BZ570),AVERAGE($K$53:$K569)-STDEV($K$53:$K569)*2,BZ570)</f>
        <v/>
      </c>
      <c r="CA569" s="197">
        <f>IF(ISBLANK(CA570),AVERAGE($K$53:$K569)-STDEV($K$53:$K569),CA570)</f>
        <v/>
      </c>
      <c r="CB569" s="197">
        <f>IF(ISBLANK(CB570),AVERAGE($K$53:$K569),CB570)</f>
        <v/>
      </c>
      <c r="CC569" s="197">
        <f>IF(ISBLANK(CC570),AVERAGE($K$53:$K569)+STDEV($K$53:$K569),CC570)</f>
        <v/>
      </c>
      <c r="CD569" s="197">
        <f>IF(ISBLANK(CD570),AVERAGE($K$53:$K569)+STDEV($K$53:$K569)*2,CD570)</f>
        <v/>
      </c>
      <c r="CF569" s="198">
        <f>$G569</f>
        <v/>
      </c>
      <c r="CG569" s="197">
        <f>$L569</f>
        <v/>
      </c>
      <c r="CH569" s="197">
        <f>IF(ISBLANK(CH570),AVERAGE($L$53:$L569)-STDEV($L$53:$L569)*2,CH570)</f>
        <v/>
      </c>
      <c r="CI569" s="197">
        <f>IF(ISBLANK(CI570),AVERAGE($L$53:$L569)-STDEV($L$53:$L569),CI570)</f>
        <v/>
      </c>
      <c r="CJ569" s="197">
        <f>IF(ISBLANK(CJ570),AVERAGE($L$53:$L569),CJ570)</f>
        <v/>
      </c>
      <c r="CK569" s="197">
        <f>IF(ISBLANK(CK570),AVERAGE($L$53:$L569)+STDEV($L$53:$L569),CK570)</f>
        <v/>
      </c>
      <c r="CL569" s="197">
        <f>IF(ISBLANK(CL570),AVERAGE($L$53:$L569)+STDEV($L$53:$L569)*2,CL570)</f>
        <v/>
      </c>
      <c r="CO569" s="370" t="n">
        <v>10.87</v>
      </c>
      <c r="CP569" s="972" t="n">
        <v>0.79975</v>
      </c>
    </row>
    <row r="570">
      <c r="B570" s="204">
        <f>+C570-1</f>
        <v/>
      </c>
      <c r="C570" s="204">
        <f>IF(bands_A!$D$9+1&gt;MONTH(G570),YEAR(G570),YEAR(G570)+1)</f>
        <v/>
      </c>
      <c r="D570" s="204">
        <f>+C570+1</f>
        <v/>
      </c>
      <c r="E570" s="203">
        <f>IF(C570&gt;C569,1,E569+1)</f>
        <v/>
      </c>
      <c r="F570" s="203">
        <f>COUNTIF(C:C,C570)</f>
        <v/>
      </c>
      <c r="G570" s="198">
        <f>+G569+7</f>
        <v/>
      </c>
      <c r="H570" s="361">
        <f>+CO570/CP570</f>
        <v/>
      </c>
      <c r="I570" s="968">
        <f>H570/M570</f>
        <v/>
      </c>
      <c r="J570" s="968">
        <f>H570/N570</f>
        <v/>
      </c>
      <c r="K570" s="968">
        <f>(H570+Q570)/O570</f>
        <v/>
      </c>
      <c r="L570" s="968">
        <f>(H570+Q570)/P570</f>
        <v/>
      </c>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f>H570/(HLOOKUP(B:B,$4:$10,3,FALSE)+((HLOOKUP(C:C,$4:$10,3,FALSE)-HLOOKUP(B:B,$4:$10,3,FALSE))*E570/F570))</f>
        <v/>
      </c>
      <c r="V570" s="969">
        <f>HLOOKUP(B:B,$4:$10,7,FALSE)+((HLOOKUP(C:C,$4:$10,7,FALSE)-HLOOKUP(B:B,$4:$10,7,FALSE))*E570/F570)</f>
        <v/>
      </c>
      <c r="AB570" s="198">
        <f>$G570</f>
        <v/>
      </c>
      <c r="AC570" s="199">
        <f>$H570</f>
        <v/>
      </c>
      <c r="AD570" s="199">
        <f>$M570*AD$34</f>
        <v/>
      </c>
      <c r="AE570" s="199">
        <f>$M570*AE$34</f>
        <v/>
      </c>
      <c r="AF570" s="199">
        <f>$M570*AF$34</f>
        <v/>
      </c>
      <c r="AG570" s="199">
        <f>$M570*AG$34</f>
        <v/>
      </c>
      <c r="AH570" s="199">
        <f>$M570*AH$34</f>
        <v/>
      </c>
      <c r="AJ570" s="198">
        <f>$G570</f>
        <v/>
      </c>
      <c r="AK570" s="199">
        <f>$H570</f>
        <v/>
      </c>
      <c r="AL570" s="199">
        <f>$N570*AL$34</f>
        <v/>
      </c>
      <c r="AM570" s="199">
        <f>$N570*AM$34</f>
        <v/>
      </c>
      <c r="AN570" s="199">
        <f>$N570*AN$34</f>
        <v/>
      </c>
      <c r="AO570" s="199">
        <f>$N570*AO$34</f>
        <v/>
      </c>
      <c r="AP570" s="199">
        <f>$N570*AP$34</f>
        <v/>
      </c>
      <c r="AR570" s="198">
        <f>$G570</f>
        <v/>
      </c>
      <c r="AS570" s="199">
        <f>$H570</f>
        <v/>
      </c>
      <c r="AT570" s="199">
        <f>$O570*AT$34-$Q570</f>
        <v/>
      </c>
      <c r="AU570" s="199">
        <f>$O570*AU$34-$Q570</f>
        <v/>
      </c>
      <c r="AV570" s="199">
        <f>$O570*AV$34-$Q570</f>
        <v/>
      </c>
      <c r="AW570" s="199">
        <f>$O570*AW$34-$Q570</f>
        <v/>
      </c>
      <c r="AX570" s="199">
        <f>$O570*AX$34-$Q570</f>
        <v/>
      </c>
      <c r="AZ570" s="198">
        <f>$G570</f>
        <v/>
      </c>
      <c r="BA570" s="199">
        <f>$H570</f>
        <v/>
      </c>
      <c r="BB570" s="199">
        <f>$P570*BB$34-$Q570</f>
        <v/>
      </c>
      <c r="BC570" s="199">
        <f>$P570*BC$34-$Q570</f>
        <v/>
      </c>
      <c r="BD570" s="199">
        <f>$P570*BD$34-$Q570</f>
        <v/>
      </c>
      <c r="BE570" s="199">
        <f>$P570*BE$34-$Q570</f>
        <v/>
      </c>
      <c r="BF570" s="199">
        <f>$P570*BF$34-$Q570</f>
        <v/>
      </c>
      <c r="BH570" s="198">
        <f>$G570</f>
        <v/>
      </c>
      <c r="BI570" s="197">
        <f>$I570</f>
        <v/>
      </c>
      <c r="BJ570" s="197">
        <f>IF(ISBLANK(BJ571),AVERAGE($I$53:$I570)-STDEV($I$53:$I570)*2,BJ571)</f>
        <v/>
      </c>
      <c r="BK570" s="197">
        <f>IF(ISBLANK(BK571),AVERAGE($I$53:$I570)-STDEV($I$53:$I570),BK571)</f>
        <v/>
      </c>
      <c r="BL570" s="197">
        <f>IF(ISBLANK(BL571),AVERAGE($I$53:$I570),BL571)</f>
        <v/>
      </c>
      <c r="BM570" s="197">
        <f>IF(ISBLANK(BM571),AVERAGE($I$53:$I570)+STDEV($I$53:$I570),BM571)</f>
        <v/>
      </c>
      <c r="BN570" s="197">
        <f>IF(ISBLANK(BN571),AVERAGE($I$53:$I570)+STDEV($I$53:$I570)*2,BN571)</f>
        <v/>
      </c>
      <c r="BP570" s="198">
        <f>$G570</f>
        <v/>
      </c>
      <c r="BQ570" s="197">
        <f>$J570</f>
        <v/>
      </c>
      <c r="BR570" s="197">
        <f>IF(ISBLANK(BR571),AVERAGE($J$53:$J570)-STDEV($J$53:$J570)*2,BR571)</f>
        <v/>
      </c>
      <c r="BS570" s="197">
        <f>IF(ISBLANK(BS571),AVERAGE($J$53:$J570)-STDEV($J$53:$J570),BS571)</f>
        <v/>
      </c>
      <c r="BT570" s="197">
        <f>IF(ISBLANK(BT571),AVERAGE($J$53:$J570),BT571)</f>
        <v/>
      </c>
      <c r="BU570" s="197">
        <f>IF(ISBLANK(BU571),AVERAGE($J$53:$J570)+STDEV($J$53:$J570),BU571)</f>
        <v/>
      </c>
      <c r="BV570" s="197">
        <f>IF(ISBLANK(BV571),AVERAGE($J$53:$J570)+STDEV($J$53:$J570)*2,BV571)</f>
        <v/>
      </c>
      <c r="BX570" s="198">
        <f>$G570</f>
        <v/>
      </c>
      <c r="BY570" s="197">
        <f>$K570</f>
        <v/>
      </c>
      <c r="BZ570" s="197">
        <f>IF(ISBLANK(BZ571),AVERAGE($K$53:$K570)-STDEV($K$53:$K570)*2,BZ571)</f>
        <v/>
      </c>
      <c r="CA570" s="197">
        <f>IF(ISBLANK(CA571),AVERAGE($K$53:$K570)-STDEV($K$53:$K570),CA571)</f>
        <v/>
      </c>
      <c r="CB570" s="197">
        <f>IF(ISBLANK(CB571),AVERAGE($K$53:$K570),CB571)</f>
        <v/>
      </c>
      <c r="CC570" s="197">
        <f>IF(ISBLANK(CC571),AVERAGE($K$53:$K570)+STDEV($K$53:$K570),CC571)</f>
        <v/>
      </c>
      <c r="CD570" s="197">
        <f>IF(ISBLANK(CD571),AVERAGE($K$53:$K570)+STDEV($K$53:$K570)*2,CD571)</f>
        <v/>
      </c>
      <c r="CF570" s="198">
        <f>$G570</f>
        <v/>
      </c>
      <c r="CG570" s="197">
        <f>$L570</f>
        <v/>
      </c>
      <c r="CH570" s="197">
        <f>IF(ISBLANK(CH571),AVERAGE($L$53:$L570)-STDEV($L$53:$L570)*2,CH571)</f>
        <v/>
      </c>
      <c r="CI570" s="197">
        <f>IF(ISBLANK(CI571),AVERAGE($L$53:$L570)-STDEV($L$53:$L570),CI571)</f>
        <v/>
      </c>
      <c r="CJ570" s="197">
        <f>IF(ISBLANK(CJ571),AVERAGE($L$53:$L570),CJ571)</f>
        <v/>
      </c>
      <c r="CK570" s="197">
        <f>IF(ISBLANK(CK571),AVERAGE($L$53:$L570)+STDEV($L$53:$L570),CK571)</f>
        <v/>
      </c>
      <c r="CL570" s="197">
        <f>IF(ISBLANK(CL571),AVERAGE($L$53:$L570)+STDEV($L$53:$L570)*2,CL571)</f>
        <v/>
      </c>
      <c r="CO570" s="370" t="n">
        <v>10.78</v>
      </c>
      <c r="CP570" s="972" t="n">
        <v>0.80157</v>
      </c>
    </row>
    <row r="571">
      <c r="B571" s="204">
        <f>+C571-1</f>
        <v/>
      </c>
      <c r="C571" s="204">
        <f>IF(bands_A!$D$9+1&gt;MONTH(G571),YEAR(G571),YEAR(G571)+1)</f>
        <v/>
      </c>
      <c r="D571" s="204">
        <f>+C571+1</f>
        <v/>
      </c>
      <c r="E571" s="203">
        <f>IF(C571&gt;C570,1,E570+1)</f>
        <v/>
      </c>
      <c r="F571" s="203">
        <f>COUNTIF(C:C,C571)</f>
        <v/>
      </c>
      <c r="G571" s="198">
        <f>+G570+7</f>
        <v/>
      </c>
      <c r="H571" s="361">
        <f>+CO571/CP571</f>
        <v/>
      </c>
      <c r="I571" s="968">
        <f>H571/M571</f>
        <v/>
      </c>
      <c r="J571" s="968">
        <f>H571/N571</f>
        <v/>
      </c>
      <c r="K571" s="968">
        <f>(H571+Q571)/O571</f>
        <v/>
      </c>
      <c r="L571" s="968">
        <f>(H571+Q571)/P571</f>
        <v/>
      </c>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f>H571/(HLOOKUP(B:B,$4:$10,3,FALSE)+((HLOOKUP(C:C,$4:$10,3,FALSE)-HLOOKUP(B:B,$4:$10,3,FALSE))*E571/F571))</f>
        <v/>
      </c>
      <c r="V571" s="969">
        <f>HLOOKUP(B:B,$4:$10,7,FALSE)+((HLOOKUP(C:C,$4:$10,7,FALSE)-HLOOKUP(B:B,$4:$10,7,FALSE))*E571/F571)</f>
        <v/>
      </c>
      <c r="AB571" s="198">
        <f>$G571</f>
        <v/>
      </c>
      <c r="AC571" s="199">
        <f>$H571</f>
        <v/>
      </c>
      <c r="AD571" s="199">
        <f>$M571*AD$34</f>
        <v/>
      </c>
      <c r="AE571" s="199">
        <f>$M571*AE$34</f>
        <v/>
      </c>
      <c r="AF571" s="199">
        <f>$M571*AF$34</f>
        <v/>
      </c>
      <c r="AG571" s="199">
        <f>$M571*AG$34</f>
        <v/>
      </c>
      <c r="AH571" s="199">
        <f>$M571*AH$34</f>
        <v/>
      </c>
      <c r="AJ571" s="198">
        <f>$G571</f>
        <v/>
      </c>
      <c r="AK571" s="199">
        <f>$H571</f>
        <v/>
      </c>
      <c r="AL571" s="199">
        <f>$N571*AL$34</f>
        <v/>
      </c>
      <c r="AM571" s="199">
        <f>$N571*AM$34</f>
        <v/>
      </c>
      <c r="AN571" s="199">
        <f>$N571*AN$34</f>
        <v/>
      </c>
      <c r="AO571" s="199">
        <f>$N571*AO$34</f>
        <v/>
      </c>
      <c r="AP571" s="199">
        <f>$N571*AP$34</f>
        <v/>
      </c>
      <c r="AR571" s="198">
        <f>$G571</f>
        <v/>
      </c>
      <c r="AS571" s="199">
        <f>$H571</f>
        <v/>
      </c>
      <c r="AT571" s="199">
        <f>$O571*AT$34-$Q571</f>
        <v/>
      </c>
      <c r="AU571" s="199">
        <f>$O571*AU$34-$Q571</f>
        <v/>
      </c>
      <c r="AV571" s="199">
        <f>$O571*AV$34-$Q571</f>
        <v/>
      </c>
      <c r="AW571" s="199">
        <f>$O571*AW$34-$Q571</f>
        <v/>
      </c>
      <c r="AX571" s="199">
        <f>$O571*AX$34-$Q571</f>
        <v/>
      </c>
      <c r="AZ571" s="198">
        <f>$G571</f>
        <v/>
      </c>
      <c r="BA571" s="199">
        <f>$H571</f>
        <v/>
      </c>
      <c r="BB571" s="199">
        <f>$P571*BB$34-$Q571</f>
        <v/>
      </c>
      <c r="BC571" s="199">
        <f>$P571*BC$34-$Q571</f>
        <v/>
      </c>
      <c r="BD571" s="199">
        <f>$P571*BD$34-$Q571</f>
        <v/>
      </c>
      <c r="BE571" s="199">
        <f>$P571*BE$34-$Q571</f>
        <v/>
      </c>
      <c r="BF571" s="199">
        <f>$P571*BF$34-$Q571</f>
        <v/>
      </c>
      <c r="BH571" s="198">
        <f>$G571</f>
        <v/>
      </c>
      <c r="BI571" s="197">
        <f>$I571</f>
        <v/>
      </c>
      <c r="BJ571" s="197">
        <f>IF(ISBLANK(BJ572),AVERAGE($I$53:$I571)-STDEV($I$53:$I571)*2,BJ572)</f>
        <v/>
      </c>
      <c r="BK571" s="197">
        <f>IF(ISBLANK(BK572),AVERAGE($I$53:$I571)-STDEV($I$53:$I571),BK572)</f>
        <v/>
      </c>
      <c r="BL571" s="197">
        <f>IF(ISBLANK(BL572),AVERAGE($I$53:$I571),BL572)</f>
        <v/>
      </c>
      <c r="BM571" s="197">
        <f>IF(ISBLANK(BM572),AVERAGE($I$53:$I571)+STDEV($I$53:$I571),BM572)</f>
        <v/>
      </c>
      <c r="BN571" s="197">
        <f>IF(ISBLANK(BN572),AVERAGE($I$53:$I571)+STDEV($I$53:$I571)*2,BN572)</f>
        <v/>
      </c>
      <c r="BP571" s="198">
        <f>$G571</f>
        <v/>
      </c>
      <c r="BQ571" s="197">
        <f>$J571</f>
        <v/>
      </c>
      <c r="BR571" s="197">
        <f>IF(ISBLANK(BR572),AVERAGE($J$53:$J571)-STDEV($J$53:$J571)*2,BR572)</f>
        <v/>
      </c>
      <c r="BS571" s="197">
        <f>IF(ISBLANK(BS572),AVERAGE($J$53:$J571)-STDEV($J$53:$J571),BS572)</f>
        <v/>
      </c>
      <c r="BT571" s="197">
        <f>IF(ISBLANK(BT572),AVERAGE($J$53:$J571),BT572)</f>
        <v/>
      </c>
      <c r="BU571" s="197">
        <f>IF(ISBLANK(BU572),AVERAGE($J$53:$J571)+STDEV($J$53:$J571),BU572)</f>
        <v/>
      </c>
      <c r="BV571" s="197">
        <f>IF(ISBLANK(BV572),AVERAGE($J$53:$J571)+STDEV($J$53:$J571)*2,BV572)</f>
        <v/>
      </c>
      <c r="BX571" s="198">
        <f>$G571</f>
        <v/>
      </c>
      <c r="BY571" s="197">
        <f>$K571</f>
        <v/>
      </c>
      <c r="BZ571" s="197">
        <f>IF(ISBLANK(BZ572),AVERAGE($K$53:$K571)-STDEV($K$53:$K571)*2,BZ572)</f>
        <v/>
      </c>
      <c r="CA571" s="197">
        <f>IF(ISBLANK(CA572),AVERAGE($K$53:$K571)-STDEV($K$53:$K571),CA572)</f>
        <v/>
      </c>
      <c r="CB571" s="197">
        <f>IF(ISBLANK(CB572),AVERAGE($K$53:$K571),CB572)</f>
        <v/>
      </c>
      <c r="CC571" s="197">
        <f>IF(ISBLANK(CC572),AVERAGE($K$53:$K571)+STDEV($K$53:$K571),CC572)</f>
        <v/>
      </c>
      <c r="CD571" s="197">
        <f>IF(ISBLANK(CD572),AVERAGE($K$53:$K571)+STDEV($K$53:$K571)*2,CD572)</f>
        <v/>
      </c>
      <c r="CF571" s="198">
        <f>$G571</f>
        <v/>
      </c>
      <c r="CG571" s="197">
        <f>$L571</f>
        <v/>
      </c>
      <c r="CH571" s="197">
        <f>IF(ISBLANK(CH572),AVERAGE($L$53:$L571)-STDEV($L$53:$L571)*2,CH572)</f>
        <v/>
      </c>
      <c r="CI571" s="197">
        <f>IF(ISBLANK(CI572),AVERAGE($L$53:$L571)-STDEV($L$53:$L571),CI572)</f>
        <v/>
      </c>
      <c r="CJ571" s="197">
        <f>IF(ISBLANK(CJ572),AVERAGE($L$53:$L571),CJ572)</f>
        <v/>
      </c>
      <c r="CK571" s="197">
        <f>IF(ISBLANK(CK572),AVERAGE($L$53:$L571)+STDEV($L$53:$L571),CK572)</f>
        <v/>
      </c>
      <c r="CL571" s="197">
        <f>IF(ISBLANK(CL572),AVERAGE($L$53:$L571)+STDEV($L$53:$L571)*2,CL572)</f>
        <v/>
      </c>
      <c r="CO571" s="370" t="n">
        <v>11.59</v>
      </c>
      <c r="CP571" s="972" t="n">
        <v>0.79283</v>
      </c>
    </row>
    <row r="572">
      <c r="B572" s="204">
        <f>+C572-1</f>
        <v/>
      </c>
      <c r="C572" s="204">
        <f>IF(bands_A!$D$9+1&gt;MONTH(G572),YEAR(G572),YEAR(G572)+1)</f>
        <v/>
      </c>
      <c r="D572" s="204">
        <f>+C572+1</f>
        <v/>
      </c>
      <c r="E572" s="203">
        <f>IF(C572&gt;C571,1,E571+1)</f>
        <v/>
      </c>
      <c r="F572" s="203">
        <f>COUNTIF(C:C,C572)</f>
        <v/>
      </c>
      <c r="G572" s="198">
        <f>+G571+7</f>
        <v/>
      </c>
      <c r="H572" s="361">
        <f>+CO572/CP572</f>
        <v/>
      </c>
      <c r="I572" s="968">
        <f>H572/M572</f>
        <v/>
      </c>
      <c r="J572" s="968">
        <f>H572/N572</f>
        <v/>
      </c>
      <c r="K572" s="968">
        <f>(H572+Q572)/O572</f>
        <v/>
      </c>
      <c r="L572" s="968">
        <f>(H572+Q572)/P572</f>
        <v/>
      </c>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f>H572/(HLOOKUP(B:B,$4:$10,3,FALSE)+((HLOOKUP(C:C,$4:$10,3,FALSE)-HLOOKUP(B:B,$4:$10,3,FALSE))*E572/F572))</f>
        <v/>
      </c>
      <c r="V572" s="969">
        <f>HLOOKUP(B:B,$4:$10,7,FALSE)+((HLOOKUP(C:C,$4:$10,7,FALSE)-HLOOKUP(B:B,$4:$10,7,FALSE))*E572/F572)</f>
        <v/>
      </c>
      <c r="AB572" s="198">
        <f>$G572</f>
        <v/>
      </c>
      <c r="AC572" s="199">
        <f>$H572</f>
        <v/>
      </c>
      <c r="AD572" s="199">
        <f>$M572*AD$34</f>
        <v/>
      </c>
      <c r="AE572" s="199">
        <f>$M572*AE$34</f>
        <v/>
      </c>
      <c r="AF572" s="199">
        <f>$M572*AF$34</f>
        <v/>
      </c>
      <c r="AG572" s="199">
        <f>$M572*AG$34</f>
        <v/>
      </c>
      <c r="AH572" s="199">
        <f>$M572*AH$34</f>
        <v/>
      </c>
      <c r="AJ572" s="198">
        <f>$G572</f>
        <v/>
      </c>
      <c r="AK572" s="199">
        <f>$H572</f>
        <v/>
      </c>
      <c r="AL572" s="199">
        <f>$N572*AL$34</f>
        <v/>
      </c>
      <c r="AM572" s="199">
        <f>$N572*AM$34</f>
        <v/>
      </c>
      <c r="AN572" s="199">
        <f>$N572*AN$34</f>
        <v/>
      </c>
      <c r="AO572" s="199">
        <f>$N572*AO$34</f>
        <v/>
      </c>
      <c r="AP572" s="199">
        <f>$N572*AP$34</f>
        <v/>
      </c>
      <c r="AR572" s="198">
        <f>$G572</f>
        <v/>
      </c>
      <c r="AS572" s="199">
        <f>$H572</f>
        <v/>
      </c>
      <c r="AT572" s="199">
        <f>$O572*AT$34-$Q572</f>
        <v/>
      </c>
      <c r="AU572" s="199">
        <f>$O572*AU$34-$Q572</f>
        <v/>
      </c>
      <c r="AV572" s="199">
        <f>$O572*AV$34-$Q572</f>
        <v/>
      </c>
      <c r="AW572" s="199">
        <f>$O572*AW$34-$Q572</f>
        <v/>
      </c>
      <c r="AX572" s="199">
        <f>$O572*AX$34-$Q572</f>
        <v/>
      </c>
      <c r="AZ572" s="198">
        <f>$G572</f>
        <v/>
      </c>
      <c r="BA572" s="199">
        <f>$H572</f>
        <v/>
      </c>
      <c r="BB572" s="199">
        <f>$P572*BB$34-$Q572</f>
        <v/>
      </c>
      <c r="BC572" s="199">
        <f>$P572*BC$34-$Q572</f>
        <v/>
      </c>
      <c r="BD572" s="199">
        <f>$P572*BD$34-$Q572</f>
        <v/>
      </c>
      <c r="BE572" s="199">
        <f>$P572*BE$34-$Q572</f>
        <v/>
      </c>
      <c r="BF572" s="199">
        <f>$P572*BF$34-$Q572</f>
        <v/>
      </c>
      <c r="BH572" s="198">
        <f>$G572</f>
        <v/>
      </c>
      <c r="BI572" s="197">
        <f>$I572</f>
        <v/>
      </c>
      <c r="BJ572" s="197">
        <f>IF(ISBLANK(BJ573),AVERAGE($I$53:$I572)-STDEV($I$53:$I572)*2,BJ573)</f>
        <v/>
      </c>
      <c r="BK572" s="197">
        <f>IF(ISBLANK(BK573),AVERAGE($I$53:$I572)-STDEV($I$53:$I572),BK573)</f>
        <v/>
      </c>
      <c r="BL572" s="197">
        <f>IF(ISBLANK(BL573),AVERAGE($I$53:$I572),BL573)</f>
        <v/>
      </c>
      <c r="BM572" s="197">
        <f>IF(ISBLANK(BM573),AVERAGE($I$53:$I572)+STDEV($I$53:$I572),BM573)</f>
        <v/>
      </c>
      <c r="BN572" s="197">
        <f>IF(ISBLANK(BN573),AVERAGE($I$53:$I572)+STDEV($I$53:$I572)*2,BN573)</f>
        <v/>
      </c>
      <c r="BP572" s="198">
        <f>$G572</f>
        <v/>
      </c>
      <c r="BQ572" s="197">
        <f>$J572</f>
        <v/>
      </c>
      <c r="BR572" s="197">
        <f>IF(ISBLANK(BR573),AVERAGE($J$53:$J572)-STDEV($J$53:$J572)*2,BR573)</f>
        <v/>
      </c>
      <c r="BS572" s="197">
        <f>IF(ISBLANK(BS573),AVERAGE($J$53:$J572)-STDEV($J$53:$J572),BS573)</f>
        <v/>
      </c>
      <c r="BT572" s="197">
        <f>IF(ISBLANK(BT573),AVERAGE($J$53:$J572),BT573)</f>
        <v/>
      </c>
      <c r="BU572" s="197">
        <f>IF(ISBLANK(BU573),AVERAGE($J$53:$J572)+STDEV($J$53:$J572),BU573)</f>
        <v/>
      </c>
      <c r="BV572" s="197">
        <f>IF(ISBLANK(BV573),AVERAGE($J$53:$J572)+STDEV($J$53:$J572)*2,BV573)</f>
        <v/>
      </c>
      <c r="BX572" s="198">
        <f>$G572</f>
        <v/>
      </c>
      <c r="BY572" s="197">
        <f>$K572</f>
        <v/>
      </c>
      <c r="BZ572" s="197">
        <f>IF(ISBLANK(BZ573),AVERAGE($K$53:$K572)-STDEV($K$53:$K572)*2,BZ573)</f>
        <v/>
      </c>
      <c r="CA572" s="197">
        <f>IF(ISBLANK(CA573),AVERAGE($K$53:$K572)-STDEV($K$53:$K572),CA573)</f>
        <v/>
      </c>
      <c r="CB572" s="197">
        <f>IF(ISBLANK(CB573),AVERAGE($K$53:$K572),CB573)</f>
        <v/>
      </c>
      <c r="CC572" s="197">
        <f>IF(ISBLANK(CC573),AVERAGE($K$53:$K572)+STDEV($K$53:$K572),CC573)</f>
        <v/>
      </c>
      <c r="CD572" s="197">
        <f>IF(ISBLANK(CD573),AVERAGE($K$53:$K572)+STDEV($K$53:$K572)*2,CD573)</f>
        <v/>
      </c>
      <c r="CF572" s="198">
        <f>$G572</f>
        <v/>
      </c>
      <c r="CG572" s="197">
        <f>$L572</f>
        <v/>
      </c>
      <c r="CH572" s="197">
        <f>IF(ISBLANK(CH573),AVERAGE($L$53:$L572)-STDEV($L$53:$L572)*2,CH573)</f>
        <v/>
      </c>
      <c r="CI572" s="197">
        <f>IF(ISBLANK(CI573),AVERAGE($L$53:$L572)-STDEV($L$53:$L572),CI573)</f>
        <v/>
      </c>
      <c r="CJ572" s="197">
        <f>IF(ISBLANK(CJ573),AVERAGE($L$53:$L572),CJ573)</f>
        <v/>
      </c>
      <c r="CK572" s="197">
        <f>IF(ISBLANK(CK573),AVERAGE($L$53:$L572)+STDEV($L$53:$L572),CK573)</f>
        <v/>
      </c>
      <c r="CL572" s="197">
        <f>IF(ISBLANK(CL573),AVERAGE($L$53:$L572)+STDEV($L$53:$L572)*2,CL573)</f>
        <v/>
      </c>
      <c r="CO572" s="370" t="n">
        <v>11.93</v>
      </c>
      <c r="CP572" s="972" t="n">
        <v>0.80081</v>
      </c>
    </row>
    <row r="573">
      <c r="B573" s="204">
        <f>+C573-1</f>
        <v/>
      </c>
      <c r="C573" s="204">
        <f>IF(bands_A!$D$9+1&gt;MONTH(G573),YEAR(G573),YEAR(G573)+1)</f>
        <v/>
      </c>
      <c r="D573" s="204">
        <f>+C573+1</f>
        <v/>
      </c>
      <c r="E573" s="203">
        <f>IF(C573&gt;C572,1,E572+1)</f>
        <v/>
      </c>
      <c r="F573" s="203">
        <f>COUNTIF(C:C,C573)</f>
        <v/>
      </c>
      <c r="G573" s="198">
        <f>+G572+7</f>
        <v/>
      </c>
      <c r="H573" s="361">
        <f>+CO573/CP573</f>
        <v/>
      </c>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IF(bands_A!$D$9+1&gt;MONTH(G574),YEAR(G574),YEAR(G574)+1)</f>
        <v/>
      </c>
      <c r="D574" s="204">
        <f>+C574+1</f>
        <v/>
      </c>
      <c r="E574" s="203">
        <f>IF(C574&gt;C573,1,E573+1)</f>
        <v/>
      </c>
      <c r="F574" s="203">
        <f>COUNTIF(C:C,C574)</f>
        <v/>
      </c>
      <c r="G574" s="198">
        <f>+G573+7</f>
        <v/>
      </c>
      <c r="H574" s="361">
        <f>+CO574/CP574</f>
        <v/>
      </c>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IF(bands_A!$D$9+1&gt;MONTH(G575),YEAR(G575),YEAR(G575)+1)</f>
        <v/>
      </c>
      <c r="D575" s="204">
        <f>+C575+1</f>
        <v/>
      </c>
      <c r="E575" s="203">
        <f>IF(C575&gt;C574,1,E574+1)</f>
        <v/>
      </c>
      <c r="F575" s="203">
        <f>COUNTIF(C:C,C575)</f>
        <v/>
      </c>
      <c r="G575" s="198">
        <f>+G574+7</f>
        <v/>
      </c>
      <c r="H575" s="361">
        <f>+CO575/CP575</f>
        <v/>
      </c>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IF(bands_A!$D$9+1&gt;MONTH(G576),YEAR(G576),YEAR(G576)+1)</f>
        <v/>
      </c>
      <c r="D576" s="204">
        <f>+C576+1</f>
        <v/>
      </c>
      <c r="E576" s="203">
        <f>IF(C576&gt;C575,1,E575+1)</f>
        <v/>
      </c>
      <c r="F576" s="203">
        <f>COUNTIF(C:C,C576)</f>
        <v/>
      </c>
      <c r="G576" s="198">
        <f>+G575+7</f>
        <v/>
      </c>
      <c r="H576" s="361">
        <f>+CO576/CP576</f>
        <v/>
      </c>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6.xml><?xml version="1.0" encoding="utf-8"?>
<worksheet xmlns="http://schemas.openxmlformats.org/spreadsheetml/2006/main">
  <sheetPr codeName="Sheet16">
    <tabColor theme="3"/>
    <outlinePr summaryBelow="1" summaryRight="1"/>
    <pageSetUpPr fitToPage="1"/>
  </sheetPr>
  <dimension ref="A1:CS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VLOOKUP(Summary!Y17,'bands_A-H_Avg'!C10:D22,2,FALSE)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1">
      <c r="CO31" s="219" t="inlineStr">
        <is>
          <t>Weight</t>
        </is>
      </c>
    </row>
    <row r="32">
      <c r="CO32" s="973" t="n">
        <v>0.3</v>
      </c>
      <c r="CP32" s="974">
        <f>1-CO32</f>
        <v/>
      </c>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c r="CO34" s="219" t="inlineStr">
        <is>
          <t>A-Share</t>
        </is>
      </c>
      <c r="CP34" s="219" t="inlineStr">
        <is>
          <t>H-Share</t>
        </is>
      </c>
    </row>
    <row r="35" hidden="1" ht="13.25" customHeight="1">
      <c r="B35" s="204" t="n"/>
      <c r="C35" s="204" t="n"/>
      <c r="D35" s="204" t="n"/>
      <c r="E35" s="203" t="n"/>
      <c r="F35" s="203" t="n"/>
      <c r="H35" s="360" t="n"/>
    </row>
    <row r="36" hidden="1" ht="13.25" customHeight="1">
      <c r="B36" s="204">
        <f>+C36-1</f>
        <v/>
      </c>
      <c r="C36" s="204">
        <f>IF('bands_A-H_Avg'!$D$9+1&gt;MONTH(G36),YEAR(G36),YEAR(G36)+1)</f>
        <v/>
      </c>
      <c r="D36" s="204">
        <f>+C36+1</f>
        <v/>
      </c>
      <c r="E36" s="203">
        <f>IF(C36&gt;C35,1,E35+1)</f>
        <v/>
      </c>
      <c r="F36" s="203">
        <f>COUNTIF(C:C,C36)</f>
        <v/>
      </c>
      <c r="G36" s="198">
        <f>+G37-7</f>
        <v/>
      </c>
      <c r="H36" s="361" t="n"/>
      <c r="I36" s="968" t="n"/>
      <c r="J36" s="968" t="n"/>
      <c r="K36" s="968" t="n"/>
      <c r="L36" s="968" t="n"/>
      <c r="M36" s="199" t="n"/>
      <c r="N36" s="199" t="n"/>
      <c r="O36" s="199" t="n"/>
      <c r="P36" s="199" t="n"/>
      <c r="Q36" s="199" t="n"/>
      <c r="T36" s="198" t="n"/>
      <c r="U36" s="199" t="n"/>
      <c r="V36" s="969" t="n"/>
      <c r="AB36" s="198" t="n"/>
      <c r="AC36" s="199" t="n"/>
      <c r="AD36" s="199" t="n"/>
      <c r="AE36" s="199" t="n"/>
      <c r="AF36" s="199" t="n"/>
      <c r="AG36" s="199" t="n"/>
      <c r="AH36" s="199" t="n"/>
      <c r="AJ36" s="198" t="n"/>
      <c r="AK36" s="199" t="n"/>
      <c r="AL36" s="199" t="n"/>
      <c r="AM36" s="199" t="n"/>
      <c r="AN36" s="199" t="n"/>
      <c r="AO36" s="199" t="n"/>
      <c r="AP36" s="199" t="n"/>
      <c r="AR36" s="198" t="n"/>
      <c r="AS36" s="199" t="n"/>
      <c r="AT36" s="199" t="n"/>
      <c r="AU36" s="199" t="n"/>
      <c r="AV36" s="199" t="n"/>
      <c r="AW36" s="199" t="n"/>
      <c r="AX36" s="199" t="n"/>
      <c r="AZ36" s="198" t="n"/>
      <c r="BA36" s="199" t="n"/>
      <c r="BB36" s="199" t="n"/>
      <c r="BC36" s="199" t="n"/>
      <c r="BD36" s="199" t="n"/>
      <c r="BE36" s="199" t="n"/>
      <c r="BF36" s="199" t="n"/>
      <c r="BH36" s="198" t="n"/>
      <c r="BI36" s="197" t="n"/>
      <c r="BJ36" s="197" t="n"/>
      <c r="BK36" s="197" t="n"/>
      <c r="BL36" s="197" t="n"/>
      <c r="BM36" s="197" t="n"/>
      <c r="BN36" s="197" t="n"/>
      <c r="BP36" s="198" t="n"/>
      <c r="BQ36" s="197" t="n"/>
      <c r="BR36" s="197" t="n"/>
      <c r="BS36" s="197" t="n"/>
      <c r="BT36" s="197" t="n"/>
      <c r="BU36" s="197" t="n"/>
      <c r="BV36" s="197" t="n"/>
      <c r="BX36" s="198" t="n"/>
      <c r="BY36" s="197" t="n"/>
      <c r="BZ36" s="197" t="n"/>
      <c r="CA36" s="197" t="n"/>
      <c r="CB36" s="197" t="n"/>
      <c r="CC36" s="197" t="n"/>
      <c r="CD36" s="197" t="n"/>
      <c r="CF36" s="198" t="n"/>
      <c r="CG36" s="197" t="n"/>
      <c r="CH36" s="197" t="n"/>
      <c r="CI36" s="197" t="n"/>
      <c r="CJ36" s="197" t="n"/>
      <c r="CK36" s="197" t="n"/>
      <c r="CL36" s="197" t="n"/>
    </row>
    <row r="37" hidden="1" ht="13.25" customHeight="1">
      <c r="B37" s="204">
        <f>+C37-1</f>
        <v/>
      </c>
      <c r="C37" s="204">
        <f>IF('bands_A-H_Avg'!$D$9+1&gt;MONTH(G37),YEAR(G37),YEAR(G37)+1)</f>
        <v/>
      </c>
      <c r="D37" s="204">
        <f>+C37+1</f>
        <v/>
      </c>
      <c r="E37" s="203">
        <f>IF(C37&gt;C36,1,E36+1)</f>
        <v/>
      </c>
      <c r="F37" s="203">
        <f>COUNTIF(C:C,C37)</f>
        <v/>
      </c>
      <c r="G37" s="198">
        <f>+G38-7</f>
        <v/>
      </c>
      <c r="H37" s="361" t="n"/>
      <c r="I37" s="968" t="n"/>
      <c r="J37" s="968" t="n"/>
      <c r="K37" s="968" t="n"/>
      <c r="L37" s="968" t="n"/>
      <c r="M37" s="199" t="n"/>
      <c r="N37" s="199" t="n"/>
      <c r="O37" s="199" t="n"/>
      <c r="P37" s="199" t="n"/>
      <c r="Q37" s="199" t="n"/>
      <c r="T37" s="198" t="n"/>
      <c r="U37" s="199" t="n"/>
      <c r="V37" s="969" t="n"/>
      <c r="AB37" s="198" t="n"/>
      <c r="AC37" s="199" t="n"/>
      <c r="AD37" s="199" t="n"/>
      <c r="AE37" s="199" t="n"/>
      <c r="AF37" s="199" t="n"/>
      <c r="AG37" s="199" t="n"/>
      <c r="AH37" s="199" t="n"/>
      <c r="AJ37" s="198" t="n"/>
      <c r="AK37" s="199" t="n"/>
      <c r="AL37" s="199" t="n"/>
      <c r="AM37" s="199" t="n"/>
      <c r="AN37" s="199" t="n"/>
      <c r="AO37" s="199" t="n"/>
      <c r="AP37" s="199" t="n"/>
      <c r="AR37" s="198" t="n"/>
      <c r="AS37" s="199" t="n"/>
      <c r="AT37" s="199" t="n"/>
      <c r="AU37" s="199" t="n"/>
      <c r="AV37" s="199" t="n"/>
      <c r="AW37" s="199" t="n"/>
      <c r="AX37" s="199" t="n"/>
      <c r="AZ37" s="198" t="n"/>
      <c r="BA37" s="199" t="n"/>
      <c r="BB37" s="199" t="n"/>
      <c r="BC37" s="199" t="n"/>
      <c r="BD37" s="199" t="n"/>
      <c r="BE37" s="199" t="n"/>
      <c r="BF37" s="199" t="n"/>
      <c r="BH37" s="198" t="n"/>
      <c r="BI37" s="197" t="n"/>
      <c r="BJ37" s="197" t="n"/>
      <c r="BK37" s="197" t="n"/>
      <c r="BL37" s="197" t="n"/>
      <c r="BM37" s="197" t="n"/>
      <c r="BN37" s="197" t="n"/>
      <c r="BP37" s="198" t="n"/>
      <c r="BQ37" s="197" t="n"/>
      <c r="BR37" s="197" t="n"/>
      <c r="BS37" s="197" t="n"/>
      <c r="BT37" s="197" t="n"/>
      <c r="BU37" s="197" t="n"/>
      <c r="BV37" s="197" t="n"/>
      <c r="BX37" s="198" t="n"/>
      <c r="BY37" s="197" t="n"/>
      <c r="BZ37" s="197" t="n"/>
      <c r="CA37" s="197" t="n"/>
      <c r="CB37" s="197" t="n"/>
      <c r="CC37" s="197" t="n"/>
      <c r="CD37" s="197" t="n"/>
      <c r="CF37" s="198" t="n"/>
      <c r="CG37" s="197" t="n"/>
      <c r="CH37" s="197" t="n"/>
      <c r="CI37" s="197" t="n"/>
      <c r="CJ37" s="197" t="n"/>
      <c r="CK37" s="197" t="n"/>
      <c r="CL37" s="197" t="n"/>
    </row>
    <row r="38" hidden="1" ht="13.25" customHeight="1">
      <c r="B38" s="204">
        <f>+C38-1</f>
        <v/>
      </c>
      <c r="C38" s="204">
        <f>IF('bands_A-H_Avg'!$D$9+1&gt;MONTH(G38),YEAR(G38),YEAR(G38)+1)</f>
        <v/>
      </c>
      <c r="D38" s="204">
        <f>+C38+1</f>
        <v/>
      </c>
      <c r="E38" s="203">
        <f>IF(C38&gt;C37,1,E37+1)</f>
        <v/>
      </c>
      <c r="F38" s="203">
        <f>COUNTIF(C:C,C38)</f>
        <v/>
      </c>
      <c r="G38" s="198">
        <f>+G39-7</f>
        <v/>
      </c>
      <c r="H38" s="361" t="n"/>
      <c r="I38" s="968" t="n"/>
      <c r="J38" s="968" t="n"/>
      <c r="K38" s="968" t="n"/>
      <c r="L38" s="968" t="n"/>
      <c r="M38" s="199" t="n"/>
      <c r="N38" s="199" t="n"/>
      <c r="O38" s="199" t="n"/>
      <c r="P38" s="199" t="n"/>
      <c r="Q38" s="199" t="n"/>
      <c r="T38" s="198" t="n"/>
      <c r="U38" s="199" t="n"/>
      <c r="V38" s="969" t="n"/>
      <c r="AB38" s="198" t="n"/>
      <c r="AC38" s="199" t="n"/>
      <c r="AD38" s="199" t="n"/>
      <c r="AE38" s="199" t="n"/>
      <c r="AF38" s="199" t="n"/>
      <c r="AG38" s="199" t="n"/>
      <c r="AH38" s="199" t="n"/>
      <c r="AJ38" s="198" t="n"/>
      <c r="AK38" s="199" t="n"/>
      <c r="AL38" s="199" t="n"/>
      <c r="AM38" s="199" t="n"/>
      <c r="AN38" s="199" t="n"/>
      <c r="AO38" s="199" t="n"/>
      <c r="AP38" s="199" t="n"/>
      <c r="AR38" s="198" t="n"/>
      <c r="AS38" s="199" t="n"/>
      <c r="AT38" s="199" t="n"/>
      <c r="AU38" s="199" t="n"/>
      <c r="AV38" s="199" t="n"/>
      <c r="AW38" s="199" t="n"/>
      <c r="AX38" s="199" t="n"/>
      <c r="AZ38" s="198" t="n"/>
      <c r="BA38" s="199" t="n"/>
      <c r="BB38" s="199" t="n"/>
      <c r="BC38" s="199" t="n"/>
      <c r="BD38" s="199" t="n"/>
      <c r="BE38" s="199" t="n"/>
      <c r="BF38" s="199" t="n"/>
      <c r="BH38" s="198" t="n"/>
      <c r="BI38" s="197" t="n"/>
      <c r="BJ38" s="197" t="n"/>
      <c r="BK38" s="197" t="n"/>
      <c r="BL38" s="197" t="n"/>
      <c r="BM38" s="197" t="n"/>
      <c r="BN38" s="197" t="n"/>
      <c r="BP38" s="198" t="n"/>
      <c r="BQ38" s="197" t="n"/>
      <c r="BR38" s="197" t="n"/>
      <c r="BS38" s="197" t="n"/>
      <c r="BT38" s="197" t="n"/>
      <c r="BU38" s="197" t="n"/>
      <c r="BV38" s="197" t="n"/>
      <c r="BX38" s="198" t="n"/>
      <c r="BY38" s="197" t="n"/>
      <c r="BZ38" s="197" t="n"/>
      <c r="CA38" s="197" t="n"/>
      <c r="CB38" s="197" t="n"/>
      <c r="CC38" s="197" t="n"/>
      <c r="CD38" s="197" t="n"/>
      <c r="CF38" s="198" t="n"/>
      <c r="CG38" s="197" t="n"/>
      <c r="CH38" s="197" t="n"/>
      <c r="CI38" s="197" t="n"/>
      <c r="CJ38" s="197" t="n"/>
      <c r="CK38" s="197" t="n"/>
      <c r="CL38" s="197" t="n"/>
    </row>
    <row r="39" hidden="1" ht="13.25" customHeight="1">
      <c r="B39" s="204">
        <f>+C39-1</f>
        <v/>
      </c>
      <c r="C39" s="204">
        <f>IF('bands_A-H_Avg'!$D$9+1&gt;MONTH(G39),YEAR(G39),YEAR(G39)+1)</f>
        <v/>
      </c>
      <c r="D39" s="204">
        <f>+C39+1</f>
        <v/>
      </c>
      <c r="E39" s="203">
        <f>IF(C39&gt;C38,1,E38+1)</f>
        <v/>
      </c>
      <c r="F39" s="203">
        <f>COUNTIF(C:C,C39)</f>
        <v/>
      </c>
      <c r="G39" s="198">
        <f>+G40-7</f>
        <v/>
      </c>
      <c r="H39" s="361" t="n"/>
      <c r="I39" s="968" t="n"/>
      <c r="J39" s="968" t="n"/>
      <c r="K39" s="968" t="n"/>
      <c r="L39" s="968" t="n"/>
      <c r="M39" s="199" t="n"/>
      <c r="N39" s="199" t="n"/>
      <c r="O39" s="199" t="n"/>
      <c r="P39" s="199" t="n"/>
      <c r="Q39" s="199" t="n"/>
      <c r="T39" s="198" t="n"/>
      <c r="U39" s="199" t="n"/>
      <c r="V39" s="969" t="n"/>
      <c r="AB39" s="198" t="n"/>
      <c r="AC39" s="199" t="n"/>
      <c r="AD39" s="199" t="n"/>
      <c r="AE39" s="199" t="n"/>
      <c r="AF39" s="199" t="n"/>
      <c r="AG39" s="199" t="n"/>
      <c r="AH39" s="199" t="n"/>
      <c r="AJ39" s="198" t="n"/>
      <c r="AK39" s="199" t="n"/>
      <c r="AL39" s="199" t="n"/>
      <c r="AM39" s="199" t="n"/>
      <c r="AN39" s="199" t="n"/>
      <c r="AO39" s="199" t="n"/>
      <c r="AP39" s="199" t="n"/>
      <c r="AR39" s="198" t="n"/>
      <c r="AS39" s="199" t="n"/>
      <c r="AT39" s="199" t="n"/>
      <c r="AU39" s="199" t="n"/>
      <c r="AV39" s="199" t="n"/>
      <c r="AW39" s="199" t="n"/>
      <c r="AX39" s="199" t="n"/>
      <c r="AZ39" s="198" t="n"/>
      <c r="BA39" s="199" t="n"/>
      <c r="BB39" s="199" t="n"/>
      <c r="BC39" s="199" t="n"/>
      <c r="BD39" s="199" t="n"/>
      <c r="BE39" s="199" t="n"/>
      <c r="BF39" s="199" t="n"/>
      <c r="BH39" s="198" t="n"/>
      <c r="BI39" s="197" t="n"/>
      <c r="BJ39" s="197" t="n"/>
      <c r="BK39" s="197" t="n"/>
      <c r="BL39" s="197" t="n"/>
      <c r="BM39" s="197" t="n"/>
      <c r="BN39" s="197" t="n"/>
      <c r="BP39" s="198" t="n"/>
      <c r="BQ39" s="197" t="n"/>
      <c r="BR39" s="197" t="n"/>
      <c r="BS39" s="197" t="n"/>
      <c r="BT39" s="197" t="n"/>
      <c r="BU39" s="197" t="n"/>
      <c r="BV39" s="197" t="n"/>
      <c r="BX39" s="198" t="n"/>
      <c r="BY39" s="197" t="n"/>
      <c r="BZ39" s="197" t="n"/>
      <c r="CA39" s="197" t="n"/>
      <c r="CB39" s="197" t="n"/>
      <c r="CC39" s="197" t="n"/>
      <c r="CD39" s="197" t="n"/>
      <c r="CF39" s="198" t="n"/>
      <c r="CG39" s="197" t="n"/>
      <c r="CH39" s="197" t="n"/>
      <c r="CI39" s="197" t="n"/>
      <c r="CJ39" s="197" t="n"/>
      <c r="CK39" s="197" t="n"/>
      <c r="CL39" s="197" t="n"/>
    </row>
    <row r="40" hidden="1" ht="13.25" customHeight="1">
      <c r="B40" s="204">
        <f>+C40-1</f>
        <v/>
      </c>
      <c r="C40" s="204">
        <f>IF('bands_A-H_Avg'!$D$9+1&gt;MONTH(G40),YEAR(G40),YEAR(G40)+1)</f>
        <v/>
      </c>
      <c r="D40" s="204">
        <f>+C40+1</f>
        <v/>
      </c>
      <c r="E40" s="203">
        <f>IF(C40&gt;C39,1,E39+1)</f>
        <v/>
      </c>
      <c r="F40" s="203">
        <f>COUNTIF(C:C,C40)</f>
        <v/>
      </c>
      <c r="G40" s="198">
        <f>+G41-7</f>
        <v/>
      </c>
      <c r="H40" s="361" t="n"/>
      <c r="I40" s="968" t="n"/>
      <c r="J40" s="968" t="n"/>
      <c r="K40" s="968" t="n"/>
      <c r="L40" s="968" t="n"/>
      <c r="M40" s="199" t="n"/>
      <c r="N40" s="199" t="n"/>
      <c r="O40" s="199" t="n"/>
      <c r="P40" s="199" t="n"/>
      <c r="Q40" s="199" t="n"/>
      <c r="T40" s="198" t="n"/>
      <c r="U40" s="199" t="n"/>
      <c r="V40" s="969" t="n"/>
      <c r="AB40" s="198" t="n"/>
      <c r="AC40" s="199" t="n"/>
      <c r="AD40" s="199" t="n"/>
      <c r="AE40" s="199" t="n"/>
      <c r="AF40" s="199" t="n"/>
      <c r="AG40" s="199" t="n"/>
      <c r="AH40" s="199" t="n"/>
      <c r="AJ40" s="198" t="n"/>
      <c r="AK40" s="199" t="n"/>
      <c r="AL40" s="199" t="n"/>
      <c r="AM40" s="199" t="n"/>
      <c r="AN40" s="199" t="n"/>
      <c r="AO40" s="199" t="n"/>
      <c r="AP40" s="199" t="n"/>
      <c r="AR40" s="198" t="n"/>
      <c r="AS40" s="199" t="n"/>
      <c r="AT40" s="199" t="n"/>
      <c r="AU40" s="199" t="n"/>
      <c r="AV40" s="199" t="n"/>
      <c r="AW40" s="199" t="n"/>
      <c r="AX40" s="199" t="n"/>
      <c r="AZ40" s="198" t="n"/>
      <c r="BA40" s="199" t="n"/>
      <c r="BB40" s="199" t="n"/>
      <c r="BC40" s="199" t="n"/>
      <c r="BD40" s="199" t="n"/>
      <c r="BE40" s="199" t="n"/>
      <c r="BF40" s="199" t="n"/>
      <c r="BH40" s="198" t="n"/>
      <c r="BI40" s="197" t="n"/>
      <c r="BJ40" s="197" t="n"/>
      <c r="BK40" s="197" t="n"/>
      <c r="BL40" s="197" t="n"/>
      <c r="BM40" s="197" t="n"/>
      <c r="BN40" s="197" t="n"/>
      <c r="BP40" s="198" t="n"/>
      <c r="BQ40" s="197" t="n"/>
      <c r="BR40" s="197" t="n"/>
      <c r="BS40" s="197" t="n"/>
      <c r="BT40" s="197" t="n"/>
      <c r="BU40" s="197" t="n"/>
      <c r="BV40" s="197" t="n"/>
      <c r="BX40" s="198" t="n"/>
      <c r="BY40" s="197" t="n"/>
      <c r="BZ40" s="197" t="n"/>
      <c r="CA40" s="197" t="n"/>
      <c r="CB40" s="197" t="n"/>
      <c r="CC40" s="197" t="n"/>
      <c r="CD40" s="197" t="n"/>
      <c r="CF40" s="198" t="n"/>
      <c r="CG40" s="197" t="n"/>
      <c r="CH40" s="197" t="n"/>
      <c r="CI40" s="197" t="n"/>
      <c r="CJ40" s="197" t="n"/>
      <c r="CK40" s="197" t="n"/>
      <c r="CL40" s="197" t="n"/>
    </row>
    <row r="41" hidden="1" ht="13.25" customHeight="1">
      <c r="B41" s="204">
        <f>+C41-1</f>
        <v/>
      </c>
      <c r="C41" s="204">
        <f>IF('bands_A-H_Avg'!$D$9+1&gt;MONTH(G41),YEAR(G41),YEAR(G41)+1)</f>
        <v/>
      </c>
      <c r="D41" s="204">
        <f>+C41+1</f>
        <v/>
      </c>
      <c r="E41" s="203">
        <f>IF(C41&gt;C40,1,E40+1)</f>
        <v/>
      </c>
      <c r="F41" s="203">
        <f>COUNTIF(C:C,C41)</f>
        <v/>
      </c>
      <c r="G41" s="198">
        <f>+G42-7</f>
        <v/>
      </c>
      <c r="H41" s="361" t="n"/>
      <c r="I41" s="968" t="n"/>
      <c r="J41" s="968" t="n"/>
      <c r="K41" s="968" t="n"/>
      <c r="L41" s="968" t="n"/>
      <c r="M41" s="199" t="n"/>
      <c r="N41" s="199" t="n"/>
      <c r="O41" s="199" t="n"/>
      <c r="P41" s="199" t="n"/>
      <c r="Q41" s="199" t="n"/>
      <c r="T41" s="198" t="n"/>
      <c r="U41" s="199" t="n"/>
      <c r="V41" s="969" t="n"/>
      <c r="AB41" s="198" t="n"/>
      <c r="AC41" s="199" t="n"/>
      <c r="AD41" s="199" t="n"/>
      <c r="AE41" s="199" t="n"/>
      <c r="AF41" s="199" t="n"/>
      <c r="AG41" s="199" t="n"/>
      <c r="AH41" s="199" t="n"/>
      <c r="AJ41" s="198" t="n"/>
      <c r="AK41" s="199" t="n"/>
      <c r="AL41" s="199" t="n"/>
      <c r="AM41" s="199" t="n"/>
      <c r="AN41" s="199" t="n"/>
      <c r="AO41" s="199" t="n"/>
      <c r="AP41" s="199" t="n"/>
      <c r="AR41" s="198" t="n"/>
      <c r="AS41" s="199" t="n"/>
      <c r="AT41" s="199" t="n"/>
      <c r="AU41" s="199" t="n"/>
      <c r="AV41" s="199" t="n"/>
      <c r="AW41" s="199" t="n"/>
      <c r="AX41" s="199" t="n"/>
      <c r="AZ41" s="198" t="n"/>
      <c r="BA41" s="199" t="n"/>
      <c r="BB41" s="199" t="n"/>
      <c r="BC41" s="199" t="n"/>
      <c r="BD41" s="199" t="n"/>
      <c r="BE41" s="199" t="n"/>
      <c r="BF41" s="199" t="n"/>
      <c r="BH41" s="198" t="n"/>
      <c r="BI41" s="197" t="n"/>
      <c r="BJ41" s="197" t="n"/>
      <c r="BK41" s="197" t="n"/>
      <c r="BL41" s="197" t="n"/>
      <c r="BM41" s="197" t="n"/>
      <c r="BN41" s="197" t="n"/>
      <c r="BP41" s="198" t="n"/>
      <c r="BQ41" s="197" t="n"/>
      <c r="BR41" s="197" t="n"/>
      <c r="BS41" s="197" t="n"/>
      <c r="BT41" s="197" t="n"/>
      <c r="BU41" s="197" t="n"/>
      <c r="BV41" s="197" t="n"/>
      <c r="BX41" s="198" t="n"/>
      <c r="BY41" s="197" t="n"/>
      <c r="BZ41" s="197" t="n"/>
      <c r="CA41" s="197" t="n"/>
      <c r="CB41" s="197" t="n"/>
      <c r="CC41" s="197" t="n"/>
      <c r="CD41" s="197" t="n"/>
      <c r="CF41" s="198" t="n"/>
      <c r="CG41" s="197" t="n"/>
      <c r="CH41" s="197" t="n"/>
      <c r="CI41" s="197" t="n"/>
      <c r="CJ41" s="197" t="n"/>
      <c r="CK41" s="197" t="n"/>
      <c r="CL41" s="197" t="n"/>
    </row>
    <row r="42" hidden="1" ht="13.25" customHeight="1">
      <c r="B42" s="204">
        <f>+C42-1</f>
        <v/>
      </c>
      <c r="C42" s="204">
        <f>IF('bands_A-H_Avg'!$D$9+1&gt;MONTH(G42),YEAR(G42),YEAR(G42)+1)</f>
        <v/>
      </c>
      <c r="D42" s="204">
        <f>+C42+1</f>
        <v/>
      </c>
      <c r="E42" s="203">
        <f>IF(C42&gt;C41,1,E41+1)</f>
        <v/>
      </c>
      <c r="F42" s="203">
        <f>COUNTIF(C:C,C42)</f>
        <v/>
      </c>
      <c r="G42" s="198">
        <f>+G43-7</f>
        <v/>
      </c>
      <c r="H42" s="361" t="n"/>
      <c r="I42" s="968" t="n"/>
      <c r="J42" s="968" t="n"/>
      <c r="K42" s="968" t="n"/>
      <c r="L42" s="968" t="n"/>
      <c r="M42" s="199" t="n"/>
      <c r="N42" s="199" t="n"/>
      <c r="O42" s="199" t="n"/>
      <c r="P42" s="199" t="n"/>
      <c r="Q42" s="199" t="n"/>
      <c r="T42" s="198" t="n"/>
      <c r="U42" s="199" t="n"/>
      <c r="V42" s="969" t="n"/>
      <c r="AB42" s="198" t="n"/>
      <c r="AC42" s="199" t="n"/>
      <c r="AD42" s="199" t="n"/>
      <c r="AE42" s="199" t="n"/>
      <c r="AF42" s="199" t="n"/>
      <c r="AG42" s="199" t="n"/>
      <c r="AH42" s="199" t="n"/>
      <c r="AJ42" s="198" t="n"/>
      <c r="AK42" s="199" t="n"/>
      <c r="AL42" s="199" t="n"/>
      <c r="AM42" s="199" t="n"/>
      <c r="AN42" s="199" t="n"/>
      <c r="AO42" s="199" t="n"/>
      <c r="AP42" s="199" t="n"/>
      <c r="AR42" s="198" t="n"/>
      <c r="AS42" s="199" t="n"/>
      <c r="AT42" s="199" t="n"/>
      <c r="AU42" s="199" t="n"/>
      <c r="AV42" s="199" t="n"/>
      <c r="AW42" s="199" t="n"/>
      <c r="AX42" s="199" t="n"/>
      <c r="AZ42" s="198" t="n"/>
      <c r="BA42" s="199" t="n"/>
      <c r="BB42" s="199" t="n"/>
      <c r="BC42" s="199" t="n"/>
      <c r="BD42" s="199" t="n"/>
      <c r="BE42" s="199" t="n"/>
      <c r="BF42" s="199" t="n"/>
      <c r="BH42" s="198" t="n"/>
      <c r="BI42" s="197" t="n"/>
      <c r="BJ42" s="197" t="n"/>
      <c r="BK42" s="197" t="n"/>
      <c r="BL42" s="197" t="n"/>
      <c r="BM42" s="197" t="n"/>
      <c r="BN42" s="197" t="n"/>
      <c r="BP42" s="198" t="n"/>
      <c r="BQ42" s="197" t="n"/>
      <c r="BR42" s="197" t="n"/>
      <c r="BS42" s="197" t="n"/>
      <c r="BT42" s="197" t="n"/>
      <c r="BU42" s="197" t="n"/>
      <c r="BV42" s="197" t="n"/>
      <c r="BX42" s="198" t="n"/>
      <c r="BY42" s="197" t="n"/>
      <c r="BZ42" s="197" t="n"/>
      <c r="CA42" s="197" t="n"/>
      <c r="CB42" s="197" t="n"/>
      <c r="CC42" s="197" t="n"/>
      <c r="CD42" s="197" t="n"/>
      <c r="CF42" s="198" t="n"/>
      <c r="CG42" s="197" t="n"/>
      <c r="CH42" s="197" t="n"/>
      <c r="CI42" s="197" t="n"/>
      <c r="CJ42" s="197" t="n"/>
      <c r="CK42" s="197" t="n"/>
      <c r="CL42" s="197" t="n"/>
    </row>
    <row r="43" hidden="1" ht="13.25" customHeight="1">
      <c r="B43" s="204">
        <f>+C43-1</f>
        <v/>
      </c>
      <c r="C43" s="204">
        <f>IF('bands_A-H_Avg'!$D$9+1&gt;MONTH(G43),YEAR(G43),YEAR(G43)+1)</f>
        <v/>
      </c>
      <c r="D43" s="204">
        <f>+C43+1</f>
        <v/>
      </c>
      <c r="E43" s="203">
        <f>IF(C43&gt;C42,1,E42+1)</f>
        <v/>
      </c>
      <c r="F43" s="203">
        <f>COUNTIF(C:C,C43)</f>
        <v/>
      </c>
      <c r="G43" s="198">
        <f>+G44-7</f>
        <v/>
      </c>
      <c r="H43" s="361" t="n"/>
      <c r="I43" s="968" t="n"/>
      <c r="J43" s="968" t="n"/>
      <c r="K43" s="968" t="n"/>
      <c r="L43" s="968" t="n"/>
      <c r="M43" s="199" t="n"/>
      <c r="N43" s="199" t="n"/>
      <c r="O43" s="199" t="n"/>
      <c r="P43" s="199" t="n"/>
      <c r="Q43" s="199" t="n"/>
      <c r="T43" s="198" t="n"/>
      <c r="U43" s="199" t="n"/>
      <c r="V43" s="969" t="n"/>
      <c r="AB43" s="198" t="n"/>
      <c r="AC43" s="199" t="n"/>
      <c r="AD43" s="199" t="n"/>
      <c r="AE43" s="199" t="n"/>
      <c r="AF43" s="199" t="n"/>
      <c r="AG43" s="199" t="n"/>
      <c r="AH43" s="199" t="n"/>
      <c r="AJ43" s="198" t="n"/>
      <c r="AK43" s="199" t="n"/>
      <c r="AL43" s="199" t="n"/>
      <c r="AM43" s="199" t="n"/>
      <c r="AN43" s="199" t="n"/>
      <c r="AO43" s="199" t="n"/>
      <c r="AP43" s="199" t="n"/>
      <c r="AR43" s="198" t="n"/>
      <c r="AS43" s="199" t="n"/>
      <c r="AT43" s="199" t="n"/>
      <c r="AU43" s="199" t="n"/>
      <c r="AV43" s="199" t="n"/>
      <c r="AW43" s="199" t="n"/>
      <c r="AX43" s="199" t="n"/>
      <c r="AZ43" s="198" t="n"/>
      <c r="BA43" s="199" t="n"/>
      <c r="BB43" s="199" t="n"/>
      <c r="BC43" s="199" t="n"/>
      <c r="BD43" s="199" t="n"/>
      <c r="BE43" s="199" t="n"/>
      <c r="BF43" s="199" t="n"/>
      <c r="BH43" s="198" t="n"/>
      <c r="BI43" s="197" t="n"/>
      <c r="BJ43" s="197" t="n"/>
      <c r="BK43" s="197" t="n"/>
      <c r="BL43" s="197" t="n"/>
      <c r="BM43" s="197" t="n"/>
      <c r="BN43" s="197" t="n"/>
      <c r="BP43" s="198" t="n"/>
      <c r="BQ43" s="197" t="n"/>
      <c r="BR43" s="197" t="n"/>
      <c r="BS43" s="197" t="n"/>
      <c r="BT43" s="197" t="n"/>
      <c r="BU43" s="197" t="n"/>
      <c r="BV43" s="197" t="n"/>
      <c r="BX43" s="198" t="n"/>
      <c r="BY43" s="197" t="n"/>
      <c r="BZ43" s="197" t="n"/>
      <c r="CA43" s="197" t="n"/>
      <c r="CB43" s="197" t="n"/>
      <c r="CC43" s="197" t="n"/>
      <c r="CD43" s="197" t="n"/>
      <c r="CF43" s="198" t="n"/>
      <c r="CG43" s="197" t="n"/>
      <c r="CH43" s="197" t="n"/>
      <c r="CI43" s="197" t="n"/>
      <c r="CJ43" s="197" t="n"/>
      <c r="CK43" s="197" t="n"/>
      <c r="CL43" s="197" t="n"/>
    </row>
    <row r="44" hidden="1" ht="13.25" customHeight="1">
      <c r="B44" s="204">
        <f>+C44-1</f>
        <v/>
      </c>
      <c r="C44" s="204">
        <f>IF('bands_A-H_Avg'!$D$9+1&gt;MONTH(G44),YEAR(G44),YEAR(G44)+1)</f>
        <v/>
      </c>
      <c r="D44" s="204">
        <f>+C44+1</f>
        <v/>
      </c>
      <c r="E44" s="203">
        <f>IF(C44&gt;C43,1,E43+1)</f>
        <v/>
      </c>
      <c r="F44" s="203">
        <f>COUNTIF(C:C,C44)</f>
        <v/>
      </c>
      <c r="G44" s="198">
        <f>+G45-7</f>
        <v/>
      </c>
      <c r="H44" s="361" t="n"/>
      <c r="I44" s="968" t="n"/>
      <c r="J44" s="968" t="n"/>
      <c r="K44" s="968" t="n"/>
      <c r="L44" s="968" t="n"/>
      <c r="M44" s="199" t="n"/>
      <c r="N44" s="199" t="n"/>
      <c r="O44" s="199" t="n"/>
      <c r="P44" s="199" t="n"/>
      <c r="Q44" s="199" t="n"/>
      <c r="T44" s="198" t="n"/>
      <c r="U44" s="199" t="n"/>
      <c r="V44" s="969" t="n"/>
      <c r="AB44" s="198" t="n"/>
      <c r="AC44" s="199" t="n"/>
      <c r="AD44" s="199" t="n"/>
      <c r="AE44" s="199" t="n"/>
      <c r="AF44" s="199" t="n"/>
      <c r="AG44" s="199" t="n"/>
      <c r="AH44" s="199" t="n"/>
      <c r="AJ44" s="198" t="n"/>
      <c r="AK44" s="199" t="n"/>
      <c r="AL44" s="199" t="n"/>
      <c r="AM44" s="199" t="n"/>
      <c r="AN44" s="199" t="n"/>
      <c r="AO44" s="199" t="n"/>
      <c r="AP44" s="199" t="n"/>
      <c r="AR44" s="198" t="n"/>
      <c r="AS44" s="199" t="n"/>
      <c r="AT44" s="199" t="n"/>
      <c r="AU44" s="199" t="n"/>
      <c r="AV44" s="199" t="n"/>
      <c r="AW44" s="199" t="n"/>
      <c r="AX44" s="199" t="n"/>
      <c r="AZ44" s="198" t="n"/>
      <c r="BA44" s="199" t="n"/>
      <c r="BB44" s="199" t="n"/>
      <c r="BC44" s="199" t="n"/>
      <c r="BD44" s="199" t="n"/>
      <c r="BE44" s="199" t="n"/>
      <c r="BF44" s="199" t="n"/>
      <c r="BH44" s="198" t="n"/>
      <c r="BI44" s="197" t="n"/>
      <c r="BJ44" s="197" t="n"/>
      <c r="BK44" s="197" t="n"/>
      <c r="BL44" s="197" t="n"/>
      <c r="BM44" s="197" t="n"/>
      <c r="BN44" s="197" t="n"/>
      <c r="BP44" s="198" t="n"/>
      <c r="BQ44" s="197" t="n"/>
      <c r="BR44" s="197" t="n"/>
      <c r="BS44" s="197" t="n"/>
      <c r="BT44" s="197" t="n"/>
      <c r="BU44" s="197" t="n"/>
      <c r="BV44" s="197" t="n"/>
      <c r="BX44" s="198" t="n"/>
      <c r="BY44" s="197" t="n"/>
      <c r="BZ44" s="197" t="n"/>
      <c r="CA44" s="197" t="n"/>
      <c r="CB44" s="197" t="n"/>
      <c r="CC44" s="197" t="n"/>
      <c r="CD44" s="197" t="n"/>
      <c r="CF44" s="198" t="n"/>
      <c r="CG44" s="197" t="n"/>
      <c r="CH44" s="197" t="n"/>
      <c r="CI44" s="197" t="n"/>
      <c r="CJ44" s="197" t="n"/>
      <c r="CK44" s="197" t="n"/>
      <c r="CL44" s="197" t="n"/>
    </row>
    <row r="45" hidden="1" ht="13.25" customHeight="1">
      <c r="B45" s="204">
        <f>+C45-1</f>
        <v/>
      </c>
      <c r="C45" s="204">
        <f>IF('bands_A-H_Avg'!$D$9+1&gt;MONTH(G45),YEAR(G45),YEAR(G45)+1)</f>
        <v/>
      </c>
      <c r="D45" s="204">
        <f>+C45+1</f>
        <v/>
      </c>
      <c r="E45" s="203">
        <f>IF(C45&gt;C44,1,E44+1)</f>
        <v/>
      </c>
      <c r="F45" s="203">
        <f>COUNTIF(C:C,C45)</f>
        <v/>
      </c>
      <c r="G45" s="198">
        <f>+G46-7</f>
        <v/>
      </c>
      <c r="H45" s="361" t="n"/>
      <c r="I45" s="968" t="n"/>
      <c r="J45" s="968" t="n"/>
      <c r="K45" s="968" t="n"/>
      <c r="L45" s="968" t="n"/>
      <c r="M45" s="199" t="n"/>
      <c r="N45" s="199" t="n"/>
      <c r="O45" s="199" t="n"/>
      <c r="P45" s="199" t="n"/>
      <c r="Q45" s="199" t="n"/>
      <c r="T45" s="198" t="n"/>
      <c r="U45" s="199" t="n"/>
      <c r="V45" s="969" t="n"/>
      <c r="AB45" s="198" t="n"/>
      <c r="AC45" s="199" t="n"/>
      <c r="AD45" s="199" t="n"/>
      <c r="AE45" s="199" t="n"/>
      <c r="AF45" s="199" t="n"/>
      <c r="AG45" s="199" t="n"/>
      <c r="AH45" s="199" t="n"/>
      <c r="AJ45" s="198" t="n"/>
      <c r="AK45" s="199" t="n"/>
      <c r="AL45" s="199" t="n"/>
      <c r="AM45" s="199" t="n"/>
      <c r="AN45" s="199" t="n"/>
      <c r="AO45" s="199" t="n"/>
      <c r="AP45" s="199" t="n"/>
      <c r="AR45" s="198" t="n"/>
      <c r="AS45" s="199" t="n"/>
      <c r="AT45" s="199" t="n"/>
      <c r="AU45" s="199" t="n"/>
      <c r="AV45" s="199" t="n"/>
      <c r="AW45" s="199" t="n"/>
      <c r="AX45" s="199" t="n"/>
      <c r="AZ45" s="198" t="n"/>
      <c r="BA45" s="199" t="n"/>
      <c r="BB45" s="199" t="n"/>
      <c r="BC45" s="199" t="n"/>
      <c r="BD45" s="199" t="n"/>
      <c r="BE45" s="199" t="n"/>
      <c r="BF45" s="199" t="n"/>
      <c r="BH45" s="198" t="n"/>
      <c r="BI45" s="197" t="n"/>
      <c r="BJ45" s="197" t="n"/>
      <c r="BK45" s="197" t="n"/>
      <c r="BL45" s="197" t="n"/>
      <c r="BM45" s="197" t="n"/>
      <c r="BN45" s="197" t="n"/>
      <c r="BP45" s="198" t="n"/>
      <c r="BQ45" s="197" t="n"/>
      <c r="BR45" s="197" t="n"/>
      <c r="BS45" s="197" t="n"/>
      <c r="BT45" s="197" t="n"/>
      <c r="BU45" s="197" t="n"/>
      <c r="BV45" s="197" t="n"/>
      <c r="BX45" s="198" t="n"/>
      <c r="BY45" s="197" t="n"/>
      <c r="BZ45" s="197" t="n"/>
      <c r="CA45" s="197" t="n"/>
      <c r="CB45" s="197" t="n"/>
      <c r="CC45" s="197" t="n"/>
      <c r="CD45" s="197" t="n"/>
      <c r="CF45" s="198" t="n"/>
      <c r="CG45" s="197" t="n"/>
      <c r="CH45" s="197" t="n"/>
      <c r="CI45" s="197" t="n"/>
      <c r="CJ45" s="197" t="n"/>
      <c r="CK45" s="197" t="n"/>
      <c r="CL45" s="197" t="n"/>
    </row>
    <row r="46" hidden="1" ht="13.25" customHeight="1">
      <c r="B46" s="204">
        <f>+C46-1</f>
        <v/>
      </c>
      <c r="C46" s="204">
        <f>IF('bands_A-H_Avg'!$D$9+1&gt;MONTH(G46),YEAR(G46),YEAR(G46)+1)</f>
        <v/>
      </c>
      <c r="D46" s="204">
        <f>+C46+1</f>
        <v/>
      </c>
      <c r="E46" s="203">
        <f>IF(C46&gt;C45,1,E45+1)</f>
        <v/>
      </c>
      <c r="F46" s="203">
        <f>COUNTIF(C:C,C46)</f>
        <v/>
      </c>
      <c r="G46" s="198">
        <f>+G47-7</f>
        <v/>
      </c>
      <c r="H46" s="361" t="n"/>
      <c r="I46" s="968" t="n"/>
      <c r="J46" s="968" t="n"/>
      <c r="K46" s="968" t="n"/>
      <c r="L46" s="968" t="n"/>
      <c r="M46" s="199" t="n"/>
      <c r="N46" s="199" t="n"/>
      <c r="O46" s="199" t="n"/>
      <c r="P46" s="199" t="n"/>
      <c r="Q46" s="199" t="n"/>
      <c r="T46" s="198" t="n"/>
      <c r="U46" s="199" t="n"/>
      <c r="V46" s="969" t="n"/>
      <c r="AB46" s="198" t="n"/>
      <c r="AC46" s="199" t="n"/>
      <c r="AD46" s="199" t="n"/>
      <c r="AE46" s="199" t="n"/>
      <c r="AF46" s="199" t="n"/>
      <c r="AG46" s="199" t="n"/>
      <c r="AH46" s="199" t="n"/>
      <c r="AJ46" s="198" t="n"/>
      <c r="AK46" s="199" t="n"/>
      <c r="AL46" s="199" t="n"/>
      <c r="AM46" s="199" t="n"/>
      <c r="AN46" s="199" t="n"/>
      <c r="AO46" s="199" t="n"/>
      <c r="AP46" s="199" t="n"/>
      <c r="AR46" s="198" t="n"/>
      <c r="AS46" s="199" t="n"/>
      <c r="AT46" s="199" t="n"/>
      <c r="AU46" s="199" t="n"/>
      <c r="AV46" s="199" t="n"/>
      <c r="AW46" s="199" t="n"/>
      <c r="AX46" s="199" t="n"/>
      <c r="AZ46" s="198" t="n"/>
      <c r="BA46" s="199" t="n"/>
      <c r="BB46" s="199" t="n"/>
      <c r="BC46" s="199" t="n"/>
      <c r="BD46" s="199" t="n"/>
      <c r="BE46" s="199" t="n"/>
      <c r="BF46" s="199" t="n"/>
      <c r="BH46" s="198" t="n"/>
      <c r="BI46" s="197" t="n"/>
      <c r="BJ46" s="197" t="n"/>
      <c r="BK46" s="197" t="n"/>
      <c r="BL46" s="197" t="n"/>
      <c r="BM46" s="197" t="n"/>
      <c r="BN46" s="197" t="n"/>
      <c r="BP46" s="198" t="n"/>
      <c r="BQ46" s="197" t="n"/>
      <c r="BR46" s="197" t="n"/>
      <c r="BS46" s="197" t="n"/>
      <c r="BT46" s="197" t="n"/>
      <c r="BU46" s="197" t="n"/>
      <c r="BV46" s="197" t="n"/>
      <c r="BX46" s="198" t="n"/>
      <c r="BY46" s="197" t="n"/>
      <c r="BZ46" s="197" t="n"/>
      <c r="CA46" s="197" t="n"/>
      <c r="CB46" s="197" t="n"/>
      <c r="CC46" s="197" t="n"/>
      <c r="CD46" s="197" t="n"/>
      <c r="CF46" s="198" t="n"/>
      <c r="CG46" s="197" t="n"/>
      <c r="CH46" s="197" t="n"/>
      <c r="CI46" s="197" t="n"/>
      <c r="CJ46" s="197" t="n"/>
      <c r="CK46" s="197" t="n"/>
      <c r="CL46" s="197" t="n"/>
    </row>
    <row r="47" hidden="1" ht="13.25" customHeight="1">
      <c r="B47" s="204">
        <f>+C47-1</f>
        <v/>
      </c>
      <c r="C47" s="204">
        <f>IF('bands_A-H_Avg'!$D$9+1&gt;MONTH(G47),YEAR(G47),YEAR(G47)+1)</f>
        <v/>
      </c>
      <c r="D47" s="204">
        <f>+C47+1</f>
        <v/>
      </c>
      <c r="E47" s="203">
        <f>IF(C47&gt;C46,1,E46+1)</f>
        <v/>
      </c>
      <c r="F47" s="203">
        <f>COUNTIF(C:C,C47)</f>
        <v/>
      </c>
      <c r="G47" s="198">
        <f>+G48-7</f>
        <v/>
      </c>
      <c r="H47" s="361" t="n"/>
      <c r="I47" s="968" t="n"/>
      <c r="J47" s="968" t="n"/>
      <c r="K47" s="968" t="n"/>
      <c r="L47" s="968" t="n"/>
      <c r="M47" s="199" t="n"/>
      <c r="N47" s="199" t="n"/>
      <c r="O47" s="199" t="n"/>
      <c r="P47" s="199" t="n"/>
      <c r="Q47" s="199" t="n"/>
      <c r="T47" s="198" t="n"/>
      <c r="U47" s="199" t="n"/>
      <c r="V47" s="969" t="n"/>
      <c r="AB47" s="198" t="n"/>
      <c r="AC47" s="199" t="n"/>
      <c r="AD47" s="199" t="n"/>
      <c r="AE47" s="199" t="n"/>
      <c r="AF47" s="199" t="n"/>
      <c r="AG47" s="199" t="n"/>
      <c r="AH47" s="199" t="n"/>
      <c r="AJ47" s="198" t="n"/>
      <c r="AK47" s="199" t="n"/>
      <c r="AL47" s="199" t="n"/>
      <c r="AM47" s="199" t="n"/>
      <c r="AN47" s="199" t="n"/>
      <c r="AO47" s="199" t="n"/>
      <c r="AP47" s="199" t="n"/>
      <c r="AR47" s="198" t="n"/>
      <c r="AS47" s="199" t="n"/>
      <c r="AT47" s="199" t="n"/>
      <c r="AU47" s="199" t="n"/>
      <c r="AV47" s="199" t="n"/>
      <c r="AW47" s="199" t="n"/>
      <c r="AX47" s="199" t="n"/>
      <c r="AZ47" s="198" t="n"/>
      <c r="BA47" s="199" t="n"/>
      <c r="BB47" s="199" t="n"/>
      <c r="BC47" s="199" t="n"/>
      <c r="BD47" s="199" t="n"/>
      <c r="BE47" s="199" t="n"/>
      <c r="BF47" s="199" t="n"/>
      <c r="BH47" s="198" t="n"/>
      <c r="BI47" s="197" t="n"/>
      <c r="BJ47" s="197" t="n"/>
      <c r="BK47" s="197" t="n"/>
      <c r="BL47" s="197" t="n"/>
      <c r="BM47" s="197" t="n"/>
      <c r="BN47" s="197" t="n"/>
      <c r="BP47" s="198" t="n"/>
      <c r="BQ47" s="197" t="n"/>
      <c r="BR47" s="197" t="n"/>
      <c r="BS47" s="197" t="n"/>
      <c r="BT47" s="197" t="n"/>
      <c r="BU47" s="197" t="n"/>
      <c r="BV47" s="197" t="n"/>
      <c r="BX47" s="198" t="n"/>
      <c r="BY47" s="197" t="n"/>
      <c r="BZ47" s="197" t="n"/>
      <c r="CA47" s="197" t="n"/>
      <c r="CB47" s="197" t="n"/>
      <c r="CC47" s="197" t="n"/>
      <c r="CD47" s="197" t="n"/>
      <c r="CF47" s="198" t="n"/>
      <c r="CG47" s="197" t="n"/>
      <c r="CH47" s="197" t="n"/>
      <c r="CI47" s="197" t="n"/>
      <c r="CJ47" s="197" t="n"/>
      <c r="CK47" s="197" t="n"/>
      <c r="CL47" s="197" t="n"/>
    </row>
    <row r="48" hidden="1" ht="13.25" customHeight="1">
      <c r="B48" s="204">
        <f>+C48-1</f>
        <v/>
      </c>
      <c r="C48" s="204">
        <f>IF('bands_A-H_Avg'!$D$9+1&gt;MONTH(G48),YEAR(G48),YEAR(G48)+1)</f>
        <v/>
      </c>
      <c r="D48" s="204">
        <f>+C48+1</f>
        <v/>
      </c>
      <c r="E48" s="203">
        <f>IF(C48&gt;C47,1,E47+1)</f>
        <v/>
      </c>
      <c r="F48" s="203">
        <f>COUNTIF(C:C,C48)</f>
        <v/>
      </c>
      <c r="G48" s="198">
        <f>+G49-7</f>
        <v/>
      </c>
      <c r="H48" s="361" t="n"/>
      <c r="I48" s="968" t="n"/>
      <c r="J48" s="968" t="n"/>
      <c r="K48" s="968" t="n"/>
      <c r="L48" s="968" t="n"/>
      <c r="M48" s="199" t="n"/>
      <c r="N48" s="199" t="n"/>
      <c r="O48" s="199" t="n"/>
      <c r="P48" s="199" t="n"/>
      <c r="Q48" s="199" t="n"/>
      <c r="T48" s="198" t="n"/>
      <c r="U48" s="199" t="n"/>
      <c r="V48" s="969" t="n"/>
      <c r="AB48" s="198" t="n"/>
      <c r="AC48" s="199" t="n"/>
      <c r="AD48" s="199" t="n"/>
      <c r="AE48" s="199" t="n"/>
      <c r="AF48" s="199" t="n"/>
      <c r="AG48" s="199" t="n"/>
      <c r="AH48" s="199" t="n"/>
      <c r="AJ48" s="198" t="n"/>
      <c r="AK48" s="199" t="n"/>
      <c r="AL48" s="199" t="n"/>
      <c r="AM48" s="199" t="n"/>
      <c r="AN48" s="199" t="n"/>
      <c r="AO48" s="199" t="n"/>
      <c r="AP48" s="199" t="n"/>
      <c r="AR48" s="198" t="n"/>
      <c r="AS48" s="199" t="n"/>
      <c r="AT48" s="199" t="n"/>
      <c r="AU48" s="199" t="n"/>
      <c r="AV48" s="199" t="n"/>
      <c r="AW48" s="199" t="n"/>
      <c r="AX48" s="199" t="n"/>
      <c r="AZ48" s="198" t="n"/>
      <c r="BA48" s="199" t="n"/>
      <c r="BB48" s="199" t="n"/>
      <c r="BC48" s="199" t="n"/>
      <c r="BD48" s="199" t="n"/>
      <c r="BE48" s="199" t="n"/>
      <c r="BF48" s="199" t="n"/>
      <c r="BH48" s="198" t="n"/>
      <c r="BI48" s="197" t="n"/>
      <c r="BJ48" s="197" t="n"/>
      <c r="BK48" s="197" t="n"/>
      <c r="BL48" s="197" t="n"/>
      <c r="BM48" s="197" t="n"/>
      <c r="BN48" s="197" t="n"/>
      <c r="BP48" s="198" t="n"/>
      <c r="BQ48" s="197" t="n"/>
      <c r="BR48" s="197" t="n"/>
      <c r="BS48" s="197" t="n"/>
      <c r="BT48" s="197" t="n"/>
      <c r="BU48" s="197" t="n"/>
      <c r="BV48" s="197" t="n"/>
      <c r="BX48" s="198" t="n"/>
      <c r="BY48" s="197" t="n"/>
      <c r="BZ48" s="197" t="n"/>
      <c r="CA48" s="197" t="n"/>
      <c r="CB48" s="197" t="n"/>
      <c r="CC48" s="197" t="n"/>
      <c r="CD48" s="197" t="n"/>
      <c r="CF48" s="198" t="n"/>
      <c r="CG48" s="197" t="n"/>
      <c r="CH48" s="197" t="n"/>
      <c r="CI48" s="197" t="n"/>
      <c r="CJ48" s="197" t="n"/>
      <c r="CK48" s="197" t="n"/>
      <c r="CL48" s="197" t="n"/>
    </row>
    <row r="49" hidden="1" ht="13.25" customHeight="1">
      <c r="B49" s="204">
        <f>+C49-1</f>
        <v/>
      </c>
      <c r="C49" s="204">
        <f>IF('bands_A-H_Avg'!$D$9+1&gt;MONTH(G49),YEAR(G49),YEAR(G49)+1)</f>
        <v/>
      </c>
      <c r="D49" s="204">
        <f>+C49+1</f>
        <v/>
      </c>
      <c r="E49" s="203">
        <f>IF(C49&gt;C48,1,E48+1)</f>
        <v/>
      </c>
      <c r="F49" s="203">
        <f>COUNTIF(C:C,C49)</f>
        <v/>
      </c>
      <c r="G49" s="198">
        <f>+G50-7</f>
        <v/>
      </c>
      <c r="H49" s="361" t="n"/>
      <c r="I49" s="968" t="n"/>
      <c r="J49" s="968" t="n"/>
      <c r="K49" s="968" t="n"/>
      <c r="L49" s="968" t="n"/>
      <c r="M49" s="199" t="n"/>
      <c r="N49" s="199" t="n"/>
      <c r="O49" s="199" t="n"/>
      <c r="P49" s="199" t="n"/>
      <c r="Q49" s="199" t="n"/>
      <c r="T49" s="198" t="n"/>
      <c r="U49" s="199" t="n"/>
      <c r="V49" s="969" t="n"/>
      <c r="AB49" s="198" t="n"/>
      <c r="AC49" s="199" t="n"/>
      <c r="AD49" s="199" t="n"/>
      <c r="AE49" s="199" t="n"/>
      <c r="AF49" s="199" t="n"/>
      <c r="AG49" s="199" t="n"/>
      <c r="AH49" s="199" t="n"/>
      <c r="AJ49" s="198" t="n"/>
      <c r="AK49" s="199" t="n"/>
      <c r="AL49" s="199" t="n"/>
      <c r="AM49" s="199" t="n"/>
      <c r="AN49" s="199" t="n"/>
      <c r="AO49" s="199" t="n"/>
      <c r="AP49" s="199" t="n"/>
      <c r="AR49" s="198" t="n"/>
      <c r="AS49" s="199" t="n"/>
      <c r="AT49" s="199" t="n"/>
      <c r="AU49" s="199" t="n"/>
      <c r="AV49" s="199" t="n"/>
      <c r="AW49" s="199" t="n"/>
      <c r="AX49" s="199" t="n"/>
      <c r="AZ49" s="198" t="n"/>
      <c r="BA49" s="199" t="n"/>
      <c r="BB49" s="199" t="n"/>
      <c r="BC49" s="199" t="n"/>
      <c r="BD49" s="199" t="n"/>
      <c r="BE49" s="199" t="n"/>
      <c r="BF49" s="199" t="n"/>
      <c r="BH49" s="198" t="n"/>
      <c r="BI49" s="197" t="n"/>
      <c r="BJ49" s="197" t="n"/>
      <c r="BK49" s="197" t="n"/>
      <c r="BL49" s="197" t="n"/>
      <c r="BM49" s="197" t="n"/>
      <c r="BN49" s="197" t="n"/>
      <c r="BP49" s="198" t="n"/>
      <c r="BQ49" s="197" t="n"/>
      <c r="BR49" s="197" t="n"/>
      <c r="BS49" s="197" t="n"/>
      <c r="BT49" s="197" t="n"/>
      <c r="BU49" s="197" t="n"/>
      <c r="BV49" s="197" t="n"/>
      <c r="BX49" s="198" t="n"/>
      <c r="BY49" s="197" t="n"/>
      <c r="BZ49" s="197" t="n"/>
      <c r="CA49" s="197" t="n"/>
      <c r="CB49" s="197" t="n"/>
      <c r="CC49" s="197" t="n"/>
      <c r="CD49" s="197" t="n"/>
      <c r="CF49" s="198" t="n"/>
      <c r="CG49" s="197" t="n"/>
      <c r="CH49" s="197" t="n"/>
      <c r="CI49" s="197" t="n"/>
      <c r="CJ49" s="197" t="n"/>
      <c r="CK49" s="197" t="n"/>
      <c r="CL49" s="197" t="n"/>
    </row>
    <row r="50" hidden="1" ht="13.25" customHeight="1">
      <c r="B50" s="204">
        <f>+C50-1</f>
        <v/>
      </c>
      <c r="C50" s="204">
        <f>IF('bands_A-H_Avg'!$D$9+1&gt;MONTH(G50),YEAR(G50),YEAR(G50)+1)</f>
        <v/>
      </c>
      <c r="D50" s="204">
        <f>+C50+1</f>
        <v/>
      </c>
      <c r="E50" s="203">
        <f>IF(C50&gt;C49,1,E49+1)</f>
        <v/>
      </c>
      <c r="F50" s="203">
        <f>COUNTIF(C:C,C50)</f>
        <v/>
      </c>
      <c r="G50" s="198">
        <f>+G51-7</f>
        <v/>
      </c>
      <c r="H50" s="361" t="n"/>
      <c r="I50" s="968" t="n"/>
      <c r="J50" s="968" t="n"/>
      <c r="K50" s="968" t="n"/>
      <c r="L50" s="968" t="n"/>
      <c r="M50" s="199" t="n"/>
      <c r="N50" s="199" t="n"/>
      <c r="O50" s="199" t="n"/>
      <c r="P50" s="199" t="n"/>
      <c r="Q50" s="199" t="n"/>
      <c r="T50" s="198" t="n"/>
      <c r="U50" s="199" t="n"/>
      <c r="V50" s="969" t="n"/>
      <c r="AB50" s="198" t="n"/>
      <c r="AC50" s="199" t="n"/>
      <c r="AD50" s="199" t="n"/>
      <c r="AE50" s="199" t="n"/>
      <c r="AF50" s="199" t="n"/>
      <c r="AG50" s="199" t="n"/>
      <c r="AH50" s="199" t="n"/>
      <c r="AJ50" s="198" t="n"/>
      <c r="AK50" s="199" t="n"/>
      <c r="AL50" s="199" t="n"/>
      <c r="AM50" s="199" t="n"/>
      <c r="AN50" s="199" t="n"/>
      <c r="AO50" s="199" t="n"/>
      <c r="AP50" s="199" t="n"/>
      <c r="AR50" s="198" t="n"/>
      <c r="AS50" s="199" t="n"/>
      <c r="AT50" s="199" t="n"/>
      <c r="AU50" s="199" t="n"/>
      <c r="AV50" s="199" t="n"/>
      <c r="AW50" s="199" t="n"/>
      <c r="AX50" s="199" t="n"/>
      <c r="AZ50" s="198" t="n"/>
      <c r="BA50" s="199" t="n"/>
      <c r="BB50" s="199" t="n"/>
      <c r="BC50" s="199" t="n"/>
      <c r="BD50" s="199" t="n"/>
      <c r="BE50" s="199" t="n"/>
      <c r="BF50" s="199" t="n"/>
      <c r="BH50" s="198" t="n"/>
      <c r="BI50" s="197" t="n"/>
      <c r="BJ50" s="197" t="n"/>
      <c r="BK50" s="197" t="n"/>
      <c r="BL50" s="197" t="n"/>
      <c r="BM50" s="197" t="n"/>
      <c r="BN50" s="197" t="n"/>
      <c r="BP50" s="198" t="n"/>
      <c r="BQ50" s="197" t="n"/>
      <c r="BR50" s="197" t="n"/>
      <c r="BS50" s="197" t="n"/>
      <c r="BT50" s="197" t="n"/>
      <c r="BU50" s="197" t="n"/>
      <c r="BV50" s="197" t="n"/>
      <c r="BX50" s="198" t="n"/>
      <c r="BY50" s="197" t="n"/>
      <c r="BZ50" s="197" t="n"/>
      <c r="CA50" s="197" t="n"/>
      <c r="CB50" s="197" t="n"/>
      <c r="CC50" s="197" t="n"/>
      <c r="CD50" s="197" t="n"/>
      <c r="CF50" s="198" t="n"/>
      <c r="CG50" s="197" t="n"/>
      <c r="CH50" s="197" t="n"/>
      <c r="CI50" s="197" t="n"/>
      <c r="CJ50" s="197" t="n"/>
      <c r="CK50" s="197" t="n"/>
      <c r="CL50" s="197" t="n"/>
    </row>
    <row r="51" hidden="1" ht="13.25" customHeight="1">
      <c r="B51" s="204">
        <f>+C51-1</f>
        <v/>
      </c>
      <c r="C51" s="204">
        <f>IF('bands_A-H_Avg'!$D$9+1&gt;MONTH(G51),YEAR(G51),YEAR(G51)+1)</f>
        <v/>
      </c>
      <c r="D51" s="204">
        <f>+C51+1</f>
        <v/>
      </c>
      <c r="E51" s="203">
        <f>IF(C51&gt;C50,1,E50+1)</f>
        <v/>
      </c>
      <c r="F51" s="203">
        <f>COUNTIF(C:C,C51)</f>
        <v/>
      </c>
      <c r="G51" s="198">
        <f>+G52-7</f>
        <v/>
      </c>
      <c r="H51" s="361" t="n"/>
      <c r="I51" s="968" t="n"/>
      <c r="J51" s="968" t="n"/>
      <c r="K51" s="968" t="n"/>
      <c r="L51" s="968" t="n"/>
      <c r="M51" s="199" t="n"/>
      <c r="N51" s="199" t="n"/>
      <c r="O51" s="199" t="n"/>
      <c r="P51" s="199" t="n"/>
      <c r="Q51" s="199" t="n"/>
      <c r="T51" s="198" t="n"/>
      <c r="U51" s="199" t="n"/>
      <c r="V51" s="969" t="n"/>
      <c r="AB51" s="198" t="n"/>
      <c r="AC51" s="199" t="n"/>
      <c r="AD51" s="199" t="n"/>
      <c r="AE51" s="199" t="n"/>
      <c r="AF51" s="199" t="n"/>
      <c r="AG51" s="199" t="n"/>
      <c r="AH51" s="199" t="n"/>
      <c r="AJ51" s="198" t="n"/>
      <c r="AK51" s="199" t="n"/>
      <c r="AL51" s="199" t="n"/>
      <c r="AM51" s="199" t="n"/>
      <c r="AN51" s="199" t="n"/>
      <c r="AO51" s="199" t="n"/>
      <c r="AP51" s="199" t="n"/>
      <c r="AR51" s="198" t="n"/>
      <c r="AS51" s="199" t="n"/>
      <c r="AT51" s="199" t="n"/>
      <c r="AU51" s="199" t="n"/>
      <c r="AV51" s="199" t="n"/>
      <c r="AW51" s="199" t="n"/>
      <c r="AX51" s="199" t="n"/>
      <c r="AZ51" s="198" t="n"/>
      <c r="BA51" s="199" t="n"/>
      <c r="BB51" s="199" t="n"/>
      <c r="BC51" s="199" t="n"/>
      <c r="BD51" s="199" t="n"/>
      <c r="BE51" s="199" t="n"/>
      <c r="BF51" s="199" t="n"/>
      <c r="BH51" s="198" t="n"/>
      <c r="BI51" s="197" t="n"/>
      <c r="BJ51" s="197" t="n"/>
      <c r="BK51" s="197" t="n"/>
      <c r="BL51" s="197" t="n"/>
      <c r="BM51" s="197" t="n"/>
      <c r="BN51" s="197" t="n"/>
      <c r="BP51" s="198" t="n"/>
      <c r="BQ51" s="197" t="n"/>
      <c r="BR51" s="197" t="n"/>
      <c r="BS51" s="197" t="n"/>
      <c r="BT51" s="197" t="n"/>
      <c r="BU51" s="197" t="n"/>
      <c r="BV51" s="197" t="n"/>
      <c r="BX51" s="198" t="n"/>
      <c r="BY51" s="197" t="n"/>
      <c r="BZ51" s="197" t="n"/>
      <c r="CA51" s="197" t="n"/>
      <c r="CB51" s="197" t="n"/>
      <c r="CC51" s="197" t="n"/>
      <c r="CD51" s="197" t="n"/>
      <c r="CF51" s="198" t="n"/>
      <c r="CG51" s="197" t="n"/>
      <c r="CH51" s="197" t="n"/>
      <c r="CI51" s="197" t="n"/>
      <c r="CJ51" s="197" t="n"/>
      <c r="CK51" s="197" t="n"/>
      <c r="CL51" s="197" t="n"/>
    </row>
    <row r="52" hidden="1" ht="13.25" customHeight="1">
      <c r="B52" s="204">
        <f>+C52-1</f>
        <v/>
      </c>
      <c r="C52" s="204">
        <f>IF('bands_A-H_Avg'!$D$9+1&gt;MONTH(G52),YEAR(G52),YEAR(G52)+1)</f>
        <v/>
      </c>
      <c r="D52" s="204">
        <f>+C52+1</f>
        <v/>
      </c>
      <c r="E52" s="203">
        <f>IF(C52&gt;C51,1,E51+1)</f>
        <v/>
      </c>
      <c r="F52" s="203">
        <f>COUNTIF(C:C,C52)</f>
        <v/>
      </c>
      <c r="G52" s="198">
        <f>+G53-7</f>
        <v/>
      </c>
      <c r="H52" s="361" t="n"/>
      <c r="I52" s="968" t="n"/>
      <c r="J52" s="968" t="n"/>
      <c r="K52" s="968" t="n"/>
      <c r="L52" s="968" t="n"/>
      <c r="M52" s="199" t="n"/>
      <c r="N52" s="199" t="n"/>
      <c r="O52" s="199" t="n"/>
      <c r="P52" s="199" t="n"/>
      <c r="Q52" s="199" t="n"/>
      <c r="T52" s="198" t="n"/>
      <c r="U52" s="199" t="n"/>
      <c r="V52" s="969" t="n"/>
      <c r="AB52" s="198" t="n"/>
      <c r="AC52" s="199" t="n"/>
      <c r="AD52" s="199" t="n"/>
      <c r="AE52" s="199" t="n"/>
      <c r="AF52" s="199" t="n"/>
      <c r="AG52" s="199" t="n"/>
      <c r="AH52" s="199" t="n"/>
      <c r="AJ52" s="198" t="n"/>
      <c r="AK52" s="199" t="n"/>
      <c r="AL52" s="199" t="n"/>
      <c r="AM52" s="199" t="n"/>
      <c r="AN52" s="199" t="n"/>
      <c r="AO52" s="199" t="n"/>
      <c r="AP52" s="199" t="n"/>
      <c r="AR52" s="198" t="n"/>
      <c r="AS52" s="199" t="n"/>
      <c r="AT52" s="199" t="n"/>
      <c r="AU52" s="199" t="n"/>
      <c r="AV52" s="199" t="n"/>
      <c r="AW52" s="199" t="n"/>
      <c r="AX52" s="199" t="n"/>
      <c r="AZ52" s="198" t="n"/>
      <c r="BA52" s="199" t="n"/>
      <c r="BB52" s="199" t="n"/>
      <c r="BC52" s="199" t="n"/>
      <c r="BD52" s="199" t="n"/>
      <c r="BE52" s="199" t="n"/>
      <c r="BF52" s="199" t="n"/>
      <c r="BH52" s="198" t="n"/>
      <c r="BI52" s="197" t="n"/>
      <c r="BJ52" s="197" t="n"/>
      <c r="BK52" s="197" t="n"/>
      <c r="BL52" s="197" t="n"/>
      <c r="BM52" s="197" t="n"/>
      <c r="BN52" s="197" t="n"/>
      <c r="BP52" s="198" t="n"/>
      <c r="BQ52" s="197" t="n"/>
      <c r="BR52" s="197" t="n"/>
      <c r="BS52" s="197" t="n"/>
      <c r="BT52" s="197" t="n"/>
      <c r="BU52" s="197" t="n"/>
      <c r="BV52" s="197" t="n"/>
      <c r="BX52" s="198" t="n"/>
      <c r="BY52" s="197" t="n"/>
      <c r="BZ52" s="197" t="n"/>
      <c r="CA52" s="197" t="n"/>
      <c r="CB52" s="197" t="n"/>
      <c r="CC52" s="197" t="n"/>
      <c r="CD52" s="197" t="n"/>
      <c r="CF52" s="198" t="n"/>
      <c r="CG52" s="197" t="n"/>
      <c r="CH52" s="197" t="n"/>
      <c r="CI52" s="197" t="n"/>
      <c r="CJ52" s="197" t="n"/>
      <c r="CK52" s="197" t="n"/>
      <c r="CL52" s="197" t="n"/>
    </row>
    <row r="53" ht="13.25" customHeight="1">
      <c r="B53" s="204">
        <f>+C53-1</f>
        <v/>
      </c>
      <c r="C53" s="204">
        <f>IF('bands_A-H_Avg'!$D$9+1&gt;MONTH(G53),YEAR(G53),YEAR(G53)+1)</f>
        <v/>
      </c>
      <c r="D53" s="204">
        <f>+C53+1</f>
        <v/>
      </c>
      <c r="E53" s="203">
        <f>IF(C53&gt;C52,1,E52+1)</f>
        <v/>
      </c>
      <c r="F53" s="203">
        <f>COUNTIF(C:C,C53)</f>
        <v/>
      </c>
      <c r="G53" s="198">
        <f>+G54-7</f>
        <v/>
      </c>
      <c r="H53" s="361">
        <f>IF(ISBLANK(CO53),CP53,SUMPRODUCT(CO$32:CP$32,CO53:CP53))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c r="CP53" s="199" t="n">
        <v>1.68</v>
      </c>
      <c r="CR53" s="199" t="inlineStr">
        <is>
          <t>#N/A N/A</t>
        </is>
      </c>
      <c r="CS53" s="970" t="n">
        <v>1.06183</v>
      </c>
    </row>
    <row r="54" ht="13.25" customHeight="1">
      <c r="B54" s="204">
        <f>+C54-1</f>
        <v/>
      </c>
      <c r="C54" s="204">
        <f>IF('bands_A-H_Avg'!$D$9+1&gt;MONTH(G54),YEAR(G54),YEAR(G54)+1)</f>
        <v/>
      </c>
      <c r="D54" s="204">
        <f>+C54+1</f>
        <v/>
      </c>
      <c r="E54" s="203">
        <f>IF(C54&gt;C53,1,E53+1)</f>
        <v/>
      </c>
      <c r="F54" s="203">
        <f>COUNTIF(C:C,C54)</f>
        <v/>
      </c>
      <c r="G54" s="198">
        <f>+G55-7</f>
        <v/>
      </c>
      <c r="H54" s="361">
        <f>IF(ISBLANK(CO54),CP54,SUMPRODUCT(CO$32:CP$32,CO54:CP54))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c r="CP54" s="199" t="n">
        <v>1.69</v>
      </c>
      <c r="CR54" s="199" t="inlineStr">
        <is>
          <t>#N/A N/A</t>
        </is>
      </c>
      <c r="CS54" s="970" t="n">
        <v>1.06221</v>
      </c>
    </row>
    <row r="55" ht="13.25" customHeight="1">
      <c r="B55" s="204">
        <f>+C55-1</f>
        <v/>
      </c>
      <c r="C55" s="204">
        <f>IF('bands_A-H_Avg'!$D$9+1&gt;MONTH(G55),YEAR(G55),YEAR(G55)+1)</f>
        <v/>
      </c>
      <c r="D55" s="204">
        <f>+C55+1</f>
        <v/>
      </c>
      <c r="E55" s="203">
        <f>IF(C55&gt;C54,1,E54+1)</f>
        <v/>
      </c>
      <c r="F55" s="203">
        <f>COUNTIF(C:C,C55)</f>
        <v/>
      </c>
      <c r="G55" s="198">
        <f>+G56-7</f>
        <v/>
      </c>
      <c r="H55" s="361">
        <f>IF(ISBLANK(CO55),CP55,SUMPRODUCT(CO$32:CP$32,CO55:CP55))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c r="CP55" s="199" t="n">
        <v>1.76</v>
      </c>
      <c r="CR55" s="199" t="inlineStr">
        <is>
          <t>#N/A N/A</t>
        </is>
      </c>
      <c r="CS55" s="970" t="n">
        <v>1.0613</v>
      </c>
    </row>
    <row r="56" ht="13.25" customHeight="1">
      <c r="B56" s="204">
        <f>+C56-1</f>
        <v/>
      </c>
      <c r="C56" s="204">
        <f>IF('bands_A-H_Avg'!$D$9+1&gt;MONTH(G56),YEAR(G56),YEAR(G56)+1)</f>
        <v/>
      </c>
      <c r="D56" s="204">
        <f>+C56+1</f>
        <v/>
      </c>
      <c r="E56" s="203">
        <f>IF(C56&gt;C55,1,E55+1)</f>
        <v/>
      </c>
      <c r="F56" s="203">
        <f>COUNTIF(C:C,C56)</f>
        <v/>
      </c>
      <c r="G56" s="198">
        <f>+G57-7</f>
        <v/>
      </c>
      <c r="H56" s="361">
        <f>IF(ISBLANK(CO56),CP56,SUMPRODUCT(CO$32:CP$32,CO56:CP56))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c r="CP56" s="199" t="n">
        <v>1.73</v>
      </c>
      <c r="CR56" s="199" t="inlineStr">
        <is>
          <t>#N/A N/A</t>
        </is>
      </c>
      <c r="CS56" s="970" t="n">
        <v>1.06223</v>
      </c>
    </row>
    <row r="57" ht="13.25" customHeight="1">
      <c r="B57" s="204">
        <f>+C57-1</f>
        <v/>
      </c>
      <c r="C57" s="204">
        <f>IF('bands_A-H_Avg'!$D$9+1&gt;MONTH(G57),YEAR(G57),YEAR(G57)+1)</f>
        <v/>
      </c>
      <c r="D57" s="204">
        <f>+C57+1</f>
        <v/>
      </c>
      <c r="E57" s="203">
        <f>IF(C57&gt;C56,1,E56+1)</f>
        <v/>
      </c>
      <c r="F57" s="203">
        <f>COUNTIF(C:C,C57)</f>
        <v/>
      </c>
      <c r="G57" s="198">
        <f>+G58-7</f>
        <v/>
      </c>
      <c r="H57" s="361">
        <f>IF(ISBLANK(CO57),CP57,SUMPRODUCT(CO$32:CP$32,CO57:CP57))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c r="CP57" s="199" t="n">
        <v>1.72</v>
      </c>
      <c r="CR57" s="199" t="inlineStr">
        <is>
          <t>#N/A N/A</t>
        </is>
      </c>
      <c r="CS57" s="970" t="n">
        <v>1.06404</v>
      </c>
    </row>
    <row r="58" ht="13.25" customHeight="1">
      <c r="B58" s="204">
        <f>+C58-1</f>
        <v/>
      </c>
      <c r="C58" s="204">
        <f>IF('bands_A-H_Avg'!$D$9+1&gt;MONTH(G58),YEAR(G58),YEAR(G58)+1)</f>
        <v/>
      </c>
      <c r="D58" s="204">
        <f>+C58+1</f>
        <v/>
      </c>
      <c r="E58" s="203">
        <f>IF(C58&gt;C57,1,E57+1)</f>
        <v/>
      </c>
      <c r="F58" s="203">
        <f>COUNTIF(C:C,C58)</f>
        <v/>
      </c>
      <c r="G58" s="198">
        <f>+G59-7</f>
        <v/>
      </c>
      <c r="H58" s="361">
        <f>IF(ISBLANK(CO58),CP58,SUMPRODUCT(CO$32:CP$32,CO58:CP58))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c r="CP58" s="199" t="n">
        <v>1.66</v>
      </c>
      <c r="CR58" s="199" t="inlineStr">
        <is>
          <t>#N/A N/A</t>
        </is>
      </c>
      <c r="CS58" s="970" t="n">
        <v>1.06343</v>
      </c>
    </row>
    <row r="59" ht="13.25" customHeight="1">
      <c r="B59" s="204">
        <f>+C59-1</f>
        <v/>
      </c>
      <c r="C59" s="204">
        <f>IF('bands_A-H_Avg'!$D$9+1&gt;MONTH(G59),YEAR(G59),YEAR(G59)+1)</f>
        <v/>
      </c>
      <c r="D59" s="204">
        <f>+C59+1</f>
        <v/>
      </c>
      <c r="E59" s="203">
        <f>IF(C59&gt;C58,1,E58+1)</f>
        <v/>
      </c>
      <c r="F59" s="203">
        <f>COUNTIF(C:C,C59)</f>
        <v/>
      </c>
      <c r="G59" s="198">
        <f>+G60-7</f>
        <v/>
      </c>
      <c r="H59" s="361">
        <f>IF(ISBLANK(CO59),CP59,SUMPRODUCT(CO$32:CP$32,CO59:CP59))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c r="CP59" s="199" t="n">
        <v>1.72</v>
      </c>
      <c r="CR59" s="199" t="inlineStr">
        <is>
          <t>#N/A N/A</t>
        </is>
      </c>
      <c r="CS59" s="970" t="n">
        <v>1.06392</v>
      </c>
    </row>
    <row r="60" ht="13.25" customHeight="1">
      <c r="B60" s="204">
        <f>+C60-1</f>
        <v/>
      </c>
      <c r="C60" s="204">
        <f>IF('bands_A-H_Avg'!$D$9+1&gt;MONTH(G60),YEAR(G60),YEAR(G60)+1)</f>
        <v/>
      </c>
      <c r="D60" s="204">
        <f>+C60+1</f>
        <v/>
      </c>
      <c r="E60" s="203">
        <f>IF(C60&gt;C59,1,E59+1)</f>
        <v/>
      </c>
      <c r="F60" s="203">
        <f>COUNTIF(C:C,C60)</f>
        <v/>
      </c>
      <c r="G60" s="198">
        <f>+G61-7</f>
        <v/>
      </c>
      <c r="H60" s="361">
        <f>IF(ISBLANK(CO60),CP60,SUMPRODUCT(CO$32:CP$32,CO60:CP60))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c r="CP60" s="199" t="n">
        <v>1.7</v>
      </c>
      <c r="CR60" s="199" t="inlineStr">
        <is>
          <t>#N/A N/A</t>
        </is>
      </c>
      <c r="CS60" s="970" t="n">
        <v>1.06451</v>
      </c>
    </row>
    <row r="61" ht="13.25" customHeight="1">
      <c r="B61" s="204">
        <f>+C61-1</f>
        <v/>
      </c>
      <c r="C61" s="204">
        <f>IF('bands_A-H_Avg'!$D$9+1&gt;MONTH(G61),YEAR(G61),YEAR(G61)+1)</f>
        <v/>
      </c>
      <c r="D61" s="204">
        <f>+C61+1</f>
        <v/>
      </c>
      <c r="E61" s="203">
        <f>IF(C61&gt;C60,1,E60+1)</f>
        <v/>
      </c>
      <c r="F61" s="203">
        <f>COUNTIF(C:C,C61)</f>
        <v/>
      </c>
      <c r="G61" s="198">
        <f>+G62-7</f>
        <v/>
      </c>
      <c r="H61" s="361">
        <f>IF(ISBLANK(CO61),CP61,SUMPRODUCT(CO$32:CP$32,CO61:CP61))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c r="CP61" s="199" t="n">
        <v>1.75</v>
      </c>
      <c r="CR61" s="199" t="inlineStr">
        <is>
          <t>#N/A N/A</t>
        </is>
      </c>
      <c r="CS61" s="970" t="n">
        <v>1.0648</v>
      </c>
    </row>
    <row r="62" ht="13.25" customHeight="1">
      <c r="B62" s="204">
        <f>+C62-1</f>
        <v/>
      </c>
      <c r="C62" s="204">
        <f>IF('bands_A-H_Avg'!$D$9+1&gt;MONTH(G62),YEAR(G62),YEAR(G62)+1)</f>
        <v/>
      </c>
      <c r="D62" s="204">
        <f>+C62+1</f>
        <v/>
      </c>
      <c r="E62" s="203">
        <f>IF(C62&gt;C61,1,E61+1)</f>
        <v/>
      </c>
      <c r="F62" s="203">
        <f>COUNTIF(C:C,C62)</f>
        <v/>
      </c>
      <c r="G62" s="198">
        <f>+G63-7</f>
        <v/>
      </c>
      <c r="H62" s="361">
        <f>IF(ISBLANK(CO62),CP62,SUMPRODUCT(CO$32:CP$32,CO62:CP62))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c r="CP62" s="199" t="n">
        <v>1.76</v>
      </c>
      <c r="CR62" s="199" t="inlineStr">
        <is>
          <t>#N/A N/A</t>
        </is>
      </c>
      <c r="CS62" s="970" t="n">
        <v>1.06483</v>
      </c>
    </row>
    <row r="63" ht="13.25" customHeight="1">
      <c r="B63" s="204">
        <f>+C63-1</f>
        <v/>
      </c>
      <c r="C63" s="204">
        <f>IF('bands_A-H_Avg'!$D$9+1&gt;MONTH(G63),YEAR(G63),YEAR(G63)+1)</f>
        <v/>
      </c>
      <c r="D63" s="204">
        <f>+C63+1</f>
        <v/>
      </c>
      <c r="E63" s="203">
        <f>IF(C63&gt;C62,1,E62+1)</f>
        <v/>
      </c>
      <c r="F63" s="203">
        <f>COUNTIF(C:C,C63)</f>
        <v/>
      </c>
      <c r="G63" s="198">
        <f>+G64-7</f>
        <v/>
      </c>
      <c r="H63" s="361">
        <f>IF(ISBLANK(CO63),CP63,SUMPRODUCT(CO$32:CP$32,CO63:CP63))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c r="CP63" s="199" t="n">
        <v>1.86</v>
      </c>
      <c r="CR63" s="199" t="inlineStr">
        <is>
          <t>#N/A N/A</t>
        </is>
      </c>
      <c r="CS63" s="970" t="n">
        <v>1.06458</v>
      </c>
    </row>
    <row r="64" ht="13.25" customHeight="1">
      <c r="B64" s="204">
        <f>+C64-1</f>
        <v/>
      </c>
      <c r="C64" s="204">
        <f>IF('bands_A-H_Avg'!$D$9+1&gt;MONTH(G64),YEAR(G64),YEAR(G64)+1)</f>
        <v/>
      </c>
      <c r="D64" s="204">
        <f>+C64+1</f>
        <v/>
      </c>
      <c r="E64" s="203">
        <f>IF(C64&gt;C63,1,E63+1)</f>
        <v/>
      </c>
      <c r="F64" s="203">
        <f>COUNTIF(C:C,C64)</f>
        <v/>
      </c>
      <c r="G64" s="198">
        <f>+G65-7</f>
        <v/>
      </c>
      <c r="H64" s="361">
        <f>IF(ISBLANK(CO64),CP64,SUMPRODUCT(CO$32:CP$32,CO64:CP64))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c r="CP64" s="199" t="n">
        <v>1.92</v>
      </c>
      <c r="CR64" s="199" t="inlineStr">
        <is>
          <t>#N/A N/A</t>
        </is>
      </c>
      <c r="CS64" s="970" t="n">
        <v>1.06434</v>
      </c>
    </row>
    <row r="65" ht="13.25" customHeight="1">
      <c r="B65" s="204">
        <f>+C65-1</f>
        <v/>
      </c>
      <c r="C65" s="204">
        <f>IF('bands_A-H_Avg'!$D$9+1&gt;MONTH(G65),YEAR(G65),YEAR(G65)+1)</f>
        <v/>
      </c>
      <c r="D65" s="204">
        <f>+C65+1</f>
        <v/>
      </c>
      <c r="E65" s="203">
        <f>IF(C65&gt;C64,1,E64+1)</f>
        <v/>
      </c>
      <c r="F65" s="203">
        <f>COUNTIF(C:C,C65)</f>
        <v/>
      </c>
      <c r="G65" s="198">
        <f>+G66-7</f>
        <v/>
      </c>
      <c r="H65" s="361">
        <f>IF(ISBLANK(CO65),CP65,SUMPRODUCT(CO$32:CP$32,CO65:CP65))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c r="CP65" s="199" t="n">
        <v>1.85</v>
      </c>
      <c r="CR65" s="199" t="inlineStr">
        <is>
          <t>#N/A N/A</t>
        </is>
      </c>
      <c r="CS65" s="970" t="n">
        <v>1.04395</v>
      </c>
    </row>
    <row r="66" ht="13.25" customHeight="1">
      <c r="B66" s="204">
        <f>+C66-1</f>
        <v/>
      </c>
      <c r="C66" s="204">
        <f>IF('bands_A-H_Avg'!$D$9+1&gt;MONTH(G66),YEAR(G66),YEAR(G66)+1)</f>
        <v/>
      </c>
      <c r="D66" s="204">
        <f>+C66+1</f>
        <v/>
      </c>
      <c r="E66" s="203">
        <f>IF(C66&gt;C65,1,E65+1)</f>
        <v/>
      </c>
      <c r="F66" s="203">
        <f>COUNTIF(C:C,C66)</f>
        <v/>
      </c>
      <c r="G66" s="198">
        <f>+G67-7</f>
        <v/>
      </c>
      <c r="H66" s="361">
        <f>IF(ISBLANK(CO66),CP66,SUMPRODUCT(CO$32:CP$32,CO66:CP66))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c r="CP66" s="199" t="n">
        <v>1.94</v>
      </c>
      <c r="CR66" s="199" t="inlineStr">
        <is>
          <t>#N/A N/A</t>
        </is>
      </c>
      <c r="CS66" s="970" t="n">
        <v>1.04269</v>
      </c>
    </row>
    <row r="67" ht="13.25" customHeight="1">
      <c r="B67" s="204">
        <f>+C67-1</f>
        <v/>
      </c>
      <c r="C67" s="204">
        <f>IF('bands_A-H_Avg'!$D$9+1&gt;MONTH(G67),YEAR(G67),YEAR(G67)+1)</f>
        <v/>
      </c>
      <c r="D67" s="204">
        <f>+C67+1</f>
        <v/>
      </c>
      <c r="E67" s="203">
        <f>IF(C67&gt;C66,1,E66+1)</f>
        <v/>
      </c>
      <c r="F67" s="203">
        <f>COUNTIF(C:C,C67)</f>
        <v/>
      </c>
      <c r="G67" s="198">
        <f>+G68-7</f>
        <v/>
      </c>
      <c r="H67" s="361">
        <f>IF(ISBLANK(CO67),CP67,SUMPRODUCT(CO$32:CP$32,CO67:CP67))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c r="CP67" s="199" t="n">
        <v>2.025</v>
      </c>
      <c r="CR67" s="199" t="inlineStr">
        <is>
          <t>#N/A N/A</t>
        </is>
      </c>
      <c r="CS67" s="970" t="n">
        <v>1.04277</v>
      </c>
    </row>
    <row r="68" ht="13.25" customHeight="1">
      <c r="B68" s="204">
        <f>+C68-1</f>
        <v/>
      </c>
      <c r="C68" s="204">
        <f>IF('bands_A-H_Avg'!$D$9+1&gt;MONTH(G68),YEAR(G68),YEAR(G68)+1)</f>
        <v/>
      </c>
      <c r="D68" s="204">
        <f>+C68+1</f>
        <v/>
      </c>
      <c r="E68" s="203">
        <f>IF(C68&gt;C67,1,E67+1)</f>
        <v/>
      </c>
      <c r="F68" s="203">
        <f>COUNTIF(C:C,C68)</f>
        <v/>
      </c>
      <c r="G68" s="198">
        <f>+G69-7</f>
        <v/>
      </c>
      <c r="H68" s="361">
        <f>IF(ISBLANK(CO68),CP68,SUMPRODUCT(CO$32:CP$32,CO68:CP68))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c r="CP68" s="199" t="n">
        <v>2.2</v>
      </c>
      <c r="CR68" s="199" t="inlineStr">
        <is>
          <t>#N/A N/A</t>
        </is>
      </c>
      <c r="CS68" s="970" t="n">
        <v>1.04231</v>
      </c>
    </row>
    <row r="69" ht="13.25" customHeight="1">
      <c r="B69" s="204">
        <f>+C69-1</f>
        <v/>
      </c>
      <c r="C69" s="204">
        <f>IF('bands_A-H_Avg'!$D$9+1&gt;MONTH(G69),YEAR(G69),YEAR(G69)+1)</f>
        <v/>
      </c>
      <c r="D69" s="204">
        <f>+C69+1</f>
        <v/>
      </c>
      <c r="E69" s="203">
        <f>IF(C69&gt;C68,1,E68+1)</f>
        <v/>
      </c>
      <c r="F69" s="203">
        <f>COUNTIF(C:C,C69)</f>
        <v/>
      </c>
      <c r="G69" s="198">
        <f>+G70-7</f>
        <v/>
      </c>
      <c r="H69" s="361">
        <f>IF(ISBLANK(CO69),CP69,SUMPRODUCT(CO$32:CP$32,CO69:CP69))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c r="CP69" s="199" t="n">
        <v>2.325</v>
      </c>
      <c r="CR69" s="199" t="inlineStr">
        <is>
          <t>#N/A N/A</t>
        </is>
      </c>
      <c r="CS69" s="970" t="n">
        <v>1.04291</v>
      </c>
    </row>
    <row r="70" ht="13.25" customHeight="1">
      <c r="B70" s="204">
        <f>+C70-1</f>
        <v/>
      </c>
      <c r="C70" s="204">
        <f>IF('bands_A-H_Avg'!$D$9+1&gt;MONTH(G70),YEAR(G70),YEAR(G70)+1)</f>
        <v/>
      </c>
      <c r="D70" s="204">
        <f>+C70+1</f>
        <v/>
      </c>
      <c r="E70" s="203">
        <f>IF(C70&gt;C69,1,E69+1)</f>
        <v/>
      </c>
      <c r="F70" s="203">
        <f>COUNTIF(C:C,C70)</f>
        <v/>
      </c>
      <c r="G70" s="198">
        <f>+G71-7</f>
        <v/>
      </c>
      <c r="H70" s="361">
        <f>IF(ISBLANK(CO70),CP70,SUMPRODUCT(CO$32:CP$32,CO70:CP70))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c r="CP70" s="199" t="n">
        <v>2.375</v>
      </c>
      <c r="CR70" s="199" t="inlineStr">
        <is>
          <t>#N/A N/A</t>
        </is>
      </c>
      <c r="CS70" s="970" t="n">
        <v>1.04217</v>
      </c>
    </row>
    <row r="71" ht="13.25" customHeight="1">
      <c r="B71" s="204">
        <f>+C71-1</f>
        <v/>
      </c>
      <c r="C71" s="204">
        <f>IF('bands_A-H_Avg'!$D$9+1&gt;MONTH(G71),YEAR(G71),YEAR(G71)+1)</f>
        <v/>
      </c>
      <c r="D71" s="204">
        <f>+C71+1</f>
        <v/>
      </c>
      <c r="E71" s="203">
        <f>IF(C71&gt;C70,1,E70+1)</f>
        <v/>
      </c>
      <c r="F71" s="203">
        <f>COUNTIF(C:C,C71)</f>
        <v/>
      </c>
      <c r="G71" s="198">
        <f>+G72-7</f>
        <v/>
      </c>
      <c r="H71" s="361">
        <f>IF(ISBLANK(CO71),CP71,SUMPRODUCT(CO$32:CP$32,CO71:CP71))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c r="CP71" s="199" t="n">
        <v>2.375</v>
      </c>
      <c r="CR71" s="199" t="inlineStr">
        <is>
          <t>#N/A N/A</t>
        </is>
      </c>
      <c r="CS71" s="970" t="n">
        <v>1.04206</v>
      </c>
    </row>
    <row r="72" ht="13.25" customHeight="1">
      <c r="B72" s="204">
        <f>+C72-1</f>
        <v/>
      </c>
      <c r="C72" s="204">
        <f>IF('bands_A-H_Avg'!$D$9+1&gt;MONTH(G72),YEAR(G72),YEAR(G72)+1)</f>
        <v/>
      </c>
      <c r="D72" s="204">
        <f>+C72+1</f>
        <v/>
      </c>
      <c r="E72" s="203">
        <f>IF(C72&gt;C71,1,E71+1)</f>
        <v/>
      </c>
      <c r="F72" s="203">
        <f>COUNTIF(C:C,C72)</f>
        <v/>
      </c>
      <c r="G72" s="198">
        <f>+G73-7</f>
        <v/>
      </c>
      <c r="H72" s="361">
        <f>IF(ISBLANK(CO72),CP72,SUMPRODUCT(CO$32:CP$32,CO72:CP72))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c r="CP72" s="199" t="n">
        <v>2.35</v>
      </c>
      <c r="CR72" s="199" t="inlineStr">
        <is>
          <t>#N/A N/A</t>
        </is>
      </c>
      <c r="CS72" s="970" t="n">
        <v>1.04278</v>
      </c>
    </row>
    <row r="73" ht="13.25" customHeight="1">
      <c r="B73" s="204">
        <f>+C73-1</f>
        <v/>
      </c>
      <c r="C73" s="204">
        <f>IF('bands_A-H_Avg'!$D$9+1&gt;MONTH(G73),YEAR(G73),YEAR(G73)+1)</f>
        <v/>
      </c>
      <c r="D73" s="204">
        <f>+C73+1</f>
        <v/>
      </c>
      <c r="E73" s="203">
        <f>IF(C73&gt;C72,1,E72+1)</f>
        <v/>
      </c>
      <c r="F73" s="203">
        <f>COUNTIF(C:C,C73)</f>
        <v/>
      </c>
      <c r="G73" s="198">
        <f>+G74-7</f>
        <v/>
      </c>
      <c r="H73" s="361">
        <f>IF(ISBLANK(CO73),CP73,SUMPRODUCT(CO$32:CP$32,CO73:CP73))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c r="CP73" s="199" t="n">
        <v>2.2</v>
      </c>
      <c r="CR73" s="199" t="inlineStr">
        <is>
          <t>#N/A N/A</t>
        </is>
      </c>
      <c r="CS73" s="970" t="n">
        <v>1.04202</v>
      </c>
    </row>
    <row r="74" ht="13.25" customHeight="1">
      <c r="B74" s="204">
        <f>+C74-1</f>
        <v/>
      </c>
      <c r="C74" s="204">
        <f>IF('bands_A-H_Avg'!$D$9+1&gt;MONTH(G74),YEAR(G74),YEAR(G74)+1)</f>
        <v/>
      </c>
      <c r="D74" s="204">
        <f>+C74+1</f>
        <v/>
      </c>
      <c r="E74" s="203">
        <f>IF(C74&gt;C73,1,E73+1)</f>
        <v/>
      </c>
      <c r="F74" s="203">
        <f>COUNTIF(C:C,C74)</f>
        <v/>
      </c>
      <c r="G74" s="198">
        <f>+G75-7</f>
        <v/>
      </c>
      <c r="H74" s="361">
        <f>IF(ISBLANK(CO74),CP74,SUMPRODUCT(CO$32:CP$32,CO74:CP74))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c r="CP74" s="199" t="n">
        <v>2.35</v>
      </c>
      <c r="CR74" s="199" t="inlineStr">
        <is>
          <t>#N/A N/A</t>
        </is>
      </c>
      <c r="CS74" s="970" t="n">
        <v>1.04272</v>
      </c>
    </row>
    <row r="75" ht="13.25" customHeight="1">
      <c r="B75" s="204">
        <f>+C75-1</f>
        <v/>
      </c>
      <c r="C75" s="204">
        <f>IF('bands_A-H_Avg'!$D$9+1&gt;MONTH(G75),YEAR(G75),YEAR(G75)+1)</f>
        <v/>
      </c>
      <c r="D75" s="204">
        <f>+C75+1</f>
        <v/>
      </c>
      <c r="E75" s="203">
        <f>IF(C75&gt;C74,1,E74+1)</f>
        <v/>
      </c>
      <c r="F75" s="203">
        <f>COUNTIF(C:C,C75)</f>
        <v/>
      </c>
      <c r="G75" s="198">
        <f>+G76-7</f>
        <v/>
      </c>
      <c r="H75" s="361">
        <f>IF(ISBLANK(CO75),CP75,SUMPRODUCT(CO$32:CP$32,CO75:CP75))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c r="CP75" s="199" t="n">
        <v>2.625</v>
      </c>
      <c r="CR75" s="199" t="inlineStr">
        <is>
          <t>#N/A N/A</t>
        </is>
      </c>
      <c r="CS75" s="970" t="n">
        <v>1.04307</v>
      </c>
    </row>
    <row r="76" ht="13.25" customHeight="1">
      <c r="B76" s="204">
        <f>+C76-1</f>
        <v/>
      </c>
      <c r="C76" s="204">
        <f>IF('bands_A-H_Avg'!$D$9+1&gt;MONTH(G76),YEAR(G76),YEAR(G76)+1)</f>
        <v/>
      </c>
      <c r="D76" s="204">
        <f>+C76+1</f>
        <v/>
      </c>
      <c r="E76" s="203">
        <f>IF(C76&gt;C75,1,E75+1)</f>
        <v/>
      </c>
      <c r="F76" s="203">
        <f>COUNTIF(C:C,C76)</f>
        <v/>
      </c>
      <c r="G76" s="198">
        <f>+G77-7</f>
        <v/>
      </c>
      <c r="H76" s="361">
        <f>IF(ISBLANK(CO76),CP76,SUMPRODUCT(CO$32:CP$32,CO76:CP76))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c r="CP76" s="199" t="n">
        <v>2.575</v>
      </c>
      <c r="CR76" s="199" t="inlineStr">
        <is>
          <t>#N/A N/A</t>
        </is>
      </c>
      <c r="CS76" s="970" t="n">
        <v>1.04355</v>
      </c>
    </row>
    <row r="77" ht="13.25" customHeight="1">
      <c r="B77" s="204">
        <f>+C77-1</f>
        <v/>
      </c>
      <c r="C77" s="204">
        <f>IF('bands_A-H_Avg'!$D$9+1&gt;MONTH(G77),YEAR(G77),YEAR(G77)+1)</f>
        <v/>
      </c>
      <c r="D77" s="204">
        <f>+C77+1</f>
        <v/>
      </c>
      <c r="E77" s="203">
        <f>IF(C77&gt;C76,1,E76+1)</f>
        <v/>
      </c>
      <c r="F77" s="203">
        <f>COUNTIF(C:C,C77)</f>
        <v/>
      </c>
      <c r="G77" s="198">
        <f>+G78-7</f>
        <v/>
      </c>
      <c r="H77" s="361">
        <f>IF(ISBLANK(CO77),CP77,SUMPRODUCT(CO$32:CP$32,CO77:CP77))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c r="CP77" s="199" t="n">
        <v>2.6</v>
      </c>
      <c r="CR77" s="199" t="inlineStr">
        <is>
          <t>#N/A N/A</t>
        </is>
      </c>
      <c r="CS77" s="970" t="n">
        <v>1.0429</v>
      </c>
    </row>
    <row r="78" ht="13.25" customHeight="1">
      <c r="B78" s="204">
        <f>+C78-1</f>
        <v/>
      </c>
      <c r="C78" s="204">
        <f>IF('bands_A-H_Avg'!$D$9+1&gt;MONTH(G78),YEAR(G78),YEAR(G78)+1)</f>
        <v/>
      </c>
      <c r="D78" s="204">
        <f>+C78+1</f>
        <v/>
      </c>
      <c r="E78" s="203">
        <f>IF(C78&gt;C77,1,E77+1)</f>
        <v/>
      </c>
      <c r="F78" s="203">
        <f>COUNTIF(C:C,C78)</f>
        <v/>
      </c>
      <c r="G78" s="198">
        <f>+G79-7</f>
        <v/>
      </c>
      <c r="H78" s="361">
        <f>IF(ISBLANK(CO78),CP78,SUMPRODUCT(CO$32:CP$32,CO78:CP78))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c r="CP78" s="199" t="n">
        <v>2.525</v>
      </c>
      <c r="CR78" s="199" t="inlineStr">
        <is>
          <t>#N/A N/A</t>
        </is>
      </c>
      <c r="CS78" s="970" t="n">
        <v>1.04323</v>
      </c>
    </row>
    <row r="79" ht="13.25" customHeight="1">
      <c r="B79" s="204">
        <f>+C79-1</f>
        <v/>
      </c>
      <c r="C79" s="204">
        <f>IF('bands_A-H_Avg'!$D$9+1&gt;MONTH(G79),YEAR(G79),YEAR(G79)+1)</f>
        <v/>
      </c>
      <c r="D79" s="204">
        <f>+C79+1</f>
        <v/>
      </c>
      <c r="E79" s="203">
        <f>IF(C79&gt;C78,1,E78+1)</f>
        <v/>
      </c>
      <c r="F79" s="203">
        <f>COUNTIF(C:C,C79)</f>
        <v/>
      </c>
      <c r="G79" s="198">
        <f>+G80-7</f>
        <v/>
      </c>
      <c r="H79" s="361">
        <f>IF(ISBLANK(CO79),CP79,SUMPRODUCT(CO$32:CP$32,CO79:CP79))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c r="CP79" s="199" t="n">
        <v>2.45</v>
      </c>
      <c r="CR79" s="199" t="inlineStr">
        <is>
          <t>#N/A N/A</t>
        </is>
      </c>
      <c r="CS79" s="970" t="n">
        <v>1.04261</v>
      </c>
    </row>
    <row r="80" ht="13.25" customHeight="1">
      <c r="B80" s="204">
        <f>+C80-1</f>
        <v/>
      </c>
      <c r="C80" s="204">
        <f>IF('bands_A-H_Avg'!$D$9+1&gt;MONTH(G80),YEAR(G80),YEAR(G80)+1)</f>
        <v/>
      </c>
      <c r="D80" s="204">
        <f>+C80+1</f>
        <v/>
      </c>
      <c r="E80" s="203">
        <f>IF(C80&gt;C79,1,E79+1)</f>
        <v/>
      </c>
      <c r="F80" s="203">
        <f>COUNTIF(C:C,C80)</f>
        <v/>
      </c>
      <c r="G80" s="198">
        <f>+G81-7</f>
        <v/>
      </c>
      <c r="H80" s="361">
        <f>IF(ISBLANK(CO80),CP80,SUMPRODUCT(CO$32:CP$32,CO80:CP80))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c r="CP80" s="199" t="n">
        <v>2.6</v>
      </c>
      <c r="CR80" s="199" t="inlineStr">
        <is>
          <t>#N/A N/A</t>
        </is>
      </c>
      <c r="CS80" s="970" t="n">
        <v>1.04287</v>
      </c>
    </row>
    <row r="81" ht="13.25" customHeight="1">
      <c r="B81" s="204">
        <f>+C81-1</f>
        <v/>
      </c>
      <c r="C81" s="204">
        <f>IF('bands_A-H_Avg'!$D$9+1&gt;MONTH(G81),YEAR(G81),YEAR(G81)+1)</f>
        <v/>
      </c>
      <c r="D81" s="204">
        <f>+C81+1</f>
        <v/>
      </c>
      <c r="E81" s="203">
        <f>IF(C81&gt;C80,1,E80+1)</f>
        <v/>
      </c>
      <c r="F81" s="203">
        <f>COUNTIF(C:C,C81)</f>
        <v/>
      </c>
      <c r="G81" s="198">
        <f>+G82-7</f>
        <v/>
      </c>
      <c r="H81" s="361">
        <f>IF(ISBLANK(CO81),CP81,SUMPRODUCT(CO$32:CP$32,CO81:CP81))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c r="CP81" s="199" t="n">
        <v>2.6</v>
      </c>
      <c r="CR81" s="199" t="inlineStr">
        <is>
          <t>#N/A N/A</t>
        </is>
      </c>
      <c r="CS81" s="970" t="n">
        <v>1.04254</v>
      </c>
    </row>
    <row r="82">
      <c r="B82" s="204">
        <f>+C82-1</f>
        <v/>
      </c>
      <c r="C82" s="204">
        <f>IF('bands_A-H_Avg'!$D$9+1&gt;MONTH(G82),YEAR(G82),YEAR(G82)+1)</f>
        <v/>
      </c>
      <c r="D82" s="204">
        <f>+C82+1</f>
        <v/>
      </c>
      <c r="E82" s="203">
        <f>IF(C82&gt;C81,1,E81+1)</f>
        <v/>
      </c>
      <c r="F82" s="203">
        <f>COUNTIF(C:C,C82)</f>
        <v/>
      </c>
      <c r="G82" s="198">
        <f>+G83-7</f>
        <v/>
      </c>
      <c r="H82" s="361">
        <f>IF(ISBLANK(CO82),CP82,SUMPRODUCT(CO$32:CP$32,CO82:CP82))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c r="CP82" s="199" t="n">
        <v>2.55</v>
      </c>
      <c r="CR82" s="199" t="inlineStr">
        <is>
          <t>#N/A N/A</t>
        </is>
      </c>
      <c r="CS82" s="970" t="n">
        <v>1.04258</v>
      </c>
    </row>
    <row r="83">
      <c r="B83" s="204">
        <f>+C83-1</f>
        <v/>
      </c>
      <c r="C83" s="204">
        <f>IF('bands_A-H_Avg'!$D$9+1&gt;MONTH(G83),YEAR(G83),YEAR(G83)+1)</f>
        <v/>
      </c>
      <c r="D83" s="204">
        <f>+C83+1</f>
        <v/>
      </c>
      <c r="E83" s="203">
        <f>IF(C83&gt;C82,1,E82+1)</f>
        <v/>
      </c>
      <c r="F83" s="203">
        <f>COUNTIF(C:C,C83)</f>
        <v/>
      </c>
      <c r="G83" s="198">
        <f>+G84-7</f>
        <v/>
      </c>
      <c r="H83" s="361">
        <f>IF(ISBLANK(CO83),CP83,SUMPRODUCT(CO$32:CP$32,CO83:CP83))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c r="CP83" s="199" t="n">
        <v>2.525</v>
      </c>
      <c r="CR83" s="199" t="inlineStr">
        <is>
          <t>#N/A N/A</t>
        </is>
      </c>
      <c r="CS83" s="970" t="n">
        <v>1.0422</v>
      </c>
    </row>
    <row r="84">
      <c r="B84" s="204">
        <f>+C84-1</f>
        <v/>
      </c>
      <c r="C84" s="204">
        <f>IF('bands_A-H_Avg'!$D$9+1&gt;MONTH(G84),YEAR(G84),YEAR(G84)+1)</f>
        <v/>
      </c>
      <c r="D84" s="204">
        <f>+C84+1</f>
        <v/>
      </c>
      <c r="E84" s="203">
        <f>IF(C84&gt;C83,1,E83+1)</f>
        <v/>
      </c>
      <c r="F84" s="203">
        <f>COUNTIF(C:C,C84)</f>
        <v/>
      </c>
      <c r="G84" s="198">
        <f>+G85-7</f>
        <v/>
      </c>
      <c r="H84" s="361">
        <f>IF(ISBLANK(CO84),CP84,SUMPRODUCT(CO$32:CP$32,CO84:CP84))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c r="CP84" s="199" t="n">
        <v>2.525</v>
      </c>
      <c r="CR84" s="199" t="inlineStr">
        <is>
          <t>#N/A N/A</t>
        </is>
      </c>
      <c r="CS84" s="970" t="n">
        <v>1.04208</v>
      </c>
    </row>
    <row r="85">
      <c r="B85" s="204">
        <f>+C85-1</f>
        <v/>
      </c>
      <c r="C85" s="204">
        <f>IF('bands_A-H_Avg'!$D$9+1&gt;MONTH(G85),YEAR(G85),YEAR(G85)+1)</f>
        <v/>
      </c>
      <c r="D85" s="204">
        <f>+C85+1</f>
        <v/>
      </c>
      <c r="E85" s="203">
        <f>IF(C85&gt;C84,1,E84+1)</f>
        <v/>
      </c>
      <c r="F85" s="203">
        <f>COUNTIF(C:C,C85)</f>
        <v/>
      </c>
      <c r="G85" s="198">
        <f>+G86-7</f>
        <v/>
      </c>
      <c r="H85" s="361">
        <f>IF(ISBLANK(CO85),CP85,SUMPRODUCT(CO$32:CP$32,CO85:CP85))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c r="CP85" s="199" t="n">
        <v>2.45</v>
      </c>
      <c r="CR85" s="199" t="inlineStr">
        <is>
          <t>#N/A N/A</t>
        </is>
      </c>
      <c r="CS85" s="970" t="n">
        <v>1.04155</v>
      </c>
    </row>
    <row r="86">
      <c r="B86" s="204">
        <f>+C86-1</f>
        <v/>
      </c>
      <c r="C86" s="204">
        <f>IF('bands_A-H_Avg'!$D$9+1&gt;MONTH(G86),YEAR(G86),YEAR(G86)+1)</f>
        <v/>
      </c>
      <c r="D86" s="204">
        <f>+C86+1</f>
        <v/>
      </c>
      <c r="E86" s="203">
        <f>IF(C86&gt;C85,1,E85+1)</f>
        <v/>
      </c>
      <c r="F86" s="203">
        <f>COUNTIF(C:C,C86)</f>
        <v/>
      </c>
      <c r="G86" s="198">
        <f>+G87-7</f>
        <v/>
      </c>
      <c r="H86" s="361">
        <f>IF(ISBLANK(CO86),CP86,SUMPRODUCT(CO$32:CP$32,CO86:CP86))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c r="CP86" s="199" t="n">
        <v>2.675</v>
      </c>
      <c r="CR86" s="199" t="inlineStr">
        <is>
          <t>#N/A N/A</t>
        </is>
      </c>
      <c r="CS86" s="970" t="n">
        <v>1.04144</v>
      </c>
    </row>
    <row r="87">
      <c r="B87" s="204">
        <f>+C87-1</f>
        <v/>
      </c>
      <c r="C87" s="204">
        <f>IF('bands_A-H_Avg'!$D$9+1&gt;MONTH(G87),YEAR(G87),YEAR(G87)+1)</f>
        <v/>
      </c>
      <c r="D87" s="204">
        <f>+C87+1</f>
        <v/>
      </c>
      <c r="E87" s="203">
        <f>IF(C87&gt;C86,1,E86+1)</f>
        <v/>
      </c>
      <c r="F87" s="203">
        <f>COUNTIF(C:C,C87)</f>
        <v/>
      </c>
      <c r="G87" s="198">
        <f>+G88-7</f>
        <v/>
      </c>
      <c r="H87" s="361">
        <f>IF(ISBLANK(CO87),CP87,SUMPRODUCT(CO$32:CP$32,CO87:CP87))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c r="CP87" s="199" t="n">
        <v>2.6</v>
      </c>
      <c r="CR87" s="199" t="inlineStr">
        <is>
          <t>#N/A N/A</t>
        </is>
      </c>
      <c r="CS87" s="970" t="n">
        <v>1.04164</v>
      </c>
    </row>
    <row r="88">
      <c r="B88" s="204">
        <f>+C88-1</f>
        <v/>
      </c>
      <c r="C88" s="204">
        <f>IF('bands_A-H_Avg'!$D$9+1&gt;MONTH(G88),YEAR(G88),YEAR(G88)+1)</f>
        <v/>
      </c>
      <c r="D88" s="204">
        <f>+C88+1</f>
        <v/>
      </c>
      <c r="E88" s="203">
        <f>IF(C88&gt;C87,1,E87+1)</f>
        <v/>
      </c>
      <c r="F88" s="203">
        <f>COUNTIF(C:C,C88)</f>
        <v/>
      </c>
      <c r="G88" s="198">
        <f>+G89-7</f>
        <v/>
      </c>
      <c r="H88" s="361">
        <f>IF(ISBLANK(CO88),CP88,SUMPRODUCT(CO$32:CP$32,CO88:CP88))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c r="CP88" s="199" t="n">
        <v>2.65</v>
      </c>
      <c r="CR88" s="199" t="inlineStr">
        <is>
          <t>#N/A N/A</t>
        </is>
      </c>
      <c r="CS88" s="970" t="n">
        <v>1.04071</v>
      </c>
    </row>
    <row r="89">
      <c r="B89" s="204">
        <f>+C89-1</f>
        <v/>
      </c>
      <c r="C89" s="204">
        <f>IF('bands_A-H_Avg'!$D$9+1&gt;MONTH(G89),YEAR(G89),YEAR(G89)+1)</f>
        <v/>
      </c>
      <c r="D89" s="204">
        <f>+C89+1</f>
        <v/>
      </c>
      <c r="E89" s="203">
        <f>IF(C89&gt;C88,1,E88+1)</f>
        <v/>
      </c>
      <c r="F89" s="203">
        <f>COUNTIF(C:C,C89)</f>
        <v/>
      </c>
      <c r="G89" s="198" t="n">
        <v>38725</v>
      </c>
      <c r="H89" s="361">
        <f>IF(ISBLANK(CO89),CP89,SUMPRODUCT(CO$32:CP$32,CO89:CP89))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c r="CP89" s="199" t="n">
        <v>2.7</v>
      </c>
      <c r="CR89" s="199" t="inlineStr">
        <is>
          <t>#N/A N/A</t>
        </is>
      </c>
      <c r="CS89" s="970" t="n">
        <v>1.04048</v>
      </c>
    </row>
    <row r="90">
      <c r="B90" s="204">
        <f>+C90-1</f>
        <v/>
      </c>
      <c r="C90" s="204">
        <f>IF('bands_A-H_Avg'!$D$9+1&gt;MONTH(G90),YEAR(G90),YEAR(G90)+1)</f>
        <v/>
      </c>
      <c r="D90" s="204">
        <f>+C90+1</f>
        <v/>
      </c>
      <c r="E90" s="203">
        <f>IF(C90&gt;C89,1,E89+1)</f>
        <v/>
      </c>
      <c r="F90" s="203">
        <f>COUNTIF(C:C,C90)</f>
        <v/>
      </c>
      <c r="G90" s="198">
        <f>+G89+7</f>
        <v/>
      </c>
      <c r="H90" s="361">
        <f>IF(ISBLANK(CO90),CP90,SUMPRODUCT(CO$32:CP$32,CO90:CP90))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c r="CP90" s="199" t="n">
        <v>2.85</v>
      </c>
      <c r="CR90" s="199" t="inlineStr">
        <is>
          <t>#N/A N/A</t>
        </is>
      </c>
      <c r="CS90" s="970" t="n">
        <v>1.04089</v>
      </c>
    </row>
    <row r="91">
      <c r="B91" s="204">
        <f>+C91-1</f>
        <v/>
      </c>
      <c r="C91" s="204">
        <f>IF('bands_A-H_Avg'!$D$9+1&gt;MONTH(G91),YEAR(G91),YEAR(G91)+1)</f>
        <v/>
      </c>
      <c r="D91" s="204">
        <f>+C91+1</f>
        <v/>
      </c>
      <c r="E91" s="203">
        <f>IF(C91&gt;C90,1,E90+1)</f>
        <v/>
      </c>
      <c r="F91" s="203">
        <f>COUNTIF(C:C,C91)</f>
        <v/>
      </c>
      <c r="G91" s="198">
        <f>+G90+7</f>
        <v/>
      </c>
      <c r="H91" s="361">
        <f>IF(ISBLANK(CO91),CP91,SUMPRODUCT(CO$32:CP$32,CO91:CP91))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c r="CP91" s="199" t="n">
        <v>2.85</v>
      </c>
      <c r="CR91" s="199" t="inlineStr">
        <is>
          <t>#N/A N/A</t>
        </is>
      </c>
      <c r="CS91" s="970" t="n">
        <v>1.03936</v>
      </c>
    </row>
    <row r="92">
      <c r="B92" s="204">
        <f>+C92-1</f>
        <v/>
      </c>
      <c r="C92" s="204">
        <f>IF('bands_A-H_Avg'!$D$9+1&gt;MONTH(G92),YEAR(G92),YEAR(G92)+1)</f>
        <v/>
      </c>
      <c r="D92" s="204">
        <f>+C92+1</f>
        <v/>
      </c>
      <c r="E92" s="203">
        <f>IF(C92&gt;C91,1,E91+1)</f>
        <v/>
      </c>
      <c r="F92" s="203">
        <f>COUNTIF(C:C,C92)</f>
        <v/>
      </c>
      <c r="G92" s="198">
        <f>+G91+7</f>
        <v/>
      </c>
      <c r="H92" s="361">
        <f>IF(ISBLANK(CO92),CP92,SUMPRODUCT(CO$32:CP$32,CO92:CP92))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c r="CP92" s="199" t="n">
        <v>3.075</v>
      </c>
      <c r="CR92" s="199" t="inlineStr">
        <is>
          <t>#N/A N/A</t>
        </is>
      </c>
      <c r="CS92" s="970" t="n">
        <v>1.03928</v>
      </c>
    </row>
    <row r="93">
      <c r="B93" s="204">
        <f>+C93-1</f>
        <v/>
      </c>
      <c r="C93" s="204">
        <f>IF('bands_A-H_Avg'!$D$9+1&gt;MONTH(G93),YEAR(G93),YEAR(G93)+1)</f>
        <v/>
      </c>
      <c r="D93" s="204">
        <f>+C93+1</f>
        <v/>
      </c>
      <c r="E93" s="203">
        <f>IF(C93&gt;C92,1,E92+1)</f>
        <v/>
      </c>
      <c r="F93" s="203">
        <f>COUNTIF(C:C,C93)</f>
        <v/>
      </c>
      <c r="G93" s="198">
        <f>+G92+7</f>
        <v/>
      </c>
      <c r="H93" s="361">
        <f>IF(ISBLANK(CO93),CP93,SUMPRODUCT(CO$32:CP$32,CO93:CP93))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c r="CP93" s="199" t="n">
        <v>3.1</v>
      </c>
      <c r="CR93" s="199" t="inlineStr">
        <is>
          <t>#N/A N/A</t>
        </is>
      </c>
      <c r="CS93" s="970" t="n">
        <v>1.03923</v>
      </c>
    </row>
    <row r="94">
      <c r="B94" s="204">
        <f>+C94-1</f>
        <v/>
      </c>
      <c r="C94" s="204">
        <f>IF('bands_A-H_Avg'!$D$9+1&gt;MONTH(G94),YEAR(G94),YEAR(G94)+1)</f>
        <v/>
      </c>
      <c r="D94" s="204">
        <f>+C94+1</f>
        <v/>
      </c>
      <c r="E94" s="203">
        <f>IF(C94&gt;C93,1,E93+1)</f>
        <v/>
      </c>
      <c r="F94" s="203">
        <f>COUNTIF(C:C,C94)</f>
        <v/>
      </c>
      <c r="G94" s="198">
        <f>+G93+7</f>
        <v/>
      </c>
      <c r="H94" s="361">
        <f>IF(ISBLANK(CO94),CP94,SUMPRODUCT(CO$32:CP$32,CO94:CP94))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c r="CP94" s="199" t="n">
        <v>3.2</v>
      </c>
      <c r="CR94" s="199" t="inlineStr">
        <is>
          <t>#N/A N/A</t>
        </is>
      </c>
      <c r="CS94" s="970" t="n">
        <v>1.03749</v>
      </c>
    </row>
    <row r="95">
      <c r="B95" s="204">
        <f>+C95-1</f>
        <v/>
      </c>
      <c r="C95" s="204">
        <f>IF('bands_A-H_Avg'!$D$9+1&gt;MONTH(G95),YEAR(G95),YEAR(G95)+1)</f>
        <v/>
      </c>
      <c r="D95" s="204">
        <f>+C95+1</f>
        <v/>
      </c>
      <c r="E95" s="203">
        <f>IF(C95&gt;C94,1,E94+1)</f>
        <v/>
      </c>
      <c r="F95" s="203">
        <f>COUNTIF(C:C,C95)</f>
        <v/>
      </c>
      <c r="G95" s="198">
        <f>+G94+7</f>
        <v/>
      </c>
      <c r="H95" s="361">
        <f>IF(ISBLANK(CO95),CP95,SUMPRODUCT(CO$32:CP$32,CO95:CP95))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c r="CP95" s="199" t="n">
        <v>3.2</v>
      </c>
      <c r="CR95" s="199" t="inlineStr">
        <is>
          <t>#N/A N/A</t>
        </is>
      </c>
      <c r="CS95" s="970" t="n">
        <v>1.03708</v>
      </c>
    </row>
    <row r="96">
      <c r="B96" s="204">
        <f>+C96-1</f>
        <v/>
      </c>
      <c r="C96" s="204">
        <f>IF('bands_A-H_Avg'!$D$9+1&gt;MONTH(G96),YEAR(G96),YEAR(G96)+1)</f>
        <v/>
      </c>
      <c r="D96" s="204">
        <f>+C96+1</f>
        <v/>
      </c>
      <c r="E96" s="203">
        <f>IF(C96&gt;C95,1,E95+1)</f>
        <v/>
      </c>
      <c r="F96" s="203">
        <f>COUNTIF(C:C,C96)</f>
        <v/>
      </c>
      <c r="G96" s="198">
        <f>+G95+7</f>
        <v/>
      </c>
      <c r="H96" s="361">
        <f>IF(ISBLANK(CO96),CP96,SUMPRODUCT(CO$32:CP$32,CO96:CP96))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c r="CP96" s="199" t="n">
        <v>3.65</v>
      </c>
      <c r="CR96" s="199" t="inlineStr">
        <is>
          <t>#N/A N/A</t>
        </is>
      </c>
      <c r="CS96" s="970" t="n">
        <v>1.03655</v>
      </c>
    </row>
    <row r="97">
      <c r="B97" s="204">
        <f>+C97-1</f>
        <v/>
      </c>
      <c r="C97" s="204">
        <f>IF('bands_A-H_Avg'!$D$9+1&gt;MONTH(G97),YEAR(G97),YEAR(G97)+1)</f>
        <v/>
      </c>
      <c r="D97" s="204">
        <f>+C97+1</f>
        <v/>
      </c>
      <c r="E97" s="203">
        <f>IF(C97&gt;C96,1,E96+1)</f>
        <v/>
      </c>
      <c r="F97" s="203">
        <f>COUNTIF(C:C,C97)</f>
        <v/>
      </c>
      <c r="G97" s="198">
        <f>+G96+7</f>
        <v/>
      </c>
      <c r="H97" s="361">
        <f>IF(ISBLANK(CO97),CP97,SUMPRODUCT(CO$32:CP$32,CO97:CP97))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c r="CP97" s="199" t="n">
        <v>3.6</v>
      </c>
      <c r="CR97" s="199" t="inlineStr">
        <is>
          <t>#N/A N/A</t>
        </is>
      </c>
      <c r="CS97" s="970" t="n">
        <v>1.03592</v>
      </c>
    </row>
    <row r="98">
      <c r="B98" s="204">
        <f>+C98-1</f>
        <v/>
      </c>
      <c r="C98" s="204">
        <f>IF('bands_A-H_Avg'!$D$9+1&gt;MONTH(G98),YEAR(G98),YEAR(G98)+1)</f>
        <v/>
      </c>
      <c r="D98" s="204">
        <f>+C98+1</f>
        <v/>
      </c>
      <c r="E98" s="203">
        <f>IF(C98&gt;C97,1,E97+1)</f>
        <v/>
      </c>
      <c r="F98" s="203">
        <f>COUNTIF(C:C,C98)</f>
        <v/>
      </c>
      <c r="G98" s="198">
        <f>+G97+7</f>
        <v/>
      </c>
      <c r="H98" s="361">
        <f>IF(ISBLANK(CO98),CP98,SUMPRODUCT(CO$32:CP$32,CO98:CP98))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c r="CP98" s="199" t="n">
        <v>3.15</v>
      </c>
      <c r="CR98" s="199" t="inlineStr">
        <is>
          <t>#N/A N/A</t>
        </is>
      </c>
      <c r="CS98" s="970" t="n">
        <v>1.03715</v>
      </c>
    </row>
    <row r="99">
      <c r="B99" s="204">
        <f>+C99-1</f>
        <v/>
      </c>
      <c r="C99" s="204">
        <f>IF('bands_A-H_Avg'!$D$9+1&gt;MONTH(G99),YEAR(G99),YEAR(G99)+1)</f>
        <v/>
      </c>
      <c r="D99" s="204">
        <f>+C99+1</f>
        <v/>
      </c>
      <c r="E99" s="203">
        <f>IF(C99&gt;C98,1,E98+1)</f>
        <v/>
      </c>
      <c r="F99" s="203">
        <f>COUNTIF(C:C,C99)</f>
        <v/>
      </c>
      <c r="G99" s="198">
        <f>+G98+7</f>
        <v/>
      </c>
      <c r="H99" s="361">
        <f>IF(ISBLANK(CO99),CP99,SUMPRODUCT(CO$32:CP$32,CO99:CP99))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c r="CP99" s="199" t="n">
        <v>2.95</v>
      </c>
      <c r="CR99" s="199" t="inlineStr">
        <is>
          <t>#N/A N/A</t>
        </is>
      </c>
      <c r="CS99" s="970" t="n">
        <v>1.03535</v>
      </c>
    </row>
    <row r="100">
      <c r="B100" s="204">
        <f>+C100-1</f>
        <v/>
      </c>
      <c r="C100" s="204">
        <f>IF('bands_A-H_Avg'!$D$9+1&gt;MONTH(G100),YEAR(G100),YEAR(G100)+1)</f>
        <v/>
      </c>
      <c r="D100" s="204">
        <f>+C100+1</f>
        <v/>
      </c>
      <c r="E100" s="203">
        <f>IF(C100&gt;C99,1,E99+1)</f>
        <v/>
      </c>
      <c r="F100" s="203">
        <f>COUNTIF(C:C,C100)</f>
        <v/>
      </c>
      <c r="G100" s="198">
        <f>+G99+7</f>
        <v/>
      </c>
      <c r="H100" s="361">
        <f>IF(ISBLANK(CO100),CP100,SUMPRODUCT(CO$32:CP$32,CO100:CP100))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c r="CP100" s="199" t="n">
        <v>3.05</v>
      </c>
      <c r="CR100" s="199" t="inlineStr">
        <is>
          <t>#N/A N/A</t>
        </is>
      </c>
      <c r="CS100" s="970" t="n">
        <v>1.03492</v>
      </c>
    </row>
    <row r="101">
      <c r="B101" s="204">
        <f>+C101-1</f>
        <v/>
      </c>
      <c r="C101" s="204">
        <f>IF('bands_A-H_Avg'!$D$9+1&gt;MONTH(G101),YEAR(G101),YEAR(G101)+1)</f>
        <v/>
      </c>
      <c r="D101" s="204">
        <f>+C101+1</f>
        <v/>
      </c>
      <c r="E101" s="203">
        <f>IF(C101&gt;C100,1,E100+1)</f>
        <v/>
      </c>
      <c r="F101" s="203">
        <f>COUNTIF(C:C,C101)</f>
        <v/>
      </c>
      <c r="G101" s="198">
        <f>+G100+7</f>
        <v/>
      </c>
      <c r="H101" s="361">
        <f>IF(ISBLANK(CO101),CP101,SUMPRODUCT(CO$32:CP$32,CO101:CP101))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c r="CP101" s="199" t="n">
        <v>3.275</v>
      </c>
      <c r="CR101" s="199" t="inlineStr">
        <is>
          <t>#N/A N/A</t>
        </is>
      </c>
      <c r="CS101" s="970" t="n">
        <v>1.03317</v>
      </c>
    </row>
    <row r="102">
      <c r="B102" s="204">
        <f>+C102-1</f>
        <v/>
      </c>
      <c r="C102" s="204">
        <f>IF('bands_A-H_Avg'!$D$9+1&gt;MONTH(G102),YEAR(G102),YEAR(G102)+1)</f>
        <v/>
      </c>
      <c r="D102" s="204">
        <f>+C102+1</f>
        <v/>
      </c>
      <c r="E102" s="203">
        <f>IF(C102&gt;C101,1,E101+1)</f>
        <v/>
      </c>
      <c r="F102" s="203">
        <f>COUNTIF(C:C,C102)</f>
        <v/>
      </c>
      <c r="G102" s="198">
        <f>+G101+7</f>
        <v/>
      </c>
      <c r="H102" s="361">
        <f>IF(ISBLANK(CO102),CP102,SUMPRODUCT(CO$32:CP$32,CO102:CP102))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c r="CP102" s="199" t="n">
        <v>3.275</v>
      </c>
      <c r="CR102" s="199" t="inlineStr">
        <is>
          <t>#N/A N/A</t>
        </is>
      </c>
      <c r="CS102" s="970" t="n">
        <v>1.03295</v>
      </c>
    </row>
    <row r="103">
      <c r="B103" s="204">
        <f>+C103-1</f>
        <v/>
      </c>
      <c r="C103" s="204">
        <f>IF('bands_A-H_Avg'!$D$9+1&gt;MONTH(G103),YEAR(G103),YEAR(G103)+1)</f>
        <v/>
      </c>
      <c r="D103" s="204">
        <f>+C103+1</f>
        <v/>
      </c>
      <c r="E103" s="203">
        <f>IF(C103&gt;C102,1,E102+1)</f>
        <v/>
      </c>
      <c r="F103" s="203">
        <f>COUNTIF(C:C,C103)</f>
        <v/>
      </c>
      <c r="G103" s="198">
        <f>+G102+7</f>
        <v/>
      </c>
      <c r="H103" s="361">
        <f>IF(ISBLANK(CO103),CP103,SUMPRODUCT(CO$32:CP$32,CO103:CP103))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c r="CP103" s="199" t="n">
        <v>2.925</v>
      </c>
      <c r="CR103" s="199" t="inlineStr">
        <is>
          <t>#N/A N/A</t>
        </is>
      </c>
      <c r="CS103" s="970" t="n">
        <v>1.03353</v>
      </c>
    </row>
    <row r="104">
      <c r="B104" s="204">
        <f>+C104-1</f>
        <v/>
      </c>
      <c r="C104" s="204">
        <f>IF('bands_A-H_Avg'!$D$9+1&gt;MONTH(G104),YEAR(G104),YEAR(G104)+1)</f>
        <v/>
      </c>
      <c r="D104" s="204">
        <f>+C104+1</f>
        <v/>
      </c>
      <c r="E104" s="203">
        <f>IF(C104&gt;C103,1,E103+1)</f>
        <v/>
      </c>
      <c r="F104" s="203">
        <f>COUNTIF(C:C,C104)</f>
        <v/>
      </c>
      <c r="G104" s="198">
        <f>+G103+7</f>
        <v/>
      </c>
      <c r="H104" s="361">
        <f>IF(ISBLANK(CO104),CP104,SUMPRODUCT(CO$32:CP$32,CO104:CP104))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c r="CP104" s="199" t="n">
        <v>3.225</v>
      </c>
      <c r="CR104" s="199" t="inlineStr">
        <is>
          <t>#N/A N/A</t>
        </is>
      </c>
      <c r="CS104" s="970" t="n">
        <v>1.03392</v>
      </c>
    </row>
    <row r="105">
      <c r="B105" s="204">
        <f>+C105-1</f>
        <v/>
      </c>
      <c r="C105" s="204">
        <f>IF('bands_A-H_Avg'!$D$9+1&gt;MONTH(G105),YEAR(G105),YEAR(G105)+1)</f>
        <v/>
      </c>
      <c r="D105" s="204">
        <f>+C105+1</f>
        <v/>
      </c>
      <c r="E105" s="203">
        <f>IF(C105&gt;C104,1,E104+1)</f>
        <v/>
      </c>
      <c r="F105" s="203">
        <f>COUNTIF(C:C,C105)</f>
        <v/>
      </c>
      <c r="G105" s="198">
        <f>+G104+7</f>
        <v/>
      </c>
      <c r="H105" s="361">
        <f>IF(ISBLANK(CO105),CP105,SUMPRODUCT(CO$32:CP$32,CO105:CP105))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c r="CP105" s="199" t="n">
        <v>3</v>
      </c>
      <c r="CR105" s="199" t="inlineStr">
        <is>
          <t>#N/A N/A</t>
        </is>
      </c>
      <c r="CS105" s="970" t="n">
        <v>1.0336</v>
      </c>
    </row>
    <row r="106">
      <c r="B106" s="204">
        <f>+C106-1</f>
        <v/>
      </c>
      <c r="C106" s="204">
        <f>IF('bands_A-H_Avg'!$D$9+1&gt;MONTH(G106),YEAR(G106),YEAR(G106)+1)</f>
        <v/>
      </c>
      <c r="D106" s="204">
        <f>+C106+1</f>
        <v/>
      </c>
      <c r="E106" s="203">
        <f>IF(C106&gt;C105,1,E105+1)</f>
        <v/>
      </c>
      <c r="F106" s="203">
        <f>COUNTIF(C:C,C106)</f>
        <v/>
      </c>
      <c r="G106" s="198">
        <f>+G105+7</f>
        <v/>
      </c>
      <c r="H106" s="361">
        <f>IF(ISBLANK(CO106),CP106,SUMPRODUCT(CO$32:CP$32,CO106:CP106))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c r="CP106" s="199" t="n">
        <v>3.175</v>
      </c>
      <c r="CR106" s="199" t="inlineStr">
        <is>
          <t>#N/A N/A</t>
        </is>
      </c>
      <c r="CS106" s="970" t="n">
        <v>1.03372</v>
      </c>
    </row>
    <row r="107">
      <c r="B107" s="204">
        <f>+C107-1</f>
        <v/>
      </c>
      <c r="C107" s="204">
        <f>IF('bands_A-H_Avg'!$D$9+1&gt;MONTH(G107),YEAR(G107),YEAR(G107)+1)</f>
        <v/>
      </c>
      <c r="D107" s="204">
        <f>+C107+1</f>
        <v/>
      </c>
      <c r="E107" s="203">
        <f>IF(C107&gt;C106,1,E106+1)</f>
        <v/>
      </c>
      <c r="F107" s="203">
        <f>COUNTIF(C:C,C107)</f>
        <v/>
      </c>
      <c r="G107" s="198">
        <f>+G106+7</f>
        <v/>
      </c>
      <c r="H107" s="361">
        <f>IF(ISBLANK(CO107),CP107,SUMPRODUCT(CO$32:CP$32,CO107:CP107))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c r="CP107" s="199" t="n">
        <v>3.25</v>
      </c>
      <c r="CR107" s="199" t="inlineStr">
        <is>
          <t>#N/A N/A</t>
        </is>
      </c>
      <c r="CS107" s="970" t="n">
        <v>1.03264</v>
      </c>
    </row>
    <row r="108">
      <c r="B108" s="204">
        <f>+C108-1</f>
        <v/>
      </c>
      <c r="C108" s="204">
        <f>IF('bands_A-H_Avg'!$D$9+1&gt;MONTH(G108),YEAR(G108),YEAR(G108)+1)</f>
        <v/>
      </c>
      <c r="D108" s="204">
        <f>+C108+1</f>
        <v/>
      </c>
      <c r="E108" s="203">
        <f>IF(C108&gt;C107,1,E107+1)</f>
        <v/>
      </c>
      <c r="F108" s="203">
        <f>COUNTIF(C:C,C108)</f>
        <v/>
      </c>
      <c r="G108" s="198">
        <f>+G107+7</f>
        <v/>
      </c>
      <c r="H108" s="361">
        <f>IF(ISBLANK(CO108),CP108,SUMPRODUCT(CO$32:CP$32,CO108:CP108))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c r="CP108" s="199" t="n">
        <v>2.95</v>
      </c>
      <c r="CR108" s="199" t="inlineStr">
        <is>
          <t>#N/A N/A</t>
        </is>
      </c>
      <c r="CS108" s="970" t="n">
        <v>1.03446</v>
      </c>
    </row>
    <row r="109">
      <c r="B109" s="204">
        <f>+C109-1</f>
        <v/>
      </c>
      <c r="C109" s="204">
        <f>IF('bands_A-H_Avg'!$D$9+1&gt;MONTH(G109),YEAR(G109),YEAR(G109)+1)</f>
        <v/>
      </c>
      <c r="D109" s="204">
        <f>+C109+1</f>
        <v/>
      </c>
      <c r="E109" s="203">
        <f>IF(C109&gt;C108,1,E108+1)</f>
        <v/>
      </c>
      <c r="F109" s="203">
        <f>COUNTIF(C:C,C109)</f>
        <v/>
      </c>
      <c r="G109" s="198">
        <f>+G108+7</f>
        <v/>
      </c>
      <c r="H109" s="361">
        <f>IF(ISBLANK(CO109),CP109,SUMPRODUCT(CO$32:CP$32,CO109:CP109))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c r="CP109" s="199" t="n">
        <v>2.875</v>
      </c>
      <c r="CR109" s="199" t="inlineStr">
        <is>
          <t>#N/A N/A</t>
        </is>
      </c>
      <c r="CS109" s="970" t="n">
        <v>1.03476</v>
      </c>
    </row>
    <row r="110">
      <c r="B110" s="204">
        <f>+C110-1</f>
        <v/>
      </c>
      <c r="C110" s="204">
        <f>IF('bands_A-H_Avg'!$D$9+1&gt;MONTH(G110),YEAR(G110),YEAR(G110)+1)</f>
        <v/>
      </c>
      <c r="D110" s="204">
        <f>+C110+1</f>
        <v/>
      </c>
      <c r="E110" s="203">
        <f>IF(C110&gt;C109,1,E109+1)</f>
        <v/>
      </c>
      <c r="F110" s="203">
        <f>COUNTIF(C:C,C110)</f>
        <v/>
      </c>
      <c r="G110" s="198">
        <f>+G109+7</f>
        <v/>
      </c>
      <c r="H110" s="361">
        <f>IF(ISBLANK(CO110),CP110,SUMPRODUCT(CO$32:CP$32,CO110:CP110))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c r="CP110" s="199" t="n">
        <v>2.925</v>
      </c>
      <c r="CR110" s="199" t="inlineStr">
        <is>
          <t>#N/A N/A</t>
        </is>
      </c>
      <c r="CS110" s="970" t="n">
        <v>1.03419</v>
      </c>
    </row>
    <row r="111">
      <c r="B111" s="204">
        <f>+C111-1</f>
        <v/>
      </c>
      <c r="C111" s="204">
        <f>IF('bands_A-H_Avg'!$D$9+1&gt;MONTH(G111),YEAR(G111),YEAR(G111)+1)</f>
        <v/>
      </c>
      <c r="D111" s="204">
        <f>+C111+1</f>
        <v/>
      </c>
      <c r="E111" s="203">
        <f>IF(C111&gt;C110,1,E110+1)</f>
        <v/>
      </c>
      <c r="F111" s="203">
        <f>COUNTIF(C:C,C111)</f>
        <v/>
      </c>
      <c r="G111" s="198">
        <f>+G110+7</f>
        <v/>
      </c>
      <c r="H111" s="361">
        <f>IF(ISBLANK(CO111),CP111,SUMPRODUCT(CO$32:CP$32,CO111:CP111))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c r="CP111" s="199" t="n">
        <v>2.675</v>
      </c>
      <c r="CR111" s="199" t="inlineStr">
        <is>
          <t>#N/A N/A</t>
        </is>
      </c>
      <c r="CS111" s="970" t="n">
        <v>1.0322</v>
      </c>
    </row>
    <row r="112">
      <c r="B112" s="204">
        <f>+C112-1</f>
        <v/>
      </c>
      <c r="C112" s="204">
        <f>IF('bands_A-H_Avg'!$D$9+1&gt;MONTH(G112),YEAR(G112),YEAR(G112)+1)</f>
        <v/>
      </c>
      <c r="D112" s="204">
        <f>+C112+1</f>
        <v/>
      </c>
      <c r="E112" s="203">
        <f>IF(C112&gt;C111,1,E111+1)</f>
        <v/>
      </c>
      <c r="F112" s="203">
        <f>COUNTIF(C:C,C112)</f>
        <v/>
      </c>
      <c r="G112" s="198">
        <f>+G111+7</f>
        <v/>
      </c>
      <c r="H112" s="361">
        <f>IF(ISBLANK(CO112),CP112,SUMPRODUCT(CO$32:CP$32,CO112:CP112))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c r="CP112" s="199" t="n">
        <v>2.575</v>
      </c>
      <c r="CR112" s="199" t="inlineStr">
        <is>
          <t>#N/A N/A</t>
        </is>
      </c>
      <c r="CS112" s="970" t="n">
        <v>1.03059</v>
      </c>
    </row>
    <row r="113">
      <c r="B113" s="204">
        <f>+C113-1</f>
        <v/>
      </c>
      <c r="C113" s="204">
        <f>IF('bands_A-H_Avg'!$D$9+1&gt;MONTH(G113),YEAR(G113),YEAR(G113)+1)</f>
        <v/>
      </c>
      <c r="D113" s="204">
        <f>+C113+1</f>
        <v/>
      </c>
      <c r="E113" s="203">
        <f>IF(C113&gt;C112,1,E112+1)</f>
        <v/>
      </c>
      <c r="F113" s="203">
        <f>COUNTIF(C:C,C113)</f>
        <v/>
      </c>
      <c r="G113" s="198">
        <f>+G112+7</f>
        <v/>
      </c>
      <c r="H113" s="361">
        <f>IF(ISBLANK(CO113),CP113,SUMPRODUCT(CO$32:CP$32,CO113:CP113))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c r="CP113" s="199" t="n">
        <v>2.55</v>
      </c>
      <c r="CR113" s="199" t="inlineStr">
        <is>
          <t>#N/A N/A</t>
        </is>
      </c>
      <c r="CS113" s="970" t="n">
        <v>1.02983</v>
      </c>
    </row>
    <row r="114">
      <c r="B114" s="204">
        <f>+C114-1</f>
        <v/>
      </c>
      <c r="C114" s="204">
        <f>IF('bands_A-H_Avg'!$D$9+1&gt;MONTH(G114),YEAR(G114),YEAR(G114)+1)</f>
        <v/>
      </c>
      <c r="D114" s="204">
        <f>+C114+1</f>
        <v/>
      </c>
      <c r="E114" s="203">
        <f>IF(C114&gt;C113,1,E113+1)</f>
        <v/>
      </c>
      <c r="F114" s="203">
        <f>COUNTIF(C:C,C114)</f>
        <v/>
      </c>
      <c r="G114" s="198">
        <f>+G113+7</f>
        <v/>
      </c>
      <c r="H114" s="361">
        <f>IF(ISBLANK(CO114),CP114,SUMPRODUCT(CO$32:CP$32,CO114:CP114))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c r="CP114" s="199" t="n">
        <v>2.7</v>
      </c>
      <c r="CR114" s="199" t="inlineStr">
        <is>
          <t>#N/A N/A</t>
        </is>
      </c>
      <c r="CS114" s="970" t="n">
        <v>1.02934</v>
      </c>
    </row>
    <row r="115">
      <c r="B115" s="204">
        <f>+C115-1</f>
        <v/>
      </c>
      <c r="C115" s="204">
        <f>IF('bands_A-H_Avg'!$D$9+1&gt;MONTH(G115),YEAR(G115),YEAR(G115)+1)</f>
        <v/>
      </c>
      <c r="D115" s="204">
        <f>+C115+1</f>
        <v/>
      </c>
      <c r="E115" s="203">
        <f>IF(C115&gt;C114,1,E114+1)</f>
        <v/>
      </c>
      <c r="F115" s="203">
        <f>COUNTIF(C:C,C115)</f>
        <v/>
      </c>
      <c r="G115" s="198">
        <f>+G114+7</f>
        <v/>
      </c>
      <c r="H115" s="361">
        <f>IF(ISBLANK(CO115),CP115,SUMPRODUCT(CO$32:CP$32,CO115:CP115))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c r="CP115" s="199" t="n">
        <v>2.8</v>
      </c>
      <c r="CR115" s="199" t="inlineStr">
        <is>
          <t>#N/A N/A</t>
        </is>
      </c>
      <c r="CS115" s="970" t="n">
        <v>1.02803</v>
      </c>
    </row>
    <row r="116">
      <c r="B116" s="204">
        <f>+C116-1</f>
        <v/>
      </c>
      <c r="C116" s="204">
        <f>IF('bands_A-H_Avg'!$D$9+1&gt;MONTH(G116),YEAR(G116),YEAR(G116)+1)</f>
        <v/>
      </c>
      <c r="D116" s="204">
        <f>+C116+1</f>
        <v/>
      </c>
      <c r="E116" s="203">
        <f>IF(C116&gt;C115,1,E115+1)</f>
        <v/>
      </c>
      <c r="F116" s="203">
        <f>COUNTIF(C:C,C116)</f>
        <v/>
      </c>
      <c r="G116" s="198">
        <f>+G115+7</f>
        <v/>
      </c>
      <c r="H116" s="361">
        <f>IF(ISBLANK(CO116),CP116,SUMPRODUCT(CO$32:CP$32,CO116:CP116))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c r="CP116" s="199" t="n">
        <v>2.775</v>
      </c>
      <c r="CR116" s="199" t="inlineStr">
        <is>
          <t>#N/A N/A</t>
        </is>
      </c>
      <c r="CS116" s="970" t="n">
        <v>1.02856</v>
      </c>
    </row>
    <row r="117">
      <c r="B117" s="204">
        <f>+C117-1</f>
        <v/>
      </c>
      <c r="C117" s="204">
        <f>IF('bands_A-H_Avg'!$D$9+1&gt;MONTH(G117),YEAR(G117),YEAR(G117)+1)</f>
        <v/>
      </c>
      <c r="D117" s="204">
        <f>+C117+1</f>
        <v/>
      </c>
      <c r="E117" s="203">
        <f>IF(C117&gt;C116,1,E116+1)</f>
        <v/>
      </c>
      <c r="F117" s="203">
        <f>COUNTIF(C:C,C117)</f>
        <v/>
      </c>
      <c r="G117" s="198">
        <f>+G116+7</f>
        <v/>
      </c>
      <c r="H117" s="361">
        <f>IF(ISBLANK(CO117),CP117,SUMPRODUCT(CO$32:CP$32,CO117:CP117))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c r="CP117" s="199" t="n">
        <v>2.75</v>
      </c>
      <c r="CR117" s="199" t="inlineStr">
        <is>
          <t>#N/A N/A</t>
        </is>
      </c>
      <c r="CS117" s="970" t="n">
        <v>1.02656</v>
      </c>
    </row>
    <row r="118">
      <c r="B118" s="204">
        <f>+C118-1</f>
        <v/>
      </c>
      <c r="C118" s="204">
        <f>IF('bands_A-H_Avg'!$D$9+1&gt;MONTH(G118),YEAR(G118),YEAR(G118)+1)</f>
        <v/>
      </c>
      <c r="D118" s="204">
        <f>+C118+1</f>
        <v/>
      </c>
      <c r="E118" s="203">
        <f>IF(C118&gt;C117,1,E117+1)</f>
        <v/>
      </c>
      <c r="F118" s="203">
        <f>COUNTIF(C:C,C118)</f>
        <v/>
      </c>
      <c r="G118" s="198">
        <f>+G117+7</f>
        <v/>
      </c>
      <c r="H118" s="361">
        <f>IF(ISBLANK(CO118),CP118,SUMPRODUCT(CO$32:CP$32,CO118:CP118))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c r="CP118" s="199" t="n">
        <v>2.93</v>
      </c>
      <c r="CR118" s="199" t="inlineStr">
        <is>
          <t>#N/A N/A</t>
        </is>
      </c>
      <c r="CS118" s="970" t="n">
        <v>1.0271</v>
      </c>
    </row>
    <row r="119">
      <c r="B119" s="204">
        <f>+C119-1</f>
        <v/>
      </c>
      <c r="C119" s="204">
        <f>IF('bands_A-H_Avg'!$D$9+1&gt;MONTH(G119),YEAR(G119),YEAR(G119)+1)</f>
        <v/>
      </c>
      <c r="D119" s="204">
        <f>+C119+1</f>
        <v/>
      </c>
      <c r="E119" s="203">
        <f>IF(C119&gt;C118,1,E118+1)</f>
        <v/>
      </c>
      <c r="F119" s="203">
        <f>COUNTIF(C:C,C119)</f>
        <v/>
      </c>
      <c r="G119" s="198">
        <f>+G118+7</f>
        <v/>
      </c>
      <c r="H119" s="361">
        <f>IF(ISBLANK(CO119),CP119,SUMPRODUCT(CO$32:CP$32,CO119:CP119))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c r="CP119" s="199" t="n">
        <v>2.86</v>
      </c>
      <c r="CR119" s="199" t="inlineStr">
        <is>
          <t>#N/A N/A</t>
        </is>
      </c>
      <c r="CS119" s="970" t="n">
        <v>1.02632</v>
      </c>
    </row>
    <row r="120">
      <c r="B120" s="204">
        <f>+C120-1</f>
        <v/>
      </c>
      <c r="C120" s="204">
        <f>IF('bands_A-H_Avg'!$D$9+1&gt;MONTH(G120),YEAR(G120),YEAR(G120)+1)</f>
        <v/>
      </c>
      <c r="D120" s="204">
        <f>+C120+1</f>
        <v/>
      </c>
      <c r="E120" s="203">
        <f>IF(C120&gt;C119,1,E119+1)</f>
        <v/>
      </c>
      <c r="F120" s="203">
        <f>COUNTIF(C:C,C120)</f>
        <v/>
      </c>
      <c r="G120" s="198">
        <f>+G119+7</f>
        <v/>
      </c>
      <c r="H120" s="361">
        <f>IF(ISBLANK(CO120),CP120,SUMPRODUCT(CO$32:CP$32,CO120:CP120))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c r="CP120" s="199" t="n">
        <v>2.55</v>
      </c>
      <c r="CR120" s="199" t="inlineStr">
        <is>
          <t>#N/A N/A</t>
        </is>
      </c>
      <c r="CS120" s="970" t="n">
        <v>1.0256</v>
      </c>
    </row>
    <row r="121">
      <c r="B121" s="204">
        <f>+C121-1</f>
        <v/>
      </c>
      <c r="C121" s="204">
        <f>IF('bands_A-H_Avg'!$D$9+1&gt;MONTH(G121),YEAR(G121),YEAR(G121)+1)</f>
        <v/>
      </c>
      <c r="D121" s="204">
        <f>+C121+1</f>
        <v/>
      </c>
      <c r="E121" s="203">
        <f>IF(C121&gt;C120,1,E120+1)</f>
        <v/>
      </c>
      <c r="F121" s="203">
        <f>COUNTIF(C:C,C121)</f>
        <v/>
      </c>
      <c r="G121" s="198">
        <f>+G120+7</f>
        <v/>
      </c>
      <c r="H121" s="361">
        <f>IF(ISBLANK(CO121),CP121,SUMPRODUCT(CO$32:CP$32,CO121:CP121))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c r="CP121" s="199" t="n">
        <v>2.55</v>
      </c>
      <c r="CR121" s="199" t="inlineStr">
        <is>
          <t>#N/A N/A</t>
        </is>
      </c>
      <c r="CS121" s="970" t="n">
        <v>1.02586</v>
      </c>
    </row>
    <row r="122">
      <c r="B122" s="204">
        <f>+C122-1</f>
        <v/>
      </c>
      <c r="C122" s="204">
        <f>IF('bands_A-H_Avg'!$D$9+1&gt;MONTH(G122),YEAR(G122),YEAR(G122)+1)</f>
        <v/>
      </c>
      <c r="D122" s="204">
        <f>+C122+1</f>
        <v/>
      </c>
      <c r="E122" s="203">
        <f>IF(C122&gt;C121,1,E121+1)</f>
        <v/>
      </c>
      <c r="F122" s="203">
        <f>COUNTIF(C:C,C122)</f>
        <v/>
      </c>
      <c r="G122" s="198">
        <f>+G121+7</f>
        <v/>
      </c>
      <c r="H122" s="361">
        <f>IF(ISBLANK(CO122),CP122,SUMPRODUCT(CO$32:CP$32,CO122:CP122))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c r="CP122" s="199" t="n">
        <v>2.55</v>
      </c>
      <c r="CR122" s="199" t="inlineStr">
        <is>
          <t>#N/A N/A</t>
        </is>
      </c>
      <c r="CS122" s="970" t="n">
        <v>1.0253</v>
      </c>
    </row>
    <row r="123">
      <c r="B123" s="204">
        <f>+C123-1</f>
        <v/>
      </c>
      <c r="C123" s="204">
        <f>IF('bands_A-H_Avg'!$D$9+1&gt;MONTH(G123),YEAR(G123),YEAR(G123)+1)</f>
        <v/>
      </c>
      <c r="D123" s="204">
        <f>+C123+1</f>
        <v/>
      </c>
      <c r="E123" s="203">
        <f>IF(C123&gt;C122,1,E122+1)</f>
        <v/>
      </c>
      <c r="F123" s="203">
        <f>COUNTIF(C:C,C123)</f>
        <v/>
      </c>
      <c r="G123" s="198">
        <f>+G122+7</f>
        <v/>
      </c>
      <c r="H123" s="361">
        <f>IF(ISBLANK(CO123),CP123,SUMPRODUCT(CO$32:CP$32,CO123:CP123))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c r="CP123" s="199" t="n">
        <v>2.55</v>
      </c>
      <c r="CR123" s="199" t="inlineStr">
        <is>
          <t>#N/A N/A</t>
        </is>
      </c>
      <c r="CS123" s="970" t="n">
        <v>1.02254</v>
      </c>
    </row>
    <row r="124">
      <c r="B124" s="204">
        <f>+C124-1</f>
        <v/>
      </c>
      <c r="C124" s="204">
        <f>IF('bands_A-H_Avg'!$D$9+1&gt;MONTH(G124),YEAR(G124),YEAR(G124)+1)</f>
        <v/>
      </c>
      <c r="D124" s="204">
        <f>+C124+1</f>
        <v/>
      </c>
      <c r="E124" s="203">
        <f>IF(C124&gt;C123,1,E123+1)</f>
        <v/>
      </c>
      <c r="F124" s="203">
        <f>COUNTIF(C:C,C124)</f>
        <v/>
      </c>
      <c r="G124" s="198">
        <f>+G123+7</f>
        <v/>
      </c>
      <c r="H124" s="361">
        <f>IF(ISBLANK(CO124),CP124,SUMPRODUCT(CO$32:CP$32,CO124:CP124))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c r="CP124" s="199" t="n">
        <v>2.7</v>
      </c>
      <c r="CR124" s="199" t="inlineStr">
        <is>
          <t>#N/A N/A</t>
        </is>
      </c>
      <c r="CS124" s="970" t="n">
        <v>1.02191</v>
      </c>
    </row>
    <row r="125">
      <c r="B125" s="204">
        <f>+C125-1</f>
        <v/>
      </c>
      <c r="C125" s="204">
        <f>IF('bands_A-H_Avg'!$D$9+1&gt;MONTH(G125),YEAR(G125),YEAR(G125)+1)</f>
        <v/>
      </c>
      <c r="D125" s="204">
        <f>+C125+1</f>
        <v/>
      </c>
      <c r="E125" s="203">
        <f>IF(C125&gt;C124,1,E124+1)</f>
        <v/>
      </c>
      <c r="F125" s="203">
        <f>COUNTIF(C:C,C125)</f>
        <v/>
      </c>
      <c r="G125" s="198">
        <f>+G124+7</f>
        <v/>
      </c>
      <c r="H125" s="361">
        <f>IF(ISBLANK(CO125),CP125,SUMPRODUCT(CO$32:CP$32,CO125:CP125))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c r="CP125" s="199" t="n">
        <v>2.55</v>
      </c>
      <c r="CR125" s="199" t="inlineStr">
        <is>
          <t>#N/A N/A</t>
        </is>
      </c>
      <c r="CS125" s="970" t="n">
        <v>1.02057</v>
      </c>
    </row>
    <row r="126">
      <c r="B126" s="204">
        <f>+C126-1</f>
        <v/>
      </c>
      <c r="C126" s="204">
        <f>IF('bands_A-H_Avg'!$D$9+1&gt;MONTH(G126),YEAR(G126),YEAR(G126)+1)</f>
        <v/>
      </c>
      <c r="D126" s="204">
        <f>+C126+1</f>
        <v/>
      </c>
      <c r="E126" s="203">
        <f>IF(C126&gt;C125,1,E125+1)</f>
        <v/>
      </c>
      <c r="F126" s="203">
        <f>COUNTIF(C:C,C126)</f>
        <v/>
      </c>
      <c r="G126" s="198">
        <f>+G125+7</f>
        <v/>
      </c>
      <c r="H126" s="361">
        <f>IF(ISBLANK(CO126),CP126,SUMPRODUCT(CO$32:CP$32,CO126:CP126))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c r="CP126" s="199" t="n">
        <v>2.52</v>
      </c>
      <c r="CR126" s="199" t="inlineStr">
        <is>
          <t>#N/A N/A</t>
        </is>
      </c>
      <c r="CS126" s="970" t="n">
        <v>1.01738</v>
      </c>
    </row>
    <row r="127">
      <c r="B127" s="204">
        <f>+C127-1</f>
        <v/>
      </c>
      <c r="C127" s="204">
        <f>IF('bands_A-H_Avg'!$D$9+1&gt;MONTH(G127),YEAR(G127),YEAR(G127)+1)</f>
        <v/>
      </c>
      <c r="D127" s="204">
        <f>+C127+1</f>
        <v/>
      </c>
      <c r="E127" s="203">
        <f>IF(C127&gt;C126,1,E126+1)</f>
        <v/>
      </c>
      <c r="F127" s="203">
        <f>COUNTIF(C:C,C127)</f>
        <v/>
      </c>
      <c r="G127" s="198">
        <f>+G126+7</f>
        <v/>
      </c>
      <c r="H127" s="361">
        <f>IF(ISBLANK(CO127),CP127,SUMPRODUCT(CO$32:CP$32,CO127:CP127))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c r="CP127" s="199" t="n">
        <v>2.62</v>
      </c>
      <c r="CR127" s="199" t="inlineStr">
        <is>
          <t>#N/A N/A</t>
        </is>
      </c>
      <c r="CS127" s="970" t="n">
        <v>1.01444</v>
      </c>
    </row>
    <row r="128">
      <c r="B128" s="204">
        <f>+C128-1</f>
        <v/>
      </c>
      <c r="C128" s="204">
        <f>IF('bands_A-H_Avg'!$D$9+1&gt;MONTH(G128),YEAR(G128),YEAR(G128)+1)</f>
        <v/>
      </c>
      <c r="D128" s="204">
        <f>+C128+1</f>
        <v/>
      </c>
      <c r="E128" s="203">
        <f>IF(C128&gt;C127,1,E127+1)</f>
        <v/>
      </c>
      <c r="F128" s="203">
        <f>COUNTIF(C:C,C128)</f>
        <v/>
      </c>
      <c r="G128" s="198">
        <f>+G127+7</f>
        <v/>
      </c>
      <c r="H128" s="361">
        <f>IF(ISBLANK(CO128),CP128,SUMPRODUCT(CO$32:CP$32,CO128:CP128))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c r="CP128" s="199" t="n">
        <v>2.56</v>
      </c>
      <c r="CR128" s="199" t="inlineStr">
        <is>
          <t>#N/A N/A</t>
        </is>
      </c>
      <c r="CS128" s="970" t="n">
        <v>1.01512</v>
      </c>
    </row>
    <row r="129">
      <c r="B129" s="204">
        <f>+C129-1</f>
        <v/>
      </c>
      <c r="C129" s="204">
        <f>IF('bands_A-H_Avg'!$D$9+1&gt;MONTH(G129),YEAR(G129),YEAR(G129)+1)</f>
        <v/>
      </c>
      <c r="D129" s="204">
        <f>+C129+1</f>
        <v/>
      </c>
      <c r="E129" s="203">
        <f>IF(C129&gt;C128,1,E128+1)</f>
        <v/>
      </c>
      <c r="F129" s="203">
        <f>COUNTIF(C:C,C129)</f>
        <v/>
      </c>
      <c r="G129" s="198">
        <f>+G128+7</f>
        <v/>
      </c>
      <c r="H129" s="361">
        <f>IF(ISBLANK(CO129),CP129,SUMPRODUCT(CO$32:CP$32,CO129:CP129))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c r="CP129" s="199" t="n">
        <v>2.62</v>
      </c>
      <c r="CR129" s="199" t="inlineStr">
        <is>
          <t>#N/A N/A</t>
        </is>
      </c>
      <c r="CS129" s="970" t="n">
        <v>1.01467</v>
      </c>
    </row>
    <row r="130">
      <c r="B130" s="204">
        <f>+C130-1</f>
        <v/>
      </c>
      <c r="C130" s="204">
        <f>IF('bands_A-H_Avg'!$D$9+1&gt;MONTH(G130),YEAR(G130),YEAR(G130)+1)</f>
        <v/>
      </c>
      <c r="D130" s="204">
        <f>+C130+1</f>
        <v/>
      </c>
      <c r="E130" s="203">
        <f>IF(C130&gt;C129,1,E129+1)</f>
        <v/>
      </c>
      <c r="F130" s="203">
        <f>COUNTIF(C:C,C130)</f>
        <v/>
      </c>
      <c r="G130" s="198">
        <f>+G129+7</f>
        <v/>
      </c>
      <c r="H130" s="361">
        <f>IF(ISBLANK(CO130),CP130,SUMPRODUCT(CO$32:CP$32,CO130:CP130))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c r="CP130" s="199" t="n">
        <v>2.53</v>
      </c>
      <c r="CR130" s="199" t="inlineStr">
        <is>
          <t>#N/A N/A</t>
        </is>
      </c>
      <c r="CS130" s="970" t="n">
        <v>1.01533</v>
      </c>
    </row>
    <row r="131">
      <c r="B131" s="204">
        <f>+C131-1</f>
        <v/>
      </c>
      <c r="C131" s="204">
        <f>IF('bands_A-H_Avg'!$D$9+1&gt;MONTH(G131),YEAR(G131),YEAR(G131)+1)</f>
        <v/>
      </c>
      <c r="D131" s="204">
        <f>+C131+1</f>
        <v/>
      </c>
      <c r="E131" s="203">
        <f>IF(C131&gt;C130,1,E130+1)</f>
        <v/>
      </c>
      <c r="F131" s="203">
        <f>COUNTIF(C:C,C131)</f>
        <v/>
      </c>
      <c r="G131" s="198">
        <f>+G130+7</f>
        <v/>
      </c>
      <c r="H131" s="361">
        <f>IF(ISBLANK(CO131),CP131,SUMPRODUCT(CO$32:CP$32,CO131:CP131))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c r="CP131" s="199" t="n">
        <v>2.74</v>
      </c>
      <c r="CR131" s="199" t="inlineStr">
        <is>
          <t>#N/A N/A</t>
        </is>
      </c>
      <c r="CS131" s="970" t="n">
        <v>1.01469</v>
      </c>
    </row>
    <row r="132">
      <c r="B132" s="204">
        <f>+C132-1</f>
        <v/>
      </c>
      <c r="C132" s="204">
        <f>IF('bands_A-H_Avg'!$D$9+1&gt;MONTH(G132),YEAR(G132),YEAR(G132)+1)</f>
        <v/>
      </c>
      <c r="D132" s="204">
        <f>+C132+1</f>
        <v/>
      </c>
      <c r="E132" s="203">
        <f>IF(C132&gt;C131,1,E131+1)</f>
        <v/>
      </c>
      <c r="F132" s="203">
        <f>COUNTIF(C:C,C132)</f>
        <v/>
      </c>
      <c r="G132" s="198">
        <f>+G131+7</f>
        <v/>
      </c>
      <c r="H132" s="361">
        <f>IF(ISBLANK(CO132),CP132,SUMPRODUCT(CO$32:CP$32,CO132:CP132))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c r="CP132" s="199" t="n">
        <v>2.9</v>
      </c>
      <c r="CR132" s="199" t="inlineStr">
        <is>
          <t>#N/A N/A</t>
        </is>
      </c>
      <c r="CS132" s="970" t="n">
        <v>1.01214</v>
      </c>
    </row>
    <row r="133">
      <c r="B133" s="204">
        <f>+C133-1</f>
        <v/>
      </c>
      <c r="C133" s="204">
        <f>IF('bands_A-H_Avg'!$D$9+1&gt;MONTH(G133),YEAR(G133),YEAR(G133)+1)</f>
        <v/>
      </c>
      <c r="D133" s="204">
        <f>+C133+1</f>
        <v/>
      </c>
      <c r="E133" s="203">
        <f>IF(C133&gt;C132,1,E132+1)</f>
        <v/>
      </c>
      <c r="F133" s="203">
        <f>COUNTIF(C:C,C133)</f>
        <v/>
      </c>
      <c r="G133" s="198">
        <f>+G132+7</f>
        <v/>
      </c>
      <c r="H133" s="361">
        <f>IF(ISBLANK(CO133),CP133,SUMPRODUCT(CO$32:CP$32,CO133:CP133))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c r="CP133" s="199" t="n">
        <v>2.81</v>
      </c>
      <c r="CR133" s="199" t="inlineStr">
        <is>
          <t>#N/A N/A</t>
        </is>
      </c>
      <c r="CS133" s="970" t="n">
        <v>1.01064</v>
      </c>
    </row>
    <row r="134">
      <c r="B134" s="204">
        <f>+C134-1</f>
        <v/>
      </c>
      <c r="C134" s="204">
        <f>IF('bands_A-H_Avg'!$D$9+1&gt;MONTH(G134),YEAR(G134),YEAR(G134)+1)</f>
        <v/>
      </c>
      <c r="D134" s="204">
        <f>+C134+1</f>
        <v/>
      </c>
      <c r="E134" s="203">
        <f>IF(C134&gt;C133,1,E133+1)</f>
        <v/>
      </c>
      <c r="F134" s="203">
        <f>COUNTIF(C:C,C134)</f>
        <v/>
      </c>
      <c r="G134" s="198">
        <f>+G133+7</f>
        <v/>
      </c>
      <c r="H134" s="361">
        <f>IF(ISBLANK(CO134),CP134,SUMPRODUCT(CO$32:CP$32,CO134:CP134))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c r="CP134" s="199" t="n">
        <v>2.83</v>
      </c>
      <c r="CR134" s="199" t="inlineStr">
        <is>
          <t>#N/A N/A</t>
        </is>
      </c>
      <c r="CS134" s="970" t="n">
        <v>1.01095</v>
      </c>
    </row>
    <row r="135">
      <c r="B135" s="204">
        <f>+C135-1</f>
        <v/>
      </c>
      <c r="C135" s="204">
        <f>IF('bands_A-H_Avg'!$D$9+1&gt;MONTH(G135),YEAR(G135),YEAR(G135)+1)</f>
        <v/>
      </c>
      <c r="D135" s="204">
        <f>+C135+1</f>
        <v/>
      </c>
      <c r="E135" s="203">
        <f>IF(C135&gt;C134,1,E134+1)</f>
        <v/>
      </c>
      <c r="F135" s="203">
        <f>COUNTIF(C:C,C135)</f>
        <v/>
      </c>
      <c r="G135" s="198">
        <f>+G134+7</f>
        <v/>
      </c>
      <c r="H135" s="361">
        <f>IF(ISBLANK(CO135),CP135,SUMPRODUCT(CO$32:CP$32,CO135:CP135))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c r="CP135" s="199" t="n">
        <v>2.8</v>
      </c>
      <c r="CR135" s="199" t="inlineStr">
        <is>
          <t>#N/A N/A</t>
        </is>
      </c>
      <c r="CS135" s="970" t="n">
        <v>1.00932</v>
      </c>
    </row>
    <row r="136">
      <c r="B136" s="204">
        <f>+C136-1</f>
        <v/>
      </c>
      <c r="C136" s="204">
        <f>IF('bands_A-H_Avg'!$D$9+1&gt;MONTH(G136),YEAR(G136),YEAR(G136)+1)</f>
        <v/>
      </c>
      <c r="D136" s="204">
        <f>+C136+1</f>
        <v/>
      </c>
      <c r="E136" s="203">
        <f>IF(C136&gt;C135,1,E135+1)</f>
        <v/>
      </c>
      <c r="F136" s="203">
        <f>COUNTIF(C:C,C136)</f>
        <v/>
      </c>
      <c r="G136" s="198">
        <f>+G135+7</f>
        <v/>
      </c>
      <c r="H136" s="361">
        <f>IF(ISBLANK(CO136),CP136,SUMPRODUCT(CO$32:CP$32,CO136:CP136))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c r="CP136" s="199" t="n">
        <v>2.76</v>
      </c>
      <c r="CR136" s="199" t="inlineStr">
        <is>
          <t>#N/A N/A</t>
        </is>
      </c>
      <c r="CS136" s="970" t="n">
        <v>1.00768</v>
      </c>
    </row>
    <row r="137">
      <c r="B137" s="204">
        <f>+C137-1</f>
        <v/>
      </c>
      <c r="C137" s="204">
        <f>IF('bands_A-H_Avg'!$D$9+1&gt;MONTH(G137),YEAR(G137),YEAR(G137)+1)</f>
        <v/>
      </c>
      <c r="D137" s="204">
        <f>+C137+1</f>
        <v/>
      </c>
      <c r="E137" s="203">
        <f>IF(C137&gt;C136,1,E136+1)</f>
        <v/>
      </c>
      <c r="F137" s="203">
        <f>COUNTIF(C:C,C137)</f>
        <v/>
      </c>
      <c r="G137" s="198">
        <f>+G136+7</f>
        <v/>
      </c>
      <c r="H137" s="361">
        <f>IF(ISBLANK(CO137),CP137,SUMPRODUCT(CO$32:CP$32,CO137:CP137))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c r="CP137" s="199" t="n">
        <v>2.82</v>
      </c>
      <c r="CR137" s="199" t="inlineStr">
        <is>
          <t>#N/A N/A</t>
        </is>
      </c>
      <c r="CS137" s="970" t="n">
        <v>1.00665</v>
      </c>
    </row>
    <row r="138">
      <c r="B138" s="204">
        <f>+C138-1</f>
        <v/>
      </c>
      <c r="C138" s="204">
        <f>IF('bands_A-H_Avg'!$D$9+1&gt;MONTH(G138),YEAR(G138),YEAR(G138)+1)</f>
        <v/>
      </c>
      <c r="D138" s="204">
        <f>+C138+1</f>
        <v/>
      </c>
      <c r="E138" s="203">
        <f>IF(C138&gt;C137,1,E137+1)</f>
        <v/>
      </c>
      <c r="F138" s="203">
        <f>COUNTIF(C:C,C138)</f>
        <v/>
      </c>
      <c r="G138" s="198">
        <f>+G137+7</f>
        <v/>
      </c>
      <c r="H138" s="361">
        <f>IF(ISBLANK(CO138),CP138,SUMPRODUCT(CO$32:CP$32,CO138:CP138))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c r="CP138" s="199" t="n">
        <v>3.15</v>
      </c>
      <c r="CR138" s="199" t="inlineStr">
        <is>
          <t>#N/A N/A</t>
        </is>
      </c>
      <c r="CS138" s="970" t="n">
        <v>1.00719</v>
      </c>
    </row>
    <row r="139">
      <c r="B139" s="204">
        <f>+C139-1</f>
        <v/>
      </c>
      <c r="C139" s="204">
        <f>IF('bands_A-H_Avg'!$D$9+1&gt;MONTH(G139),YEAR(G139),YEAR(G139)+1)</f>
        <v/>
      </c>
      <c r="D139" s="204">
        <f>+C139+1</f>
        <v/>
      </c>
      <c r="E139" s="203">
        <f>IF(C139&gt;C138,1,E138+1)</f>
        <v/>
      </c>
      <c r="F139" s="203">
        <f>COUNTIF(C:C,C139)</f>
        <v/>
      </c>
      <c r="G139" s="198">
        <f>+G138+7</f>
        <v/>
      </c>
      <c r="H139" s="361">
        <f>IF(ISBLANK(CO139),CP139,SUMPRODUCT(CO$32:CP$32,CO139:CP139))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c r="CP139" s="199" t="n">
        <v>3.28</v>
      </c>
      <c r="CR139" s="199" t="inlineStr">
        <is>
          <t>#N/A N/A</t>
        </is>
      </c>
      <c r="CS139" s="970" t="n">
        <v>1.00491</v>
      </c>
    </row>
    <row r="140">
      <c r="B140" s="204">
        <f>+C140-1</f>
        <v/>
      </c>
      <c r="C140" s="204">
        <f>IF('bands_A-H_Avg'!$D$9+1&gt;MONTH(G140),YEAR(G140),YEAR(G140)+1)</f>
        <v/>
      </c>
      <c r="D140" s="204">
        <f>+C140+1</f>
        <v/>
      </c>
      <c r="E140" s="203">
        <f>IF(C140&gt;C139,1,E139+1)</f>
        <v/>
      </c>
      <c r="F140" s="203">
        <f>COUNTIF(C:C,C140)</f>
        <v/>
      </c>
      <c r="G140" s="198">
        <f>+G139+7</f>
        <v/>
      </c>
      <c r="H140" s="361">
        <f>IF(ISBLANK(CO140),CP140,SUMPRODUCT(CO$32:CP$32,CO140:CP140))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c r="CP140" s="199" t="n">
        <v>3.27</v>
      </c>
      <c r="CR140" s="199" t="inlineStr">
        <is>
          <t>#N/A N/A</t>
        </is>
      </c>
      <c r="CS140" s="970" t="n">
        <v>1.00351</v>
      </c>
    </row>
    <row r="141">
      <c r="B141" s="204">
        <f>+C141-1</f>
        <v/>
      </c>
      <c r="C141" s="204">
        <f>IF('bands_A-H_Avg'!$D$9+1&gt;MONTH(G141),YEAR(G141),YEAR(G141)+1)</f>
        <v/>
      </c>
      <c r="D141" s="204">
        <f>+C141+1</f>
        <v/>
      </c>
      <c r="E141" s="203">
        <f>IF(C141&gt;C140,1,E140+1)</f>
        <v/>
      </c>
      <c r="F141" s="203">
        <f>COUNTIF(C:C,C141)</f>
        <v/>
      </c>
      <c r="G141" s="198">
        <f>+G140+7</f>
        <v/>
      </c>
      <c r="H141" s="361">
        <f>IF(ISBLANK(CO141),CP141,SUMPRODUCT(CO$32:CP$32,CO141:CP141))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c r="CP141" s="199" t="n">
        <v>3.33</v>
      </c>
      <c r="CR141" s="199" t="inlineStr">
        <is>
          <t>#N/A N/A</t>
        </is>
      </c>
      <c r="CS141" s="970" t="n">
        <v>1.00171</v>
      </c>
    </row>
    <row r="142">
      <c r="B142" s="204">
        <f>+C142-1</f>
        <v/>
      </c>
      <c r="C142" s="204">
        <f>IF('bands_A-H_Avg'!$D$9+1&gt;MONTH(G142),YEAR(G142),YEAR(G142)+1)</f>
        <v/>
      </c>
      <c r="D142" s="204">
        <f>+C142+1</f>
        <v/>
      </c>
      <c r="E142" s="203">
        <f>IF(C142&gt;C141,1,E141+1)</f>
        <v/>
      </c>
      <c r="F142" s="203">
        <f>COUNTIF(C:C,C142)</f>
        <v/>
      </c>
      <c r="G142" s="198">
        <f>+G141+7</f>
        <v/>
      </c>
      <c r="H142" s="361">
        <f>IF(ISBLANK(CO142),CP142,SUMPRODUCT(CO$32:CP$32,CO142:CP142))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c r="CP142" s="199" t="n">
        <v>3.31</v>
      </c>
      <c r="CR142" s="199" t="inlineStr">
        <is>
          <t>#N/A N/A</t>
        </is>
      </c>
      <c r="CS142" s="970" t="n">
        <v>0.99983</v>
      </c>
    </row>
    <row r="143">
      <c r="B143" s="204">
        <f>+C143-1</f>
        <v/>
      </c>
      <c r="C143" s="204">
        <f>IF('bands_A-H_Avg'!$D$9+1&gt;MONTH(G143),YEAR(G143),YEAR(G143)+1)</f>
        <v/>
      </c>
      <c r="D143" s="204">
        <f>+C143+1</f>
        <v/>
      </c>
      <c r="E143" s="203">
        <f>IF(C143&gt;C142,1,E142+1)</f>
        <v/>
      </c>
      <c r="F143" s="203">
        <f>COUNTIF(C:C,C143)</f>
        <v/>
      </c>
      <c r="G143" s="198">
        <f>+G142+7</f>
        <v/>
      </c>
      <c r="H143" s="361">
        <f>IF(ISBLANK(CO143),CP143,SUMPRODUCT(CO$32:CP$32,CO143:CP143))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c r="CP143" s="199" t="n">
        <v>3.45</v>
      </c>
      <c r="CR143" s="199" t="inlineStr">
        <is>
          <t>#N/A N/A</t>
        </is>
      </c>
      <c r="CS143" s="970" t="n">
        <v>0.99564</v>
      </c>
    </row>
    <row r="144">
      <c r="B144" s="204">
        <f>+C144-1</f>
        <v/>
      </c>
      <c r="C144" s="204">
        <f>IF('bands_A-H_Avg'!$D$9+1&gt;MONTH(G144),YEAR(G144),YEAR(G144)+1)</f>
        <v/>
      </c>
      <c r="D144" s="204">
        <f>+C144+1</f>
        <v/>
      </c>
      <c r="E144" s="203">
        <f>IF(C144&gt;C143,1,E143+1)</f>
        <v/>
      </c>
      <c r="F144" s="203">
        <f>COUNTIF(C:C,C144)</f>
        <v/>
      </c>
      <c r="G144" s="198">
        <f>+G143+7</f>
        <v/>
      </c>
      <c r="H144" s="361">
        <f>IF(ISBLANK(CO144),CP144,SUMPRODUCT(CO$32:CP$32,CO144:CP144))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c r="CP144" s="199" t="n">
        <v>3.69</v>
      </c>
      <c r="CR144" s="199" t="inlineStr">
        <is>
          <t>#N/A N/A</t>
        </is>
      </c>
      <c r="CS144" s="970" t="n">
        <v>0.9954</v>
      </c>
    </row>
    <row r="145">
      <c r="B145" s="204">
        <f>+C145-1</f>
        <v/>
      </c>
      <c r="C145" s="204">
        <f>IF('bands_A-H_Avg'!$D$9+1&gt;MONTH(G145),YEAR(G145),YEAR(G145)+1)</f>
        <v/>
      </c>
      <c r="D145" s="204">
        <f>+C145+1</f>
        <v/>
      </c>
      <c r="E145" s="203">
        <f>IF(C145&gt;C144,1,E144+1)</f>
        <v/>
      </c>
      <c r="F145" s="203">
        <f>COUNTIF(C:C,C145)</f>
        <v/>
      </c>
      <c r="G145" s="198">
        <f>+G144+7</f>
        <v/>
      </c>
      <c r="H145" s="361">
        <f>IF(ISBLANK(CO145),CP145,SUMPRODUCT(CO$32:CP$32,CO145:CP145))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c r="CP145" s="199" t="n">
        <v>3.91</v>
      </c>
      <c r="CR145" s="199" t="inlineStr">
        <is>
          <t>#N/A N/A</t>
        </is>
      </c>
      <c r="CS145" s="970" t="n">
        <v>0.99335</v>
      </c>
    </row>
    <row r="146">
      <c r="B146" s="204">
        <f>+C146-1</f>
        <v/>
      </c>
      <c r="C146" s="204">
        <f>IF('bands_A-H_Avg'!$D$9+1&gt;MONTH(G146),YEAR(G146),YEAR(G146)+1)</f>
        <v/>
      </c>
      <c r="D146" s="204">
        <f>+C146+1</f>
        <v/>
      </c>
      <c r="E146" s="203">
        <f>IF(C146&gt;C145,1,E145+1)</f>
        <v/>
      </c>
      <c r="F146" s="203">
        <f>COUNTIF(C:C,C146)</f>
        <v/>
      </c>
      <c r="G146" s="198">
        <f>+G145+7</f>
        <v/>
      </c>
      <c r="H146" s="361">
        <f>IF(ISBLANK(CO146),CP146,SUMPRODUCT(CO$32:CP$32,CO146:CP146))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c r="CP146" s="199" t="n">
        <v>4.07</v>
      </c>
      <c r="CR146" s="199" t="inlineStr">
        <is>
          <t>#N/A N/A</t>
        </is>
      </c>
      <c r="CS146" s="970" t="n">
        <v>0.9913</v>
      </c>
    </row>
    <row r="147">
      <c r="B147" s="204">
        <f>+C147-1</f>
        <v/>
      </c>
      <c r="C147" s="204">
        <f>IF('bands_A-H_Avg'!$D$9+1&gt;MONTH(G147),YEAR(G147),YEAR(G147)+1)</f>
        <v/>
      </c>
      <c r="D147" s="204">
        <f>+C147+1</f>
        <v/>
      </c>
      <c r="E147" s="203">
        <f>IF(C147&gt;C146,1,E146+1)</f>
        <v/>
      </c>
      <c r="F147" s="203">
        <f>COUNTIF(C:C,C147)</f>
        <v/>
      </c>
      <c r="G147" s="198">
        <f>+G146+7</f>
        <v/>
      </c>
      <c r="H147" s="361">
        <f>IF(ISBLANK(CO147),CP147,SUMPRODUCT(CO$32:CP$32,CO147:CP147))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c r="CP147" s="199" t="n">
        <v>4.06</v>
      </c>
      <c r="CR147" s="199" t="inlineStr">
        <is>
          <t>#N/A N/A</t>
        </is>
      </c>
      <c r="CS147" s="970" t="n">
        <v>0.99117</v>
      </c>
    </row>
    <row r="148">
      <c r="B148" s="204">
        <f>+C148-1</f>
        <v/>
      </c>
      <c r="C148" s="204">
        <f>IF('bands_A-H_Avg'!$D$9+1&gt;MONTH(G148),YEAR(G148),YEAR(G148)+1)</f>
        <v/>
      </c>
      <c r="D148" s="204">
        <f>+C148+1</f>
        <v/>
      </c>
      <c r="E148" s="203">
        <f>IF(C148&gt;C147,1,E147+1)</f>
        <v/>
      </c>
      <c r="F148" s="203">
        <f>COUNTIF(C:C,C148)</f>
        <v/>
      </c>
      <c r="G148" s="198">
        <f>+G147+7</f>
        <v/>
      </c>
      <c r="H148" s="361">
        <f>IF(ISBLANK(CO148),CP148,SUMPRODUCT(CO$32:CP$32,CO148:CP148))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c r="CP148" s="199" t="n">
        <v>4.18</v>
      </c>
      <c r="CR148" s="199" t="inlineStr">
        <is>
          <t>#N/A N/A</t>
        </is>
      </c>
      <c r="CS148" s="970" t="n">
        <v>0.99141</v>
      </c>
    </row>
    <row r="149">
      <c r="B149" s="204">
        <f>+C149-1</f>
        <v/>
      </c>
      <c r="C149" s="204">
        <f>IF('bands_A-H_Avg'!$D$9+1&gt;MONTH(G149),YEAR(G149),YEAR(G149)+1)</f>
        <v/>
      </c>
      <c r="D149" s="204">
        <f>+C149+1</f>
        <v/>
      </c>
      <c r="E149" s="203">
        <f>IF(C149&gt;C148,1,E148+1)</f>
        <v/>
      </c>
      <c r="F149" s="203">
        <f>COUNTIF(C:C,C149)</f>
        <v/>
      </c>
      <c r="G149" s="198">
        <f>+G148+7</f>
        <v/>
      </c>
      <c r="H149" s="361">
        <f>IF(ISBLANK(CO149),CP149,SUMPRODUCT(CO$32:CP$32,CO149:CP149))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c r="CP149" s="199" t="n">
        <v>3.62</v>
      </c>
      <c r="CR149" s="199" t="inlineStr">
        <is>
          <t>#N/A N/A</t>
        </is>
      </c>
      <c r="CS149" s="970" t="n">
        <v>0.99134</v>
      </c>
    </row>
    <row r="150">
      <c r="B150" s="204">
        <f>+C150-1</f>
        <v/>
      </c>
      <c r="C150" s="204">
        <f>IF('bands_A-H_Avg'!$D$9+1&gt;MONTH(G150),YEAR(G150),YEAR(G150)+1)</f>
        <v/>
      </c>
      <c r="D150" s="204">
        <f>+C150+1</f>
        <v/>
      </c>
      <c r="E150" s="203">
        <f>IF(C150&gt;C149,1,E149+1)</f>
        <v/>
      </c>
      <c r="F150" s="203">
        <f>COUNTIF(C:C,C150)</f>
        <v/>
      </c>
      <c r="G150" s="198">
        <f>+G149+7</f>
        <v/>
      </c>
      <c r="H150" s="361">
        <f>IF(ISBLANK(CO150),CP150,SUMPRODUCT(CO$32:CP$32,CO150:CP150))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c r="CP150" s="199" t="n">
        <v>3.55</v>
      </c>
      <c r="CR150" s="199" t="inlineStr">
        <is>
          <t>#N/A N/A</t>
        </is>
      </c>
      <c r="CS150" s="970" t="n">
        <v>0.991</v>
      </c>
    </row>
    <row r="151">
      <c r="B151" s="204">
        <f>+C151-1</f>
        <v/>
      </c>
      <c r="C151" s="204">
        <f>IF('bands_A-H_Avg'!$D$9+1&gt;MONTH(G151),YEAR(G151),YEAR(G151)+1)</f>
        <v/>
      </c>
      <c r="D151" s="204">
        <f>+C151+1</f>
        <v/>
      </c>
      <c r="E151" s="203">
        <f>IF(C151&gt;C150,1,E150+1)</f>
        <v/>
      </c>
      <c r="F151" s="203">
        <f>COUNTIF(C:C,C151)</f>
        <v/>
      </c>
      <c r="G151" s="198">
        <f>+G150+7</f>
        <v/>
      </c>
      <c r="H151" s="361">
        <f>IF(ISBLANK(CO151),CP151,SUMPRODUCT(CO$32:CP$32,CO151:CP151))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c r="CP151" s="199" t="n">
        <v>3.41</v>
      </c>
      <c r="CR151" s="199" t="inlineStr">
        <is>
          <t>#N/A N/A</t>
        </is>
      </c>
      <c r="CS151" s="970" t="n">
        <v>0.9903</v>
      </c>
    </row>
    <row r="152">
      <c r="B152" s="204">
        <f>+C152-1</f>
        <v/>
      </c>
      <c r="C152" s="204">
        <f>IF('bands_A-H_Avg'!$D$9+1&gt;MONTH(G152),YEAR(G152),YEAR(G152)+1)</f>
        <v/>
      </c>
      <c r="D152" s="204">
        <f>+C152+1</f>
        <v/>
      </c>
      <c r="E152" s="203">
        <f>IF(C152&gt;C151,1,E151+1)</f>
        <v/>
      </c>
      <c r="F152" s="203">
        <f>COUNTIF(C:C,C152)</f>
        <v/>
      </c>
      <c r="G152" s="198">
        <f>+G151+7</f>
        <v/>
      </c>
      <c r="H152" s="361">
        <f>IF(ISBLANK(CO152),CP152,SUMPRODUCT(CO$32:CP$32,CO152:CP152))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c r="CP152" s="199" t="n">
        <v>3.64</v>
      </c>
      <c r="CR152" s="199" t="inlineStr">
        <is>
          <t>#N/A N/A</t>
        </is>
      </c>
      <c r="CS152" s="970" t="n">
        <v>0.98985</v>
      </c>
    </row>
    <row r="153">
      <c r="B153" s="204">
        <f>+C153-1</f>
        <v/>
      </c>
      <c r="C153" s="204">
        <f>IF('bands_A-H_Avg'!$D$9+1&gt;MONTH(G153),YEAR(G153),YEAR(G153)+1)</f>
        <v/>
      </c>
      <c r="D153" s="204">
        <f>+C153+1</f>
        <v/>
      </c>
      <c r="E153" s="203">
        <f>IF(C153&gt;C152,1,E152+1)</f>
        <v/>
      </c>
      <c r="F153" s="203">
        <f>COUNTIF(C:C,C153)</f>
        <v/>
      </c>
      <c r="G153" s="198">
        <f>+G152+7</f>
        <v/>
      </c>
      <c r="H153" s="361">
        <f>IF(ISBLANK(CO153),CP153,SUMPRODUCT(CO$32:CP$32,CO153:CP153))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c r="CP153" s="199" t="n">
        <v>3.65</v>
      </c>
      <c r="CR153" s="199" t="inlineStr">
        <is>
          <t>#N/A N/A</t>
        </is>
      </c>
      <c r="CS153" s="970" t="n">
        <v>0.98891</v>
      </c>
    </row>
    <row r="154">
      <c r="B154" s="204">
        <f>+C154-1</f>
        <v/>
      </c>
      <c r="C154" s="204">
        <f>IF('bands_A-H_Avg'!$D$9+1&gt;MONTH(G154),YEAR(G154),YEAR(G154)+1)</f>
        <v/>
      </c>
      <c r="D154" s="204">
        <f>+C154+1</f>
        <v/>
      </c>
      <c r="E154" s="203">
        <f>IF(C154&gt;C153,1,E153+1)</f>
        <v/>
      </c>
      <c r="F154" s="203">
        <f>COUNTIF(C:C,C154)</f>
        <v/>
      </c>
      <c r="G154" s="198">
        <f>+G153+7</f>
        <v/>
      </c>
      <c r="H154" s="361">
        <f>IF(ISBLANK(CO154),CP154,SUMPRODUCT(CO$32:CP$32,CO154:CP154))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c r="CP154" s="199" t="n">
        <v>3.88</v>
      </c>
      <c r="CR154" s="199" t="inlineStr">
        <is>
          <t>#N/A N/A</t>
        </is>
      </c>
      <c r="CS154" s="970" t="n">
        <v>0.98814</v>
      </c>
    </row>
    <row r="155">
      <c r="B155" s="204">
        <f>+C155-1</f>
        <v/>
      </c>
      <c r="C155" s="204">
        <f>IF('bands_A-H_Avg'!$D$9+1&gt;MONTH(G155),YEAR(G155),YEAR(G155)+1)</f>
        <v/>
      </c>
      <c r="D155" s="204">
        <f>+C155+1</f>
        <v/>
      </c>
      <c r="E155" s="203">
        <f>IF(C155&gt;C154,1,E154+1)</f>
        <v/>
      </c>
      <c r="F155" s="203">
        <f>COUNTIF(C:C,C155)</f>
        <v/>
      </c>
      <c r="G155" s="198">
        <f>+G154+7</f>
        <v/>
      </c>
      <c r="H155" s="361">
        <f>IF(ISBLANK(CO155),CP155,SUMPRODUCT(CO$32:CP$32,CO155:CP155))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c r="CP155" s="199" t="n">
        <v>3.96</v>
      </c>
      <c r="CR155" s="199" t="inlineStr">
        <is>
          <t>#N/A N/A</t>
        </is>
      </c>
      <c r="CS155" s="970" t="n">
        <v>0.98827</v>
      </c>
    </row>
    <row r="156">
      <c r="B156" s="204">
        <f>+C156-1</f>
        <v/>
      </c>
      <c r="C156" s="204">
        <f>IF('bands_A-H_Avg'!$D$9+1&gt;MONTH(G156),YEAR(G156),YEAR(G156)+1)</f>
        <v/>
      </c>
      <c r="D156" s="204">
        <f>+C156+1</f>
        <v/>
      </c>
      <c r="E156" s="203">
        <f>IF(C156&gt;C155,1,E155+1)</f>
        <v/>
      </c>
      <c r="F156" s="203">
        <f>COUNTIF(C:C,C156)</f>
        <v/>
      </c>
      <c r="G156" s="198">
        <f>+G155+7</f>
        <v/>
      </c>
      <c r="H156" s="361">
        <f>IF(ISBLANK(CO156),CP156,SUMPRODUCT(CO$32:CP$32,CO156:CP156))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c r="CP156" s="199" t="n">
        <v>3.4</v>
      </c>
      <c r="CR156" s="199" t="inlineStr">
        <is>
          <t>#N/A N/A</t>
        </is>
      </c>
      <c r="CS156" s="970" t="n">
        <v>0.98727</v>
      </c>
    </row>
    <row r="157">
      <c r="B157" s="204">
        <f>+C157-1</f>
        <v/>
      </c>
      <c r="C157" s="204">
        <f>IF('bands_A-H_Avg'!$D$9+1&gt;MONTH(G157),YEAR(G157),YEAR(G157)+1)</f>
        <v/>
      </c>
      <c r="D157" s="204">
        <f>+C157+1</f>
        <v/>
      </c>
      <c r="E157" s="203">
        <f>IF(C157&gt;C156,1,E156+1)</f>
        <v/>
      </c>
      <c r="F157" s="203">
        <f>COUNTIF(C:C,C157)</f>
        <v/>
      </c>
      <c r="G157" s="198">
        <f>+G156+7</f>
        <v/>
      </c>
      <c r="H157" s="361">
        <f>IF(ISBLANK(CO157),CP157,SUMPRODUCT(CO$32:CP$32,CO157:CP157))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c r="CP157" s="199" t="n">
        <v>3.39</v>
      </c>
      <c r="CR157" s="199" t="inlineStr">
        <is>
          <t>#N/A N/A</t>
        </is>
      </c>
      <c r="CS157" s="970" t="n">
        <v>0.98629</v>
      </c>
    </row>
    <row r="158">
      <c r="B158" s="204">
        <f>+C158-1</f>
        <v/>
      </c>
      <c r="C158" s="204">
        <f>IF('bands_A-H_Avg'!$D$9+1&gt;MONTH(G158),YEAR(G158),YEAR(G158)+1)</f>
        <v/>
      </c>
      <c r="D158" s="204">
        <f>+C158+1</f>
        <v/>
      </c>
      <c r="E158" s="203">
        <f>IF(C158&gt;C157,1,E157+1)</f>
        <v/>
      </c>
      <c r="F158" s="203">
        <f>COUNTIF(C:C,C158)</f>
        <v/>
      </c>
      <c r="G158" s="198">
        <f>+G157+7</f>
        <v/>
      </c>
      <c r="H158" s="361">
        <f>IF(ISBLANK(CO158),CP158,SUMPRODUCT(CO$32:CP$32,CO158:CP158))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c r="CP158" s="199" t="n">
        <v>3.51</v>
      </c>
      <c r="CR158" s="199" t="inlineStr">
        <is>
          <t>#N/A N/A</t>
        </is>
      </c>
      <c r="CS158" s="970" t="n">
        <v>0.9846200000000001</v>
      </c>
    </row>
    <row r="159">
      <c r="B159" s="204">
        <f>+C159-1</f>
        <v/>
      </c>
      <c r="C159" s="204">
        <f>IF('bands_A-H_Avg'!$D$9+1&gt;MONTH(G159),YEAR(G159),YEAR(G159)+1)</f>
        <v/>
      </c>
      <c r="D159" s="204">
        <f>+C159+1</f>
        <v/>
      </c>
      <c r="E159" s="203">
        <f>IF(C159&gt;C158,1,E158+1)</f>
        <v/>
      </c>
      <c r="F159" s="203">
        <f>COUNTIF(C:C,C159)</f>
        <v/>
      </c>
      <c r="G159" s="198">
        <f>+G158+7</f>
        <v/>
      </c>
      <c r="H159" s="361">
        <f>IF(ISBLANK(CO159),CP159,SUMPRODUCT(CO$32:CP$32,CO159:CP159))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c r="CP159" s="199" t="n">
        <v>3.56</v>
      </c>
      <c r="CR159" s="199" t="inlineStr">
        <is>
          <t>#N/A N/A</t>
        </is>
      </c>
      <c r="CS159" s="970" t="n">
        <v>0.98225</v>
      </c>
    </row>
    <row r="160">
      <c r="B160" s="204">
        <f>+C160-1</f>
        <v/>
      </c>
      <c r="C160" s="204">
        <f>IF('bands_A-H_Avg'!$D$9+1&gt;MONTH(G160),YEAR(G160),YEAR(G160)+1)</f>
        <v/>
      </c>
      <c r="D160" s="204">
        <f>+C160+1</f>
        <v/>
      </c>
      <c r="E160" s="203">
        <f>IF(C160&gt;C159,1,E159+1)</f>
        <v/>
      </c>
      <c r="F160" s="203">
        <f>COUNTIF(C:C,C160)</f>
        <v/>
      </c>
      <c r="G160" s="198">
        <f>+G159+7</f>
        <v/>
      </c>
      <c r="H160" s="361">
        <f>IF(ISBLANK(CO160),CP160,SUMPRODUCT(CO$32:CP$32,CO160:CP160))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c r="CP160" s="199" t="n">
        <v>3.46</v>
      </c>
      <c r="CR160" s="199" t="inlineStr">
        <is>
          <t>#N/A N/A</t>
        </is>
      </c>
      <c r="CS160" s="970" t="n">
        <v>0.98102</v>
      </c>
    </row>
    <row r="161">
      <c r="B161" s="204">
        <f>+C161-1</f>
        <v/>
      </c>
      <c r="C161" s="204">
        <f>IF('bands_A-H_Avg'!$D$9+1&gt;MONTH(G161),YEAR(G161),YEAR(G161)+1)</f>
        <v/>
      </c>
      <c r="D161" s="204">
        <f>+C161+1</f>
        <v/>
      </c>
      <c r="E161" s="203">
        <f>IF(C161&gt;C160,1,E160+1)</f>
        <v/>
      </c>
      <c r="F161" s="203">
        <f>COUNTIF(C:C,C161)</f>
        <v/>
      </c>
      <c r="G161" s="198">
        <f>+G160+7</f>
        <v/>
      </c>
      <c r="H161" s="361">
        <f>IF(ISBLANK(CO161),CP161,SUMPRODUCT(CO$32:CP$32,CO161:CP161))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c r="CP161" s="199" t="n">
        <v>3.3</v>
      </c>
      <c r="CR161" s="199" t="inlineStr">
        <is>
          <t>#N/A N/A</t>
        </is>
      </c>
      <c r="CS161" s="970" t="n">
        <v>0.97821</v>
      </c>
    </row>
    <row r="162">
      <c r="B162" s="204">
        <f>+C162-1</f>
        <v/>
      </c>
      <c r="C162" s="204">
        <f>IF('bands_A-H_Avg'!$D$9+1&gt;MONTH(G162),YEAR(G162),YEAR(G162)+1)</f>
        <v/>
      </c>
      <c r="D162" s="204">
        <f>+C162+1</f>
        <v/>
      </c>
      <c r="E162" s="203">
        <f>IF(C162&gt;C161,1,E161+1)</f>
        <v/>
      </c>
      <c r="F162" s="203">
        <f>COUNTIF(C:C,C162)</f>
        <v/>
      </c>
      <c r="G162" s="198">
        <f>+G161+7</f>
        <v/>
      </c>
      <c r="H162" s="361">
        <f>IF(ISBLANK(CO162),CP162,SUMPRODUCT(CO$32:CP$32,CO162:CP162))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c r="CP162" s="199" t="n">
        <v>3.28</v>
      </c>
      <c r="CR162" s="199" t="inlineStr">
        <is>
          <t>#N/A N/A</t>
        </is>
      </c>
      <c r="CS162" s="970" t="n">
        <v>0.97922</v>
      </c>
    </row>
    <row r="163">
      <c r="B163" s="204">
        <f>+C163-1</f>
        <v/>
      </c>
      <c r="C163" s="204">
        <f>IF('bands_A-H_Avg'!$D$9+1&gt;MONTH(G163),YEAR(G163),YEAR(G163)+1)</f>
        <v/>
      </c>
      <c r="D163" s="204">
        <f>+C163+1</f>
        <v/>
      </c>
      <c r="E163" s="203">
        <f>IF(C163&gt;C162,1,E162+1)</f>
        <v/>
      </c>
      <c r="F163" s="203">
        <f>COUNTIF(C:C,C163)</f>
        <v/>
      </c>
      <c r="G163" s="198">
        <f>+G162+7</f>
        <v/>
      </c>
      <c r="H163" s="361">
        <f>IF(ISBLANK(CO163),CP163,SUMPRODUCT(CO$32:CP$32,CO163:CP163))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c r="CP163" s="199" t="n">
        <v>3.27</v>
      </c>
      <c r="CR163" s="199" t="inlineStr">
        <is>
          <t>#N/A N/A</t>
        </is>
      </c>
      <c r="CS163" s="970" t="n">
        <v>0.97973</v>
      </c>
    </row>
    <row r="164">
      <c r="B164" s="204">
        <f>+C164-1</f>
        <v/>
      </c>
      <c r="C164" s="204">
        <f>IF('bands_A-H_Avg'!$D$9+1&gt;MONTH(G164),YEAR(G164),YEAR(G164)+1)</f>
        <v/>
      </c>
      <c r="D164" s="204">
        <f>+C164+1</f>
        <v/>
      </c>
      <c r="E164" s="203">
        <f>IF(C164&gt;C163,1,E163+1)</f>
        <v/>
      </c>
      <c r="F164" s="203">
        <f>COUNTIF(C:C,C164)</f>
        <v/>
      </c>
      <c r="G164" s="198">
        <f>+G163+7</f>
        <v/>
      </c>
      <c r="H164" s="361">
        <f>IF(ISBLANK(CO164),CP164,SUMPRODUCT(CO$32:CP$32,CO164:CP164))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c r="CP164" s="199" t="n">
        <v>3.24</v>
      </c>
      <c r="CR164" s="199" t="inlineStr">
        <is>
          <t>#N/A N/A</t>
        </is>
      </c>
      <c r="CS164" s="970" t="n">
        <v>0.97529</v>
      </c>
    </row>
    <row r="165">
      <c r="B165" s="204">
        <f>+C165-1</f>
        <v/>
      </c>
      <c r="C165" s="204">
        <f>IF('bands_A-H_Avg'!$D$9+1&gt;MONTH(G165),YEAR(G165),YEAR(G165)+1)</f>
        <v/>
      </c>
      <c r="D165" s="204">
        <f>+C165+1</f>
        <v/>
      </c>
      <c r="E165" s="203">
        <f>IF(C165&gt;C164,1,E164+1)</f>
        <v/>
      </c>
      <c r="F165" s="203">
        <f>COUNTIF(C:C,C165)</f>
        <v/>
      </c>
      <c r="G165" s="198">
        <f>+G164+7</f>
        <v/>
      </c>
      <c r="H165" s="361">
        <f>IF(ISBLANK(CO165),CP165,SUMPRODUCT(CO$32:CP$32,CO165:CP165))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c r="CP165" s="199" t="n">
        <v>3.79</v>
      </c>
      <c r="CR165" s="199" t="inlineStr">
        <is>
          <t>#N/A N/A</t>
        </is>
      </c>
      <c r="CS165" s="970" t="n">
        <v>0.97532</v>
      </c>
    </row>
    <row r="166">
      <c r="B166" s="204">
        <f>+C166-1</f>
        <v/>
      </c>
      <c r="C166" s="204">
        <f>IF('bands_A-H_Avg'!$D$9+1&gt;MONTH(G166),YEAR(G166),YEAR(G166)+1)</f>
        <v/>
      </c>
      <c r="D166" s="204">
        <f>+C166+1</f>
        <v/>
      </c>
      <c r="E166" s="203">
        <f>IF(C166&gt;C165,1,E165+1)</f>
        <v/>
      </c>
      <c r="F166" s="203">
        <f>COUNTIF(C:C,C166)</f>
        <v/>
      </c>
      <c r="G166" s="198">
        <f>+G165+7</f>
        <v/>
      </c>
      <c r="H166" s="361">
        <f>IF(ISBLANK(CO166),CP166,SUMPRODUCT(CO$32:CP$32,CO166:CP166))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c r="CP166" s="199" t="n">
        <v>3.52</v>
      </c>
      <c r="CR166" s="199" t="inlineStr">
        <is>
          <t>#N/A N/A</t>
        </is>
      </c>
      <c r="CS166" s="970" t="n">
        <v>0.9738</v>
      </c>
    </row>
    <row r="167">
      <c r="B167" s="204">
        <f>+C167-1</f>
        <v/>
      </c>
      <c r="C167" s="204">
        <f>IF('bands_A-H_Avg'!$D$9+1&gt;MONTH(G167),YEAR(G167),YEAR(G167)+1)</f>
        <v/>
      </c>
      <c r="D167" s="204">
        <f>+C167+1</f>
        <v/>
      </c>
      <c r="E167" s="203">
        <f>IF(C167&gt;C166,1,E166+1)</f>
        <v/>
      </c>
      <c r="F167" s="203">
        <f>COUNTIF(C:C,C167)</f>
        <v/>
      </c>
      <c r="G167" s="198">
        <f>+G166+7</f>
        <v/>
      </c>
      <c r="H167" s="361">
        <f>IF(ISBLANK(CO167),CP167,SUMPRODUCT(CO$32:CP$32,CO167:CP167))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c r="CP167" s="199" t="n">
        <v>3.66</v>
      </c>
      <c r="CR167" s="199" t="inlineStr">
        <is>
          <t>#N/A N/A</t>
        </is>
      </c>
      <c r="CS167" s="970" t="n">
        <v>0.97244</v>
      </c>
    </row>
    <row r="168">
      <c r="B168" s="204">
        <f>+C168-1</f>
        <v/>
      </c>
      <c r="C168" s="204">
        <f>IF('bands_A-H_Avg'!$D$9+1&gt;MONTH(G168),YEAR(G168),YEAR(G168)+1)</f>
        <v/>
      </c>
      <c r="D168" s="204">
        <f>+C168+1</f>
        <v/>
      </c>
      <c r="E168" s="203">
        <f>IF(C168&gt;C167,1,E167+1)</f>
        <v/>
      </c>
      <c r="F168" s="203">
        <f>COUNTIF(C:C,C168)</f>
        <v/>
      </c>
      <c r="G168" s="198">
        <f>+G167+7</f>
        <v/>
      </c>
      <c r="H168" s="361">
        <f>IF(ISBLANK(CO168),CP168,SUMPRODUCT(CO$32:CP$32,CO168:CP168))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c r="CP168" s="199" t="n">
        <v>3.69</v>
      </c>
      <c r="CR168" s="199" t="inlineStr">
        <is>
          <t>#N/A N/A</t>
        </is>
      </c>
      <c r="CS168" s="970" t="n">
        <v>0.96843</v>
      </c>
    </row>
    <row r="169">
      <c r="B169" s="204">
        <f>+C169-1</f>
        <v/>
      </c>
      <c r="C169" s="204">
        <f>IF('bands_A-H_Avg'!$D$9+1&gt;MONTH(G169),YEAR(G169),YEAR(G169)+1)</f>
        <v/>
      </c>
      <c r="D169" s="204">
        <f>+C169+1</f>
        <v/>
      </c>
      <c r="E169" s="203">
        <f>IF(C169&gt;C168,1,E168+1)</f>
        <v/>
      </c>
      <c r="F169" s="203">
        <f>COUNTIF(C:C,C169)</f>
        <v/>
      </c>
      <c r="G169" s="198">
        <f>+G168+7</f>
        <v/>
      </c>
      <c r="H169" s="361">
        <f>IF(ISBLANK(CO169),CP169,SUMPRODUCT(CO$32:CP$32,CO169:CP169))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c r="CP169" s="199" t="n">
        <v>3.8</v>
      </c>
      <c r="CR169" s="199" t="inlineStr">
        <is>
          <t>#N/A N/A</t>
        </is>
      </c>
      <c r="CS169" s="970" t="n">
        <v>0.96838</v>
      </c>
    </row>
    <row r="170">
      <c r="B170" s="204">
        <f>+C170-1</f>
        <v/>
      </c>
      <c r="C170" s="204">
        <f>IF('bands_A-H_Avg'!$D$9+1&gt;MONTH(G170),YEAR(G170),YEAR(G170)+1)</f>
        <v/>
      </c>
      <c r="D170" s="204">
        <f>+C170+1</f>
        <v/>
      </c>
      <c r="E170" s="203">
        <f>IF(C170&gt;C169,1,E169+1)</f>
        <v/>
      </c>
      <c r="F170" s="203">
        <f>COUNTIF(C:C,C170)</f>
        <v/>
      </c>
      <c r="G170" s="198">
        <f>+G169+7</f>
        <v/>
      </c>
      <c r="H170" s="361">
        <f>IF(ISBLANK(CO170),CP170,SUMPRODUCT(CO$32:CP$32,CO170:CP170))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c r="CP170" s="199" t="n">
        <v>3.77</v>
      </c>
      <c r="CR170" s="199" t="inlineStr">
        <is>
          <t>#N/A N/A</t>
        </is>
      </c>
      <c r="CS170" s="970" t="n">
        <v>0.9664</v>
      </c>
    </row>
    <row r="171">
      <c r="B171" s="204">
        <f>+C171-1</f>
        <v/>
      </c>
      <c r="C171" s="204">
        <f>IF('bands_A-H_Avg'!$D$9+1&gt;MONTH(G171),YEAR(G171),YEAR(G171)+1)</f>
        <v/>
      </c>
      <c r="D171" s="204">
        <f>+C171+1</f>
        <v/>
      </c>
      <c r="E171" s="203">
        <f>IF(C171&gt;C170,1,E170+1)</f>
        <v/>
      </c>
      <c r="F171" s="203">
        <f>COUNTIF(C:C,C171)</f>
        <v/>
      </c>
      <c r="G171" s="198">
        <f>+G170+7</f>
        <v/>
      </c>
      <c r="H171" s="361">
        <f>IF(ISBLANK(CO171),CP171,SUMPRODUCT(CO$32:CP$32,CO171:CP171))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c r="CP171" s="199" t="n">
        <v>3.52</v>
      </c>
      <c r="CR171" s="199" t="inlineStr">
        <is>
          <t>#N/A N/A</t>
        </is>
      </c>
      <c r="CS171" s="970" t="n">
        <v>0.96674</v>
      </c>
    </row>
    <row r="172">
      <c r="B172" s="204">
        <f>+C172-1</f>
        <v/>
      </c>
      <c r="C172" s="204">
        <f>IF('bands_A-H_Avg'!$D$9+1&gt;MONTH(G172),YEAR(G172),YEAR(G172)+1)</f>
        <v/>
      </c>
      <c r="D172" s="204">
        <f>+C172+1</f>
        <v/>
      </c>
      <c r="E172" s="203">
        <f>IF(C172&gt;C171,1,E171+1)</f>
        <v/>
      </c>
      <c r="F172" s="203">
        <f>COUNTIF(C:C,C172)</f>
        <v/>
      </c>
      <c r="G172" s="198">
        <f>+G171+7</f>
        <v/>
      </c>
      <c r="H172" s="361">
        <f>IF(ISBLANK(CO172),CP172,SUMPRODUCT(CO$32:CP$32,CO172:CP172))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c r="CP172" s="199" t="n">
        <v>3.59</v>
      </c>
      <c r="CR172" s="199" t="inlineStr">
        <is>
          <t>#N/A N/A</t>
        </is>
      </c>
      <c r="CS172" s="970" t="n">
        <v>0.96835</v>
      </c>
    </row>
    <row r="173">
      <c r="B173" s="204">
        <f>+C173-1</f>
        <v/>
      </c>
      <c r="C173" s="204">
        <f>IF('bands_A-H_Avg'!$D$9+1&gt;MONTH(G173),YEAR(G173),YEAR(G173)+1)</f>
        <v/>
      </c>
      <c r="D173" s="204">
        <f>+C173+1</f>
        <v/>
      </c>
      <c r="E173" s="203">
        <f>IF(C173&gt;C172,1,E172+1)</f>
        <v/>
      </c>
      <c r="F173" s="203">
        <f>COUNTIF(C:C,C173)</f>
        <v/>
      </c>
      <c r="G173" s="198">
        <f>+G172+7</f>
        <v/>
      </c>
      <c r="H173" s="361">
        <f>IF(ISBLANK(CO173),CP173,SUMPRODUCT(CO$32:CP$32,CO173:CP173))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c r="CP173" s="199" t="n">
        <v>3.51</v>
      </c>
      <c r="CR173" s="199" t="inlineStr">
        <is>
          <t>#N/A N/A</t>
        </is>
      </c>
      <c r="CS173" s="970" t="n">
        <v>0.97244</v>
      </c>
    </row>
    <row r="174">
      <c r="B174" s="204">
        <f>+C174-1</f>
        <v/>
      </c>
      <c r="C174" s="204">
        <f>IF('bands_A-H_Avg'!$D$9+1&gt;MONTH(G174),YEAR(G174),YEAR(G174)+1)</f>
        <v/>
      </c>
      <c r="D174" s="204">
        <f>+C174+1</f>
        <v/>
      </c>
      <c r="E174" s="203">
        <f>IF(C174&gt;C173,1,E173+1)</f>
        <v/>
      </c>
      <c r="F174" s="203">
        <f>COUNTIF(C:C,C174)</f>
        <v/>
      </c>
      <c r="G174" s="198">
        <f>+G173+7</f>
        <v/>
      </c>
      <c r="H174" s="361">
        <f>IF(ISBLANK(CO174),CP174,SUMPRODUCT(CO$32:CP$32,CO174:CP174))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c r="CP174" s="199" t="n">
        <v>3.51</v>
      </c>
      <c r="CR174" s="199" t="inlineStr">
        <is>
          <t>#N/A N/A</t>
        </is>
      </c>
      <c r="CS174" s="970" t="n">
        <v>0.97016</v>
      </c>
    </row>
    <row r="175">
      <c r="B175" s="204">
        <f>+C175-1</f>
        <v/>
      </c>
      <c r="C175" s="204">
        <f>IF('bands_A-H_Avg'!$D$9+1&gt;MONTH(G175),YEAR(G175),YEAR(G175)+1)</f>
        <v/>
      </c>
      <c r="D175" s="204">
        <f>+C175+1</f>
        <v/>
      </c>
      <c r="E175" s="203">
        <f>IF(C175&gt;C174,1,E174+1)</f>
        <v/>
      </c>
      <c r="F175" s="203">
        <f>COUNTIF(C:C,C175)</f>
        <v/>
      </c>
      <c r="G175" s="198">
        <f>+G174+7</f>
        <v/>
      </c>
      <c r="H175" s="361">
        <f>IF(ISBLANK(CO175),CP175,SUMPRODUCT(CO$32:CP$32,CO175:CP175))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c r="CP175" s="199" t="n">
        <v>4.99</v>
      </c>
      <c r="CR175" s="199" t="inlineStr">
        <is>
          <t>#N/A N/A</t>
        </is>
      </c>
      <c r="CS175" s="970" t="n">
        <v>0.9680299999999999</v>
      </c>
    </row>
    <row r="176">
      <c r="B176" s="204">
        <f>+C176-1</f>
        <v/>
      </c>
      <c r="C176" s="204">
        <f>IF('bands_A-H_Avg'!$D$9+1&gt;MONTH(G176),YEAR(G176),YEAR(G176)+1)</f>
        <v/>
      </c>
      <c r="D176" s="204">
        <f>+C176+1</f>
        <v/>
      </c>
      <c r="E176" s="203">
        <f>IF(C176&gt;C175,1,E175+1)</f>
        <v/>
      </c>
      <c r="F176" s="203">
        <f>COUNTIF(C:C,C176)</f>
        <v/>
      </c>
      <c r="G176" s="198">
        <f>+G175+7</f>
        <v/>
      </c>
      <c r="H176" s="361">
        <f>IF(ISBLANK(CO176),CP176,SUMPRODUCT(CO$32:CP$32,CO176:CP176))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c r="CP176" s="199" t="n">
        <v>4.88</v>
      </c>
      <c r="CR176" s="199" t="inlineStr">
        <is>
          <t>#N/A N/A</t>
        </is>
      </c>
      <c r="CS176" s="970" t="n">
        <v>0.9684</v>
      </c>
    </row>
    <row r="177">
      <c r="B177" s="204">
        <f>+C177-1</f>
        <v/>
      </c>
      <c r="C177" s="204">
        <f>IF('bands_A-H_Avg'!$D$9+1&gt;MONTH(G177),YEAR(G177),YEAR(G177)+1)</f>
        <v/>
      </c>
      <c r="D177" s="204">
        <f>+C177+1</f>
        <v/>
      </c>
      <c r="E177" s="203">
        <f>IF(C177&gt;C176,1,E176+1)</f>
        <v/>
      </c>
      <c r="F177" s="203">
        <f>COUNTIF(C:C,C177)</f>
        <v/>
      </c>
      <c r="G177" s="198">
        <f>+G176+7</f>
        <v/>
      </c>
      <c r="H177" s="361">
        <f>IF(ISBLANK(CO177),CP177,SUMPRODUCT(CO$32:CP$32,CO177:CP177))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c r="CP177" s="199" t="n">
        <v>5.03</v>
      </c>
      <c r="CR177" s="199" t="inlineStr">
        <is>
          <t>#N/A N/A</t>
        </is>
      </c>
      <c r="CS177" s="970" t="n">
        <v>0.96506</v>
      </c>
    </row>
    <row r="178">
      <c r="B178" s="204">
        <f>+C178-1</f>
        <v/>
      </c>
      <c r="C178" s="204">
        <f>IF('bands_A-H_Avg'!$D$9+1&gt;MONTH(G178),YEAR(G178),YEAR(G178)+1)</f>
        <v/>
      </c>
      <c r="D178" s="204">
        <f>+C178+1</f>
        <v/>
      </c>
      <c r="E178" s="203">
        <f>IF(C178&gt;C177,1,E177+1)</f>
        <v/>
      </c>
      <c r="F178" s="203">
        <f>COUNTIF(C:C,C178)</f>
        <v/>
      </c>
      <c r="G178" s="198">
        <f>+G177+7</f>
        <v/>
      </c>
      <c r="H178" s="361">
        <f>IF(ISBLANK(CO178),CP178,SUMPRODUCT(CO$32:CP$32,CO178:CP178))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c r="CP178" s="199" t="n">
        <v>5.56</v>
      </c>
      <c r="CR178" s="199" t="inlineStr">
        <is>
          <t>#N/A N/A</t>
        </is>
      </c>
      <c r="CS178" s="970" t="n">
        <v>0.96401</v>
      </c>
    </row>
    <row r="179">
      <c r="B179" s="204">
        <f>+C179-1</f>
        <v/>
      </c>
      <c r="C179" s="204">
        <f>IF('bands_A-H_Avg'!$D$9+1&gt;MONTH(G179),YEAR(G179),YEAR(G179)+1)</f>
        <v/>
      </c>
      <c r="D179" s="204">
        <f>+C179+1</f>
        <v/>
      </c>
      <c r="E179" s="203">
        <f>IF(C179&gt;C178,1,E178+1)</f>
        <v/>
      </c>
      <c r="F179" s="203">
        <f>COUNTIF(C:C,C179)</f>
        <v/>
      </c>
      <c r="G179" s="198">
        <f>+G178+7</f>
        <v/>
      </c>
      <c r="H179" s="361">
        <f>IF(ISBLANK(CO179),CP179,SUMPRODUCT(CO$32:CP$32,CO179:CP179))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c r="CP179" s="199" t="n">
        <v>6.06</v>
      </c>
      <c r="CR179" s="199" t="inlineStr">
        <is>
          <t>#N/A N/A</t>
        </is>
      </c>
      <c r="CS179" s="970" t="n">
        <v>0.96543</v>
      </c>
    </row>
    <row r="180">
      <c r="B180" s="204">
        <f>+C180-1</f>
        <v/>
      </c>
      <c r="C180" s="204">
        <f>IF('bands_A-H_Avg'!$D$9+1&gt;MONTH(G180),YEAR(G180),YEAR(G180)+1)</f>
        <v/>
      </c>
      <c r="D180" s="204">
        <f>+C180+1</f>
        <v/>
      </c>
      <c r="E180" s="203">
        <f>IF(C180&gt;C179,1,E179+1)</f>
        <v/>
      </c>
      <c r="F180" s="203">
        <f>COUNTIF(C:C,C180)</f>
        <v/>
      </c>
      <c r="G180" s="198">
        <f>+G179+7</f>
        <v/>
      </c>
      <c r="H180" s="361">
        <f>IF(ISBLANK(CO180),CP180,SUMPRODUCT(CO$32:CP$32,CO180:CP180))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c r="CP180" s="199" t="n">
        <v>6.07</v>
      </c>
      <c r="CR180" s="199" t="inlineStr">
        <is>
          <t>#N/A N/A</t>
        </is>
      </c>
      <c r="CS180" s="970" t="n">
        <v>0.96824</v>
      </c>
    </row>
    <row r="181">
      <c r="B181" s="204">
        <f>+C181-1</f>
        <v/>
      </c>
      <c r="C181" s="204">
        <f>IF('bands_A-H_Avg'!$D$9+1&gt;MONTH(G181),YEAR(G181),YEAR(G181)+1)</f>
        <v/>
      </c>
      <c r="D181" s="204">
        <f>+C181+1</f>
        <v/>
      </c>
      <c r="E181" s="203">
        <f>IF(C181&gt;C180,1,E180+1)</f>
        <v/>
      </c>
      <c r="F181" s="203">
        <f>COUNTIF(C:C,C181)</f>
        <v/>
      </c>
      <c r="G181" s="198">
        <f>+G180+7</f>
        <v/>
      </c>
      <c r="H181" s="361">
        <f>IF(ISBLANK(CO181),CP181,SUMPRODUCT(CO$32:CP$32,CO181:CP181))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c r="CP181" s="199" t="n">
        <v>5.93</v>
      </c>
      <c r="CR181" s="199" t="inlineStr">
        <is>
          <t>#N/A N/A</t>
        </is>
      </c>
      <c r="CS181" s="970" t="n">
        <v>0.9742</v>
      </c>
    </row>
    <row r="182">
      <c r="B182" s="204">
        <f>+C182-1</f>
        <v/>
      </c>
      <c r="C182" s="204">
        <f>IF('bands_A-H_Avg'!$D$9+1&gt;MONTH(G182),YEAR(G182),YEAR(G182)+1)</f>
        <v/>
      </c>
      <c r="D182" s="204">
        <f>+C182+1</f>
        <v/>
      </c>
      <c r="E182" s="203">
        <f>IF(C182&gt;C181,1,E181+1)</f>
        <v/>
      </c>
      <c r="F182" s="203">
        <f>COUNTIF(C:C,C182)</f>
        <v/>
      </c>
      <c r="G182" s="198">
        <f>+G181+7</f>
        <v/>
      </c>
      <c r="H182" s="361">
        <f>IF(ISBLANK(CO182),CP182,SUMPRODUCT(CO$32:CP$32,CO182:CP182))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c r="CP182" s="199" t="n">
        <v>7.46</v>
      </c>
      <c r="CR182" s="199" t="inlineStr">
        <is>
          <t>#N/A N/A</t>
        </is>
      </c>
      <c r="CS182" s="970" t="n">
        <v>0.96893</v>
      </c>
    </row>
    <row r="183">
      <c r="B183" s="204">
        <f>+C183-1</f>
        <v/>
      </c>
      <c r="C183" s="204">
        <f>IF('bands_A-H_Avg'!$D$9+1&gt;MONTH(G183),YEAR(G183),YEAR(G183)+1)</f>
        <v/>
      </c>
      <c r="D183" s="204">
        <f>+C183+1</f>
        <v/>
      </c>
      <c r="E183" s="203">
        <f>IF(C183&gt;C182,1,E182+1)</f>
        <v/>
      </c>
      <c r="F183" s="203">
        <f>COUNTIF(C:C,C183)</f>
        <v/>
      </c>
      <c r="G183" s="198">
        <f>+G182+7</f>
        <v/>
      </c>
      <c r="H183" s="361">
        <f>IF(ISBLANK(CO183),CP183,SUMPRODUCT(CO$32:CP$32,CO183:CP183))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c r="CP183" s="199" t="n">
        <v>8.07</v>
      </c>
      <c r="CR183" s="199" t="inlineStr">
        <is>
          <t>#N/A N/A</t>
        </is>
      </c>
      <c r="CS183" s="970" t="n">
        <v>0.96513</v>
      </c>
    </row>
    <row r="184">
      <c r="B184" s="204">
        <f>+C184-1</f>
        <v/>
      </c>
      <c r="C184" s="204">
        <f>IF('bands_A-H_Avg'!$D$9+1&gt;MONTH(G184),YEAR(G184),YEAR(G184)+1)</f>
        <v/>
      </c>
      <c r="D184" s="204">
        <f>+C184+1</f>
        <v/>
      </c>
      <c r="E184" s="203">
        <f>IF(C184&gt;C183,1,E183+1)</f>
        <v/>
      </c>
      <c r="F184" s="203">
        <f>COUNTIF(C:C,C184)</f>
        <v/>
      </c>
      <c r="G184" s="198">
        <f>+G183+7</f>
        <v/>
      </c>
      <c r="H184" s="361">
        <f>IF(ISBLANK(CO184),CP184,SUMPRODUCT(CO$32:CP$32,CO184:CP184))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c r="CP184" s="199" t="n">
        <v>7.6</v>
      </c>
      <c r="CR184" s="199" t="inlineStr">
        <is>
          <t>#N/A N/A</t>
        </is>
      </c>
      <c r="CS184" s="970" t="n">
        <v>0.96107</v>
      </c>
    </row>
    <row r="185">
      <c r="B185" s="204">
        <f>+C185-1</f>
        <v/>
      </c>
      <c r="C185" s="204">
        <f>IF('bands_A-H_Avg'!$D$9+1&gt;MONTH(G185),YEAR(G185),YEAR(G185)+1)</f>
        <v/>
      </c>
      <c r="D185" s="204">
        <f>+C185+1</f>
        <v/>
      </c>
      <c r="E185" s="203">
        <f>IF(C185&gt;C184,1,E184+1)</f>
        <v/>
      </c>
      <c r="F185" s="203">
        <f>COUNTIF(C:C,C185)</f>
        <v/>
      </c>
      <c r="G185" s="198">
        <f>+G184+7</f>
        <v/>
      </c>
      <c r="H185" s="361">
        <f>IF(ISBLANK(CO185),CP185,SUMPRODUCT(CO$32:CP$32,CO185:CP185))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c r="CP185" s="199" t="n">
        <v>6.97</v>
      </c>
      <c r="CR185" s="199" t="inlineStr">
        <is>
          <t>#N/A N/A</t>
        </is>
      </c>
      <c r="CS185" s="970" t="n">
        <v>0.95233</v>
      </c>
    </row>
    <row r="186">
      <c r="B186" s="204">
        <f>+C186-1</f>
        <v/>
      </c>
      <c r="C186" s="204">
        <f>IF('bands_A-H_Avg'!$D$9+1&gt;MONTH(G186),YEAR(G186),YEAR(G186)+1)</f>
        <v/>
      </c>
      <c r="D186" s="204">
        <f>+C186+1</f>
        <v/>
      </c>
      <c r="E186" s="203">
        <f>IF(C186&gt;C185,1,E185+1)</f>
        <v/>
      </c>
      <c r="F186" s="203">
        <f>COUNTIF(C:C,C186)</f>
        <v/>
      </c>
      <c r="G186" s="198">
        <f>+G185+7</f>
        <v/>
      </c>
      <c r="H186" s="361">
        <f>IF(ISBLANK(CO186),CP186,SUMPRODUCT(CO$32:CP$32,CO186:CP186))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c r="CP186" s="199" t="n">
        <v>6.82</v>
      </c>
      <c r="CR186" s="199" t="inlineStr">
        <is>
          <t>#N/A N/A</t>
        </is>
      </c>
      <c r="CS186" s="970" t="n">
        <v>0.95388</v>
      </c>
    </row>
    <row r="187">
      <c r="B187" s="204">
        <f>+C187-1</f>
        <v/>
      </c>
      <c r="C187" s="204">
        <f>IF('bands_A-H_Avg'!$D$9+1&gt;MONTH(G187),YEAR(G187),YEAR(G187)+1)</f>
        <v/>
      </c>
      <c r="D187" s="204">
        <f>+C187+1</f>
        <v/>
      </c>
      <c r="E187" s="203">
        <f>IF(C187&gt;C186,1,E186+1)</f>
        <v/>
      </c>
      <c r="F187" s="203">
        <f>COUNTIF(C:C,C187)</f>
        <v/>
      </c>
      <c r="G187" s="198">
        <f>+G186+7</f>
        <v/>
      </c>
      <c r="H187" s="361">
        <f>IF(ISBLANK(CO187),CP187,SUMPRODUCT(CO$32:CP$32,CO187:CP187))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c r="CP187" s="199" t="n">
        <v>5.52</v>
      </c>
      <c r="CR187" s="199" t="inlineStr">
        <is>
          <t>#N/A N/A</t>
        </is>
      </c>
      <c r="CS187" s="970" t="n">
        <v>0.95233</v>
      </c>
    </row>
    <row r="188">
      <c r="B188" s="204">
        <f>+C188-1</f>
        <v/>
      </c>
      <c r="C188" s="204">
        <f>IF('bands_A-H_Avg'!$D$9+1&gt;MONTH(G188),YEAR(G188),YEAR(G188)+1)</f>
        <v/>
      </c>
      <c r="D188" s="204">
        <f>+C188+1</f>
        <v/>
      </c>
      <c r="E188" s="203">
        <f>IF(C188&gt;C187,1,E187+1)</f>
        <v/>
      </c>
      <c r="F188" s="203">
        <f>COUNTIF(C:C,C188)</f>
        <v/>
      </c>
      <c r="G188" s="198">
        <f>+G187+7</f>
        <v/>
      </c>
      <c r="H188" s="361">
        <f>IF(ISBLANK(CO188),CP188,SUMPRODUCT(CO$32:CP$32,CO188:CP188))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c r="CP188" s="199" t="n">
        <v>6.18</v>
      </c>
      <c r="CR188" s="199" t="inlineStr">
        <is>
          <t>#N/A N/A</t>
        </is>
      </c>
      <c r="CS188" s="970" t="n">
        <v>0.95033</v>
      </c>
    </row>
    <row r="189">
      <c r="B189" s="204">
        <f>+C189-1</f>
        <v/>
      </c>
      <c r="C189" s="204">
        <f>IF('bands_A-H_Avg'!$D$9+1&gt;MONTH(G189),YEAR(G189),YEAR(G189)+1)</f>
        <v/>
      </c>
      <c r="D189" s="204">
        <f>+C189+1</f>
        <v/>
      </c>
      <c r="E189" s="203">
        <f>IF(C189&gt;C188,1,E188+1)</f>
        <v/>
      </c>
      <c r="F189" s="203">
        <f>COUNTIF(C:C,C189)</f>
        <v/>
      </c>
      <c r="G189" s="198">
        <f>+G188+7</f>
        <v/>
      </c>
      <c r="H189" s="361">
        <f>IF(ISBLANK(CO189),CP189,SUMPRODUCT(CO$32:CP$32,CO189:CP189))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c r="CP189" s="199" t="n">
        <v>6.6</v>
      </c>
      <c r="CR189" s="199" t="inlineStr">
        <is>
          <t>#N/A N/A</t>
        </is>
      </c>
      <c r="CS189" s="970" t="n">
        <v>0.94989</v>
      </c>
    </row>
    <row r="190">
      <c r="B190" s="204">
        <f>+C190-1</f>
        <v/>
      </c>
      <c r="C190" s="204">
        <f>IF('bands_A-H_Avg'!$D$9+1&gt;MONTH(G190),YEAR(G190),YEAR(G190)+1)</f>
        <v/>
      </c>
      <c r="D190" s="204">
        <f>+C190+1</f>
        <v/>
      </c>
      <c r="E190" s="203">
        <f>IF(C190&gt;C189,1,E189+1)</f>
        <v/>
      </c>
      <c r="F190" s="203">
        <f>COUNTIF(C:C,C190)</f>
        <v/>
      </c>
      <c r="G190" s="198">
        <f>+G189+7</f>
        <v/>
      </c>
      <c r="H190" s="361">
        <f>IF(ISBLANK(CO190),CP190,SUMPRODUCT(CO$32:CP$32,CO190:CP190))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c r="CP190" s="199" t="n">
        <v>5.86</v>
      </c>
      <c r="CR190" s="199" t="inlineStr">
        <is>
          <t>#N/A N/A</t>
        </is>
      </c>
      <c r="CS190" s="970" t="n">
        <v>0.94621</v>
      </c>
    </row>
    <row r="191">
      <c r="B191" s="204">
        <f>+C191-1</f>
        <v/>
      </c>
      <c r="C191" s="204">
        <f>IF('bands_A-H_Avg'!$D$9+1&gt;MONTH(G191),YEAR(G191),YEAR(G191)+1)</f>
        <v/>
      </c>
      <c r="D191" s="204">
        <f>+C191+1</f>
        <v/>
      </c>
      <c r="E191" s="203">
        <f>IF(C191&gt;C190,1,E190+1)</f>
        <v/>
      </c>
      <c r="F191" s="203">
        <f>COUNTIF(C:C,C191)</f>
        <v/>
      </c>
      <c r="G191" s="198">
        <f>+G190+7</f>
        <v/>
      </c>
      <c r="H191" s="361">
        <f>IF(ISBLANK(CO191),CP191,SUMPRODUCT(CO$32:CP$32,CO191:CP191))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c r="CP191" s="199" t="n">
        <v>5.95</v>
      </c>
      <c r="CR191" s="199" t="inlineStr">
        <is>
          <t>#N/A N/A</t>
        </is>
      </c>
      <c r="CS191" s="970" t="n">
        <v>0.94472</v>
      </c>
    </row>
    <row r="192">
      <c r="B192" s="204">
        <f>+C192-1</f>
        <v/>
      </c>
      <c r="C192" s="204">
        <f>IF('bands_A-H_Avg'!$D$9+1&gt;MONTH(G192),YEAR(G192),YEAR(G192)+1)</f>
        <v/>
      </c>
      <c r="D192" s="204">
        <f>+C192+1</f>
        <v/>
      </c>
      <c r="E192" s="203">
        <f>IF(C192&gt;C191,1,E191+1)</f>
        <v/>
      </c>
      <c r="F192" s="203">
        <f>COUNTIF(C:C,C192)</f>
        <v/>
      </c>
      <c r="G192" s="198">
        <f>+G191+7</f>
        <v/>
      </c>
      <c r="H192" s="361">
        <f>IF(ISBLANK(CO192),CP192,SUMPRODUCT(CO$32:CP$32,CO192:CP192))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c r="CP192" s="199" t="n">
        <v>6.6</v>
      </c>
      <c r="CR192" s="199" t="inlineStr">
        <is>
          <t>#N/A N/A</t>
        </is>
      </c>
      <c r="CS192" s="970" t="n">
        <v>0.93596</v>
      </c>
    </row>
    <row r="193">
      <c r="B193" s="204">
        <f>+C193-1</f>
        <v/>
      </c>
      <c r="C193" s="204">
        <f>IF('bands_A-H_Avg'!$D$9+1&gt;MONTH(G193),YEAR(G193),YEAR(G193)+1)</f>
        <v/>
      </c>
      <c r="D193" s="204">
        <f>+C193+1</f>
        <v/>
      </c>
      <c r="E193" s="203">
        <f>IF(C193&gt;C192,1,E192+1)</f>
        <v/>
      </c>
      <c r="F193" s="203">
        <f>COUNTIF(C:C,C193)</f>
        <v/>
      </c>
      <c r="G193" s="198">
        <f>+G192+7</f>
        <v/>
      </c>
      <c r="H193" s="361">
        <f>IF(ISBLANK(CO193),CP193,SUMPRODUCT(CO$32:CP$32,CO193:CP193))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c r="CP193" s="199" t="n">
        <v>6.61</v>
      </c>
      <c r="CR193" s="199" t="inlineStr">
        <is>
          <t>#N/A N/A</t>
        </is>
      </c>
      <c r="CS193" s="970" t="n">
        <v>0.9323900000000001</v>
      </c>
    </row>
    <row r="194">
      <c r="B194" s="204">
        <f>+C194-1</f>
        <v/>
      </c>
      <c r="C194" s="204">
        <f>IF('bands_A-H_Avg'!$D$9+1&gt;MONTH(G194),YEAR(G194),YEAR(G194)+1)</f>
        <v/>
      </c>
      <c r="D194" s="204">
        <f>+C194+1</f>
        <v/>
      </c>
      <c r="E194" s="203">
        <f>IF(C194&gt;C193,1,E193+1)</f>
        <v/>
      </c>
      <c r="F194" s="203">
        <f>COUNTIF(C:C,C194)</f>
        <v/>
      </c>
      <c r="G194" s="198">
        <f>+G193+7</f>
        <v/>
      </c>
      <c r="H194" s="361">
        <f>IF(ISBLANK(CO194),CP194,SUMPRODUCT(CO$32:CP$32,CO194:CP194))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c r="CP194" s="199" t="n">
        <v>7.12</v>
      </c>
      <c r="CR194" s="199" t="inlineStr">
        <is>
          <t>#N/A N/A</t>
        </is>
      </c>
      <c r="CS194" s="970" t="n">
        <v>0.93027</v>
      </c>
    </row>
    <row r="195">
      <c r="B195" s="204">
        <f>+C195-1</f>
        <v/>
      </c>
      <c r="C195" s="204">
        <f>IF('bands_A-H_Avg'!$D$9+1&gt;MONTH(G195),YEAR(G195),YEAR(G195)+1)</f>
        <v/>
      </c>
      <c r="D195" s="204">
        <f>+C195+1</f>
        <v/>
      </c>
      <c r="E195" s="203">
        <f>IF(C195&gt;C194,1,E194+1)</f>
        <v/>
      </c>
      <c r="F195" s="203">
        <f>COUNTIF(C:C,C195)</f>
        <v/>
      </c>
      <c r="G195" s="198">
        <f>+G194+7</f>
        <v/>
      </c>
      <c r="H195" s="361">
        <f>IF(ISBLANK(CO195),CP195,SUMPRODUCT(CO$32:CP$32,CO195:CP195))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c r="CP195" s="199" t="n">
        <v>6.27</v>
      </c>
      <c r="CR195" s="199" t="inlineStr">
        <is>
          <t>#N/A N/A</t>
        </is>
      </c>
      <c r="CS195" s="970" t="n">
        <v>0.92767</v>
      </c>
    </row>
    <row r="196">
      <c r="B196" s="204">
        <f>+C196-1</f>
        <v/>
      </c>
      <c r="C196" s="204">
        <f>IF('bands_A-H_Avg'!$D$9+1&gt;MONTH(G196),YEAR(G196),YEAR(G196)+1)</f>
        <v/>
      </c>
      <c r="D196" s="204">
        <f>+C196+1</f>
        <v/>
      </c>
      <c r="E196" s="203">
        <f>IF(C196&gt;C195,1,E195+1)</f>
        <v/>
      </c>
      <c r="F196" s="203">
        <f>COUNTIF(C:C,C196)</f>
        <v/>
      </c>
      <c r="G196" s="198">
        <f>+G195+7</f>
        <v/>
      </c>
      <c r="H196" s="361">
        <f>IF(ISBLANK(CO196),CP196,SUMPRODUCT(CO$32:CP$32,CO196:CP196))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c r="CP196" s="199" t="n">
        <v>5.87</v>
      </c>
      <c r="CR196" s="199" t="inlineStr">
        <is>
          <t>#N/A N/A</t>
        </is>
      </c>
      <c r="CS196" s="970" t="n">
        <v>0.92369</v>
      </c>
    </row>
    <row r="197">
      <c r="B197" s="204">
        <f>+C197-1</f>
        <v/>
      </c>
      <c r="C197" s="204">
        <f>IF('bands_A-H_Avg'!$D$9+1&gt;MONTH(G197),YEAR(G197),YEAR(G197)+1)</f>
        <v/>
      </c>
      <c r="D197" s="204">
        <f>+C197+1</f>
        <v/>
      </c>
      <c r="E197" s="203">
        <f>IF(C197&gt;C196,1,E196+1)</f>
        <v/>
      </c>
      <c r="F197" s="203">
        <f>COUNTIF(C:C,C197)</f>
        <v/>
      </c>
      <c r="G197" s="198">
        <f>+G196+7</f>
        <v/>
      </c>
      <c r="H197" s="361">
        <f>IF(ISBLANK(CO197),CP197,SUMPRODUCT(CO$32:CP$32,CO197:CP197))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c r="CP197" s="199" t="n">
        <v>6.14</v>
      </c>
      <c r="CR197" s="199" t="inlineStr">
        <is>
          <t>#N/A N/A</t>
        </is>
      </c>
      <c r="CS197" s="970" t="n">
        <v>0.92213</v>
      </c>
    </row>
    <row r="198">
      <c r="B198" s="204">
        <f>+C198-1</f>
        <v/>
      </c>
      <c r="C198" s="204">
        <f>IF('bands_A-H_Avg'!$D$9+1&gt;MONTH(G198),YEAR(G198),YEAR(G198)+1)</f>
        <v/>
      </c>
      <c r="D198" s="204">
        <f>+C198+1</f>
        <v/>
      </c>
      <c r="E198" s="203">
        <f>IF(C198&gt;C197,1,E197+1)</f>
        <v/>
      </c>
      <c r="F198" s="203">
        <f>COUNTIF(C:C,C198)</f>
        <v/>
      </c>
      <c r="G198" s="198">
        <f>+G197+7</f>
        <v/>
      </c>
      <c r="H198" s="361">
        <f>IF(ISBLANK(CO198),CP198,SUMPRODUCT(CO$32:CP$32,CO198:CP198))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c r="CP198" s="199" t="n">
        <v>6.01</v>
      </c>
      <c r="CR198" s="199" t="inlineStr">
        <is>
          <t>#N/A N/A</t>
        </is>
      </c>
      <c r="CS198" s="970" t="n">
        <v>0.92088</v>
      </c>
    </row>
    <row r="199">
      <c r="B199" s="204">
        <f>+C199-1</f>
        <v/>
      </c>
      <c r="C199" s="204">
        <f>IF('bands_A-H_Avg'!$D$9+1&gt;MONTH(G199),YEAR(G199),YEAR(G199)+1)</f>
        <v/>
      </c>
      <c r="D199" s="204">
        <f>+C199+1</f>
        <v/>
      </c>
      <c r="E199" s="203">
        <f>IF(C199&gt;C198,1,E198+1)</f>
        <v/>
      </c>
      <c r="F199" s="203">
        <f>COUNTIF(C:C,C199)</f>
        <v/>
      </c>
      <c r="G199" s="198">
        <f>+G198+7</f>
        <v/>
      </c>
      <c r="H199" s="361">
        <f>IF(ISBLANK(CO199),CP199,SUMPRODUCT(CO$32:CP$32,CO199:CP199))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c r="CP199" s="199" t="n">
        <v>6.32</v>
      </c>
      <c r="CR199" s="199" t="inlineStr">
        <is>
          <t>#N/A N/A</t>
        </is>
      </c>
      <c r="CS199" s="970" t="n">
        <v>0.92082</v>
      </c>
    </row>
    <row r="200">
      <c r="B200" s="204">
        <f>+C200-1</f>
        <v/>
      </c>
      <c r="C200" s="204">
        <f>IF('bands_A-H_Avg'!$D$9+1&gt;MONTH(G200),YEAR(G200),YEAR(G200)+1)</f>
        <v/>
      </c>
      <c r="D200" s="204">
        <f>+C200+1</f>
        <v/>
      </c>
      <c r="E200" s="203">
        <f>IF(C200&gt;C199,1,E199+1)</f>
        <v/>
      </c>
      <c r="F200" s="203">
        <f>COUNTIF(C:C,C200)</f>
        <v/>
      </c>
      <c r="G200" s="198">
        <f>+G199+7</f>
        <v/>
      </c>
      <c r="H200" s="361">
        <f>IF(ISBLANK(CO200),CP200,SUMPRODUCT(CO$32:CP$32,CO200:CP200))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c r="CP200" s="199" t="n">
        <v>5.99</v>
      </c>
      <c r="CR200" s="199" t="inlineStr">
        <is>
          <t>#N/A N/A</t>
        </is>
      </c>
      <c r="CS200" s="970" t="n">
        <v>0.916</v>
      </c>
    </row>
    <row r="201">
      <c r="B201" s="204">
        <f>+C201-1</f>
        <v/>
      </c>
      <c r="C201" s="204">
        <f>IF('bands_A-H_Avg'!$D$9+1&gt;MONTH(G201),YEAR(G201),YEAR(G201)+1)</f>
        <v/>
      </c>
      <c r="D201" s="204">
        <f>+C201+1</f>
        <v/>
      </c>
      <c r="E201" s="203">
        <f>IF(C201&gt;C200,1,E200+1)</f>
        <v/>
      </c>
      <c r="F201" s="203">
        <f>COUNTIF(C:C,C201)</f>
        <v/>
      </c>
      <c r="G201" s="198">
        <f>+G200+7</f>
        <v/>
      </c>
      <c r="H201" s="361">
        <f>IF(ISBLANK(CO201),CP201,SUMPRODUCT(CO$32:CP$32,CO201:CP201))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c r="CP201" s="199" t="n">
        <v>5.68</v>
      </c>
      <c r="CR201" s="199" t="inlineStr">
        <is>
          <t>#N/A N/A</t>
        </is>
      </c>
      <c r="CS201" s="970" t="n">
        <v>0.91392</v>
      </c>
    </row>
    <row r="202">
      <c r="B202" s="204">
        <f>+C202-1</f>
        <v/>
      </c>
      <c r="C202" s="204">
        <f>IF('bands_A-H_Avg'!$D$9+1&gt;MONTH(G202),YEAR(G202),YEAR(G202)+1)</f>
        <v/>
      </c>
      <c r="D202" s="204">
        <f>+C202+1</f>
        <v/>
      </c>
      <c r="E202" s="203">
        <f>IF(C202&gt;C201,1,E201+1)</f>
        <v/>
      </c>
      <c r="F202" s="203">
        <f>COUNTIF(C:C,C202)</f>
        <v/>
      </c>
      <c r="G202" s="198">
        <f>+G201+7</f>
        <v/>
      </c>
      <c r="H202" s="361">
        <f>IF(ISBLANK(CO202),CP202,SUMPRODUCT(CO$32:CP$32,CO202:CP202))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c r="CP202" s="199" t="n">
        <v>4.86</v>
      </c>
      <c r="CR202" s="199" t="inlineStr">
        <is>
          <t>#N/A N/A</t>
        </is>
      </c>
      <c r="CS202" s="970" t="n">
        <v>0.91346</v>
      </c>
    </row>
    <row r="203">
      <c r="B203" s="204">
        <f>+C203-1</f>
        <v/>
      </c>
      <c r="C203" s="204">
        <f>IF('bands_A-H_Avg'!$D$9+1&gt;MONTH(G203),YEAR(G203),YEAR(G203)+1)</f>
        <v/>
      </c>
      <c r="D203" s="204">
        <f>+C203+1</f>
        <v/>
      </c>
      <c r="E203" s="203">
        <f>IF(C203&gt;C202,1,E202+1)</f>
        <v/>
      </c>
      <c r="F203" s="203">
        <f>COUNTIF(C:C,C203)</f>
        <v/>
      </c>
      <c r="G203" s="198">
        <f>+G202+7</f>
        <v/>
      </c>
      <c r="H203" s="361">
        <f>IF(ISBLANK(CO203),CP203,SUMPRODUCT(CO$32:CP$32,CO203:CP203))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c r="CP203" s="199" t="n">
        <v>4.52</v>
      </c>
      <c r="CR203" s="199" t="inlineStr">
        <is>
          <t>#N/A N/A</t>
        </is>
      </c>
      <c r="CS203" s="970" t="n">
        <v>0.91106</v>
      </c>
    </row>
    <row r="204">
      <c r="B204" s="204">
        <f>+C204-1</f>
        <v/>
      </c>
      <c r="C204" s="204">
        <f>IF('bands_A-H_Avg'!$D$9+1&gt;MONTH(G204),YEAR(G204),YEAR(G204)+1)</f>
        <v/>
      </c>
      <c r="D204" s="204">
        <f>+C204+1</f>
        <v/>
      </c>
      <c r="E204" s="203">
        <f>IF(C204&gt;C203,1,E203+1)</f>
        <v/>
      </c>
      <c r="F204" s="203">
        <f>COUNTIF(C:C,C204)</f>
        <v/>
      </c>
      <c r="G204" s="198">
        <f>+G203+7</f>
        <v/>
      </c>
      <c r="H204" s="361">
        <f>IF(ISBLANK(CO204),CP204,SUMPRODUCT(CO$32:CP$32,CO204:CP204))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c r="CP204" s="199" t="n">
        <v>4</v>
      </c>
      <c r="CR204" s="199" t="inlineStr">
        <is>
          <t>#N/A N/A</t>
        </is>
      </c>
      <c r="CS204" s="970" t="n">
        <v>0.90657</v>
      </c>
    </row>
    <row r="205">
      <c r="B205" s="204">
        <f>+C205-1</f>
        <v/>
      </c>
      <c r="C205" s="204">
        <f>IF('bands_A-H_Avg'!$D$9+1&gt;MONTH(G205),YEAR(G205),YEAR(G205)+1)</f>
        <v/>
      </c>
      <c r="D205" s="204">
        <f>+C205+1</f>
        <v/>
      </c>
      <c r="E205" s="203">
        <f>IF(C205&gt;C204,1,E204+1)</f>
        <v/>
      </c>
      <c r="F205" s="203">
        <f>COUNTIF(C:C,C205)</f>
        <v/>
      </c>
      <c r="G205" s="198">
        <f>+G204+7</f>
        <v/>
      </c>
      <c r="H205" s="361">
        <f>IF(ISBLANK(CO205),CP205,SUMPRODUCT(CO$32:CP$32,CO205:CP205))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c r="CP205" s="199" t="n">
        <v>4.99</v>
      </c>
      <c r="CR205" s="199" t="inlineStr">
        <is>
          <t>#N/A N/A</t>
        </is>
      </c>
      <c r="CS205" s="970" t="n">
        <v>0.90115</v>
      </c>
    </row>
    <row r="206">
      <c r="B206" s="204">
        <f>+C206-1</f>
        <v/>
      </c>
      <c r="C206" s="204">
        <f>IF('bands_A-H_Avg'!$D$9+1&gt;MONTH(G206),YEAR(G206),YEAR(G206)+1)</f>
        <v/>
      </c>
      <c r="D206" s="204">
        <f>+C206+1</f>
        <v/>
      </c>
      <c r="E206" s="203">
        <f>IF(C206&gt;C205,1,E205+1)</f>
        <v/>
      </c>
      <c r="F206" s="203">
        <f>COUNTIF(C:C,C206)</f>
        <v/>
      </c>
      <c r="G206" s="198">
        <f>+G205+7</f>
        <v/>
      </c>
      <c r="H206" s="361">
        <f>IF(ISBLANK(CO206),CP206,SUMPRODUCT(CO$32:CP$32,CO206:CP206))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c r="CP206" s="199" t="n">
        <v>4.87</v>
      </c>
      <c r="CR206" s="199" t="inlineStr">
        <is>
          <t>#N/A N/A</t>
        </is>
      </c>
      <c r="CS206" s="970" t="n">
        <v>0.90059</v>
      </c>
    </row>
    <row r="207">
      <c r="B207" s="204">
        <f>+C207-1</f>
        <v/>
      </c>
      <c r="C207" s="204">
        <f>IF('bands_A-H_Avg'!$D$9+1&gt;MONTH(G207),YEAR(G207),YEAR(G207)+1)</f>
        <v/>
      </c>
      <c r="D207" s="204">
        <f>+C207+1</f>
        <v/>
      </c>
      <c r="E207" s="203">
        <f>IF(C207&gt;C206,1,E206+1)</f>
        <v/>
      </c>
      <c r="F207" s="203">
        <f>COUNTIF(C:C,C207)</f>
        <v/>
      </c>
      <c r="G207" s="198">
        <f>+G206+7</f>
        <v/>
      </c>
      <c r="H207" s="361">
        <f>IF(ISBLANK(CO207),CP207,SUMPRODUCT(CO$32:CP$32,CO207:CP207))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c r="CP207" s="199" t="n">
        <v>4.53</v>
      </c>
      <c r="CR207" s="199" t="inlineStr">
        <is>
          <t>#N/A N/A</t>
        </is>
      </c>
      <c r="CS207" s="970" t="n">
        <v>0.89945</v>
      </c>
    </row>
    <row r="208">
      <c r="B208" s="204">
        <f>+C208-1</f>
        <v/>
      </c>
      <c r="C208" s="204">
        <f>IF('bands_A-H_Avg'!$D$9+1&gt;MONTH(G208),YEAR(G208),YEAR(G208)+1)</f>
        <v/>
      </c>
      <c r="D208" s="204">
        <f>+C208+1</f>
        <v/>
      </c>
      <c r="E208" s="203">
        <f>IF(C208&gt;C207,1,E207+1)</f>
        <v/>
      </c>
      <c r="F208" s="203">
        <f>COUNTIF(C:C,C208)</f>
        <v/>
      </c>
      <c r="G208" s="198">
        <f>+G207+7</f>
        <v/>
      </c>
      <c r="H208" s="361">
        <f>IF(ISBLANK(CO208),CP208,SUMPRODUCT(CO$32:CP$32,CO208:CP208))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c r="CP208" s="199" t="n">
        <v>3.73</v>
      </c>
      <c r="CR208" s="199" t="inlineStr">
        <is>
          <t>#N/A N/A</t>
        </is>
      </c>
      <c r="CS208" s="970" t="n">
        <v>0.89728</v>
      </c>
    </row>
    <row r="209">
      <c r="B209" s="204">
        <f>+C209-1</f>
        <v/>
      </c>
      <c r="C209" s="204">
        <f>IF('bands_A-H_Avg'!$D$9+1&gt;MONTH(G209),YEAR(G209),YEAR(G209)+1)</f>
        <v/>
      </c>
      <c r="D209" s="204">
        <f>+C209+1</f>
        <v/>
      </c>
      <c r="E209" s="203">
        <f>IF(C209&gt;C208,1,E208+1)</f>
        <v/>
      </c>
      <c r="F209" s="203">
        <f>COUNTIF(C:C,C209)</f>
        <v/>
      </c>
      <c r="G209" s="198">
        <f>+G208+7</f>
        <v/>
      </c>
      <c r="H209" s="361">
        <f>IF(ISBLANK(CO209),CP209,SUMPRODUCT(CO$32:CP$32,CO209:CP209))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c r="CP209" s="199" t="n">
        <v>4.52</v>
      </c>
      <c r="CR209" s="199" t="inlineStr">
        <is>
          <t>#N/A N/A</t>
        </is>
      </c>
      <c r="CS209" s="970" t="n">
        <v>0.89972</v>
      </c>
    </row>
    <row r="210">
      <c r="B210" s="204">
        <f>+C210-1</f>
        <v/>
      </c>
      <c r="C210" s="204">
        <f>IF('bands_A-H_Avg'!$D$9+1&gt;MONTH(G210),YEAR(G210),YEAR(G210)+1)</f>
        <v/>
      </c>
      <c r="D210" s="204">
        <f>+C210+1</f>
        <v/>
      </c>
      <c r="E210" s="203">
        <f>IF(C210&gt;C209,1,E209+1)</f>
        <v/>
      </c>
      <c r="F210" s="203">
        <f>COUNTIF(C:C,C210)</f>
        <v/>
      </c>
      <c r="G210" s="198">
        <f>+G209+7</f>
        <v/>
      </c>
      <c r="H210" s="361">
        <f>IF(ISBLANK(CO210),CP210,SUMPRODUCT(CO$32:CP$32,CO210:CP210))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c r="CP210" s="199" t="n">
        <v>4.51</v>
      </c>
      <c r="CR210" s="199" t="inlineStr">
        <is>
          <t>#N/A N/A</t>
        </is>
      </c>
      <c r="CS210" s="970" t="n">
        <v>0.89653</v>
      </c>
    </row>
    <row r="211">
      <c r="B211" s="204">
        <f>+C211-1</f>
        <v/>
      </c>
      <c r="C211" s="204">
        <f>IF('bands_A-H_Avg'!$D$9+1&gt;MONTH(G211),YEAR(G211),YEAR(G211)+1)</f>
        <v/>
      </c>
      <c r="D211" s="204">
        <f>+C211+1</f>
        <v/>
      </c>
      <c r="E211" s="203">
        <f>IF(C211&gt;C210,1,E210+1)</f>
        <v/>
      </c>
      <c r="F211" s="203">
        <f>COUNTIF(C:C,C211)</f>
        <v/>
      </c>
      <c r="G211" s="198">
        <f>+G210+7</f>
        <v/>
      </c>
      <c r="H211" s="361">
        <f>IF(ISBLANK(CO211),CP211,SUMPRODUCT(CO$32:CP$32,CO211:CP211))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c r="CP211" s="199" t="n">
        <v>4.34</v>
      </c>
      <c r="CR211" s="199" t="inlineStr">
        <is>
          <t>#N/A N/A</t>
        </is>
      </c>
      <c r="CS211" s="970" t="n">
        <v>0.89635</v>
      </c>
    </row>
    <row r="212">
      <c r="B212" s="204">
        <f>+C212-1</f>
        <v/>
      </c>
      <c r="C212" s="204">
        <f>IF('bands_A-H_Avg'!$D$9+1&gt;MONTH(G212),YEAR(G212),YEAR(G212)+1)</f>
        <v/>
      </c>
      <c r="D212" s="204">
        <f>+C212+1</f>
        <v/>
      </c>
      <c r="E212" s="203">
        <f>IF(C212&gt;C211,1,E211+1)</f>
        <v/>
      </c>
      <c r="F212" s="203">
        <f>COUNTIF(C:C,C212)</f>
        <v/>
      </c>
      <c r="G212" s="198">
        <f>+G211+7</f>
        <v/>
      </c>
      <c r="H212" s="361">
        <f>IF(ISBLANK(CO212),CP212,SUMPRODUCT(CO$32:CP$32,CO212:CP212))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c r="CP212" s="199" t="n">
        <v>4.72</v>
      </c>
      <c r="CR212" s="199" t="inlineStr">
        <is>
          <t>#N/A N/A</t>
        </is>
      </c>
      <c r="CS212" s="970" t="n">
        <v>0.89624</v>
      </c>
    </row>
    <row r="213">
      <c r="B213" s="204">
        <f>+C213-1</f>
        <v/>
      </c>
      <c r="C213" s="204">
        <f>IF('bands_A-H_Avg'!$D$9+1&gt;MONTH(G213),YEAR(G213),YEAR(G213)+1)</f>
        <v/>
      </c>
      <c r="D213" s="204">
        <f>+C213+1</f>
        <v/>
      </c>
      <c r="E213" s="203">
        <f>IF(C213&gt;C212,1,E212+1)</f>
        <v/>
      </c>
      <c r="F213" s="203">
        <f>COUNTIF(C:C,C213)</f>
        <v/>
      </c>
      <c r="G213" s="198">
        <f>+G212+7</f>
        <v/>
      </c>
      <c r="H213" s="361">
        <f>IF(ISBLANK(CO213),CP213,SUMPRODUCT(CO$32:CP$32,CO213:CP213))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c r="CP213" s="199" t="n">
        <v>4.5</v>
      </c>
      <c r="CR213" s="199" t="inlineStr">
        <is>
          <t>#N/A N/A</t>
        </is>
      </c>
      <c r="CS213" s="970" t="n">
        <v>0.8897</v>
      </c>
    </row>
    <row r="214">
      <c r="B214" s="204">
        <f>+C214-1</f>
        <v/>
      </c>
      <c r="C214" s="204">
        <f>IF('bands_A-H_Avg'!$D$9+1&gt;MONTH(G214),YEAR(G214),YEAR(G214)+1)</f>
        <v/>
      </c>
      <c r="D214" s="204">
        <f>+C214+1</f>
        <v/>
      </c>
      <c r="E214" s="203">
        <f>IF(C214&gt;C213,1,E213+1)</f>
        <v/>
      </c>
      <c r="F214" s="203">
        <f>COUNTIF(C:C,C214)</f>
        <v/>
      </c>
      <c r="G214" s="198">
        <f>+G213+7</f>
        <v/>
      </c>
      <c r="H214" s="361">
        <f>IF(ISBLANK(CO214),CP214,SUMPRODUCT(CO$32:CP$32,CO214:CP214))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c r="CP214" s="199" t="n">
        <v>4.62</v>
      </c>
      <c r="CR214" s="199" t="inlineStr">
        <is>
          <t>#N/A N/A</t>
        </is>
      </c>
      <c r="CS214" s="970" t="n">
        <v>0.88955</v>
      </c>
    </row>
    <row r="215">
      <c r="B215" s="204">
        <f>+C215-1</f>
        <v/>
      </c>
      <c r="C215" s="204">
        <f>IF('bands_A-H_Avg'!$D$9+1&gt;MONTH(G215),YEAR(G215),YEAR(G215)+1)</f>
        <v/>
      </c>
      <c r="D215" s="204">
        <f>+C215+1</f>
        <v/>
      </c>
      <c r="E215" s="203">
        <f>IF(C215&gt;C214,1,E214+1)</f>
        <v/>
      </c>
      <c r="F215" s="203">
        <f>COUNTIF(C:C,C215)</f>
        <v/>
      </c>
      <c r="G215" s="198">
        <f>+G214+7</f>
        <v/>
      </c>
      <c r="H215" s="361">
        <f>IF(ISBLANK(CO215),CP215,SUMPRODUCT(CO$32:CP$32,CO215:CP215))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c r="CP215" s="199" t="n">
        <v>4.35</v>
      </c>
      <c r="CR215" s="199" t="inlineStr">
        <is>
          <t>#N/A N/A</t>
        </is>
      </c>
      <c r="CS215" s="970" t="n">
        <v>0.88661</v>
      </c>
    </row>
    <row r="216">
      <c r="B216" s="204">
        <f>+C216-1</f>
        <v/>
      </c>
      <c r="C216" s="204">
        <f>IF('bands_A-H_Avg'!$D$9+1&gt;MONTH(G216),YEAR(G216),YEAR(G216)+1)</f>
        <v/>
      </c>
      <c r="D216" s="204">
        <f>+C216+1</f>
        <v/>
      </c>
      <c r="E216" s="203">
        <f>IF(C216&gt;C215,1,E215+1)</f>
        <v/>
      </c>
      <c r="F216" s="203">
        <f>COUNTIF(C:C,C216)</f>
        <v/>
      </c>
      <c r="G216" s="198">
        <f>+G215+7</f>
        <v/>
      </c>
      <c r="H216" s="361">
        <f>IF(ISBLANK(CO216),CP216,SUMPRODUCT(CO$32:CP$32,CO216:CP216))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c r="CP216" s="199" t="n">
        <v>3.93</v>
      </c>
      <c r="CR216" s="199" t="inlineStr">
        <is>
          <t>#N/A N/A</t>
        </is>
      </c>
      <c r="CS216" s="970" t="n">
        <v>0.88323</v>
      </c>
    </row>
    <row r="217">
      <c r="B217" s="204">
        <f>+C217-1</f>
        <v/>
      </c>
      <c r="C217" s="204">
        <f>IF('bands_A-H_Avg'!$D$9+1&gt;MONTH(G217),YEAR(G217),YEAR(G217)+1)</f>
        <v/>
      </c>
      <c r="D217" s="204">
        <f>+C217+1</f>
        <v/>
      </c>
      <c r="E217" s="203">
        <f>IF(C217&gt;C216,1,E216+1)</f>
        <v/>
      </c>
      <c r="F217" s="203">
        <f>COUNTIF(C:C,C217)</f>
        <v/>
      </c>
      <c r="G217" s="198">
        <f>+G216+7</f>
        <v/>
      </c>
      <c r="H217" s="361">
        <f>IF(ISBLANK(CO217),CP217,SUMPRODUCT(CO$32:CP$32,CO217:CP217))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c r="CP217" s="199" t="n">
        <v>3.95</v>
      </c>
      <c r="CR217" s="199" t="inlineStr">
        <is>
          <t>#N/A N/A</t>
        </is>
      </c>
      <c r="CS217" s="970" t="n">
        <v>0.88158</v>
      </c>
    </row>
    <row r="218">
      <c r="B218" s="204">
        <f>+C218-1</f>
        <v/>
      </c>
      <c r="C218" s="204">
        <f>IF('bands_A-H_Avg'!$D$9+1&gt;MONTH(G218),YEAR(G218),YEAR(G218)+1)</f>
        <v/>
      </c>
      <c r="D218" s="204">
        <f>+C218+1</f>
        <v/>
      </c>
      <c r="E218" s="203">
        <f>IF(C218&gt;C217,1,E217+1)</f>
        <v/>
      </c>
      <c r="F218" s="203">
        <f>COUNTIF(C:C,C218)</f>
        <v/>
      </c>
      <c r="G218" s="198">
        <f>+G217+7</f>
        <v/>
      </c>
      <c r="H218" s="361">
        <f>IF(ISBLANK(CO218),CP218,SUMPRODUCT(CO$32:CP$32,CO218:CP218))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c r="CP218" s="199" t="n">
        <v>3.75</v>
      </c>
      <c r="CR218" s="199" t="inlineStr">
        <is>
          <t>#N/A N/A</t>
        </is>
      </c>
      <c r="CS218" s="970" t="n">
        <v>0.8793800000000001</v>
      </c>
    </row>
    <row r="219">
      <c r="B219" s="204">
        <f>+C219-1</f>
        <v/>
      </c>
      <c r="C219" s="204">
        <f>IF('bands_A-H_Avg'!$D$9+1&gt;MONTH(G219),YEAR(G219),YEAR(G219)+1)</f>
        <v/>
      </c>
      <c r="D219" s="204">
        <f>+C219+1</f>
        <v/>
      </c>
      <c r="E219" s="203">
        <f>IF(C219&gt;C218,1,E218+1)</f>
        <v/>
      </c>
      <c r="F219" s="203">
        <f>COUNTIF(C:C,C219)</f>
        <v/>
      </c>
      <c r="G219" s="198">
        <f>+G218+7</f>
        <v/>
      </c>
      <c r="H219" s="361">
        <f>IF(ISBLANK(CO219),CP219,SUMPRODUCT(CO$32:CP$32,CO219:CP219))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c r="CP219" s="199" t="n">
        <v>3.57</v>
      </c>
      <c r="CR219" s="199" t="inlineStr">
        <is>
          <t>#N/A N/A</t>
        </is>
      </c>
      <c r="CS219" s="970" t="n">
        <v>0.8794</v>
      </c>
    </row>
    <row r="220">
      <c r="B220" s="204">
        <f>+C220-1</f>
        <v/>
      </c>
      <c r="C220" s="204">
        <f>IF('bands_A-H_Avg'!$D$9+1&gt;MONTH(G220),YEAR(G220),YEAR(G220)+1)</f>
        <v/>
      </c>
      <c r="D220" s="204">
        <f>+C220+1</f>
        <v/>
      </c>
      <c r="E220" s="203">
        <f>IF(C220&gt;C219,1,E219+1)</f>
        <v/>
      </c>
      <c r="F220" s="203">
        <f>COUNTIF(C:C,C220)</f>
        <v/>
      </c>
      <c r="G220" s="198">
        <f>+G219+7</f>
        <v/>
      </c>
      <c r="H220" s="361">
        <f>IF(ISBLANK(CO220),CP220,SUMPRODUCT(CO$32:CP$32,CO220:CP220))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c r="CP220" s="199" t="n">
        <v>4.25</v>
      </c>
      <c r="CR220" s="199" t="inlineStr">
        <is>
          <t>#N/A N/A</t>
        </is>
      </c>
      <c r="CS220" s="970" t="n">
        <v>0.87564</v>
      </c>
    </row>
    <row r="221">
      <c r="B221" s="204">
        <f>+C221-1</f>
        <v/>
      </c>
      <c r="C221" s="204">
        <f>IF('bands_A-H_Avg'!$D$9+1&gt;MONTH(G221),YEAR(G221),YEAR(G221)+1)</f>
        <v/>
      </c>
      <c r="D221" s="204">
        <f>+C221+1</f>
        <v/>
      </c>
      <c r="E221" s="203">
        <f>IF(C221&gt;C220,1,E220+1)</f>
        <v/>
      </c>
      <c r="F221" s="203">
        <f>COUNTIF(C:C,C221)</f>
        <v/>
      </c>
      <c r="G221" s="198">
        <f>+G220+7</f>
        <v/>
      </c>
      <c r="H221" s="361">
        <f>IF(ISBLANK(CO221),CP221,SUMPRODUCT(CO$32:CP$32,CO221:CP221))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c r="CP221" s="199" t="n">
        <v>4.01</v>
      </c>
      <c r="CR221" s="199" t="inlineStr">
        <is>
          <t>#N/A N/A</t>
        </is>
      </c>
      <c r="CS221" s="970" t="n">
        <v>0.87417</v>
      </c>
    </row>
    <row r="222">
      <c r="B222" s="204">
        <f>+C222-1</f>
        <v/>
      </c>
      <c r="C222" s="204">
        <f>IF('bands_A-H_Avg'!$D$9+1&gt;MONTH(G222),YEAR(G222),YEAR(G222)+1)</f>
        <v/>
      </c>
      <c r="D222" s="204">
        <f>+C222+1</f>
        <v/>
      </c>
      <c r="E222" s="203">
        <f>IF(C222&gt;C221,1,E221+1)</f>
        <v/>
      </c>
      <c r="F222" s="203">
        <f>COUNTIF(C:C,C222)</f>
        <v/>
      </c>
      <c r="G222" s="198">
        <f>+G221+7</f>
        <v/>
      </c>
      <c r="H222" s="361">
        <f>IF(ISBLANK(CO222),CP222,SUMPRODUCT(CO$32:CP$32,CO222:CP222))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c r="CP222" s="199" t="n">
        <v>3.73</v>
      </c>
      <c r="CR222" s="199" t="inlineStr">
        <is>
          <t>#N/A N/A</t>
        </is>
      </c>
      <c r="CS222" s="970" t="n">
        <v>0.87421</v>
      </c>
    </row>
    <row r="223">
      <c r="B223" s="204">
        <f>+C223-1</f>
        <v/>
      </c>
      <c r="C223" s="204">
        <f>IF('bands_A-H_Avg'!$D$9+1&gt;MONTH(G223),YEAR(G223),YEAR(G223)+1)</f>
        <v/>
      </c>
      <c r="D223" s="204">
        <f>+C223+1</f>
        <v/>
      </c>
      <c r="E223" s="203">
        <f>IF(C223&gt;C222,1,E222+1)</f>
        <v/>
      </c>
      <c r="F223" s="203">
        <f>COUNTIF(C:C,C223)</f>
        <v/>
      </c>
      <c r="G223" s="198">
        <f>+G222+7</f>
        <v/>
      </c>
      <c r="H223" s="361">
        <f>IF(ISBLANK(CO223),CP223,SUMPRODUCT(CO$32:CP$32,CO223:CP223))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c r="CP223" s="199" t="n">
        <v>3.32</v>
      </c>
      <c r="CR223" s="199" t="inlineStr">
        <is>
          <t>#N/A N/A</t>
        </is>
      </c>
      <c r="CS223" s="970" t="n">
        <v>0.87666</v>
      </c>
    </row>
    <row r="224">
      <c r="B224" s="204">
        <f>+C224-1</f>
        <v/>
      </c>
      <c r="C224" s="204">
        <f>IF('bands_A-H_Avg'!$D$9+1&gt;MONTH(G224),YEAR(G224),YEAR(G224)+1)</f>
        <v/>
      </c>
      <c r="D224" s="204">
        <f>+C224+1</f>
        <v/>
      </c>
      <c r="E224" s="203">
        <f>IF(C224&gt;C223,1,E223+1)</f>
        <v/>
      </c>
      <c r="F224" s="203">
        <f>COUNTIF(C:C,C224)</f>
        <v/>
      </c>
      <c r="G224" s="198">
        <f>+G223+7</f>
        <v/>
      </c>
      <c r="H224" s="361">
        <f>IF(ISBLANK(CO224),CP224,SUMPRODUCT(CO$32:CP$32,CO224:CP224))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c r="CP224" s="199" t="n">
        <v>3.13</v>
      </c>
      <c r="CR224" s="199" t="inlineStr">
        <is>
          <t>#N/A N/A</t>
        </is>
      </c>
      <c r="CS224" s="970" t="n">
        <v>0.87787</v>
      </c>
    </row>
    <row r="225">
      <c r="B225" s="204">
        <f>+C225-1</f>
        <v/>
      </c>
      <c r="C225" s="204">
        <f>IF('bands_A-H_Avg'!$D$9+1&gt;MONTH(G225),YEAR(G225),YEAR(G225)+1)</f>
        <v/>
      </c>
      <c r="D225" s="204">
        <f>+C225+1</f>
        <v/>
      </c>
      <c r="E225" s="203">
        <f>IF(C225&gt;C224,1,E224+1)</f>
        <v/>
      </c>
      <c r="F225" s="203">
        <f>COUNTIF(C:C,C225)</f>
        <v/>
      </c>
      <c r="G225" s="198">
        <f>+G224+7</f>
        <v/>
      </c>
      <c r="H225" s="361">
        <f>IF(ISBLANK(CO225),CP225,SUMPRODUCT(CO$32:CP$32,CO225:CP225))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c r="CP225" s="199" t="n">
        <v>3</v>
      </c>
      <c r="CR225" s="199" t="inlineStr">
        <is>
          <t>#N/A N/A</t>
        </is>
      </c>
      <c r="CS225" s="970" t="n">
        <v>0.87935</v>
      </c>
    </row>
    <row r="226">
      <c r="B226" s="204">
        <f>+C226-1</f>
        <v/>
      </c>
      <c r="C226" s="204">
        <f>IF('bands_A-H_Avg'!$D$9+1&gt;MONTH(G226),YEAR(G226),YEAR(G226)+1)</f>
        <v/>
      </c>
      <c r="D226" s="204">
        <f>+C226+1</f>
        <v/>
      </c>
      <c r="E226" s="203">
        <f>IF(C226&gt;C225,1,E225+1)</f>
        <v/>
      </c>
      <c r="F226" s="203">
        <f>COUNTIF(C:C,C226)</f>
        <v/>
      </c>
      <c r="G226" s="198">
        <f>+G225+7</f>
        <v/>
      </c>
      <c r="H226" s="361">
        <f>IF(ISBLANK(CO226),CP226,SUMPRODUCT(CO$32:CP$32,CO226:CP226))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c r="CP226" s="199" t="n">
        <v>3</v>
      </c>
      <c r="CR226" s="199" t="inlineStr">
        <is>
          <t>#N/A N/A</t>
        </is>
      </c>
      <c r="CS226" s="970" t="n">
        <v>0.87549</v>
      </c>
    </row>
    <row r="227">
      <c r="B227" s="204">
        <f>+C227-1</f>
        <v/>
      </c>
      <c r="C227" s="204">
        <f>IF('bands_A-H_Avg'!$D$9+1&gt;MONTH(G227),YEAR(G227),YEAR(G227)+1)</f>
        <v/>
      </c>
      <c r="D227" s="204">
        <f>+C227+1</f>
        <v/>
      </c>
      <c r="E227" s="203">
        <f>IF(C227&gt;C226,1,E226+1)</f>
        <v/>
      </c>
      <c r="F227" s="203">
        <f>COUNTIF(C:C,C227)</f>
        <v/>
      </c>
      <c r="G227" s="198">
        <f>+G226+7</f>
        <v/>
      </c>
      <c r="H227" s="361">
        <f>IF(ISBLANK(CO227),CP227,SUMPRODUCT(CO$32:CP$32,CO227:CP227))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c r="CP227" s="199" t="n">
        <v>3.25</v>
      </c>
      <c r="CR227" s="199" t="inlineStr">
        <is>
          <t>#N/A N/A</t>
        </is>
      </c>
      <c r="CS227" s="970" t="n">
        <v>0.87612</v>
      </c>
    </row>
    <row r="228">
      <c r="B228" s="204">
        <f>+C228-1</f>
        <v/>
      </c>
      <c r="C228" s="204">
        <f>IF('bands_A-H_Avg'!$D$9+1&gt;MONTH(G228),YEAR(G228),YEAR(G228)+1)</f>
        <v/>
      </c>
      <c r="D228" s="204">
        <f>+C228+1</f>
        <v/>
      </c>
      <c r="E228" s="203">
        <f>IF(C228&gt;C227,1,E227+1)</f>
        <v/>
      </c>
      <c r="F228" s="203">
        <f>COUNTIF(C:C,C228)</f>
        <v/>
      </c>
      <c r="G228" s="198">
        <f>+G227+7</f>
        <v/>
      </c>
      <c r="H228" s="361">
        <f>IF(ISBLANK(CO228),CP228,SUMPRODUCT(CO$32:CP$32,CO228:CP228))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c r="CP228" s="199" t="n">
        <v>3.03</v>
      </c>
      <c r="CR228" s="199" t="inlineStr">
        <is>
          <t>#N/A N/A</t>
        </is>
      </c>
      <c r="CS228" s="970" t="n">
        <v>0.87614</v>
      </c>
    </row>
    <row r="229">
      <c r="B229" s="204">
        <f>+C229-1</f>
        <v/>
      </c>
      <c r="C229" s="204">
        <f>IF('bands_A-H_Avg'!$D$9+1&gt;MONTH(G229),YEAR(G229),YEAR(G229)+1)</f>
        <v/>
      </c>
      <c r="D229" s="204">
        <f>+C229+1</f>
        <v/>
      </c>
      <c r="E229" s="203">
        <f>IF(C229&gt;C228,1,E228+1)</f>
        <v/>
      </c>
      <c r="F229" s="203">
        <f>COUNTIF(C:C,C229)</f>
        <v/>
      </c>
      <c r="G229" s="198">
        <f>+G228+7</f>
        <v/>
      </c>
      <c r="H229" s="361">
        <f>IF(ISBLANK(CO229),CP229,SUMPRODUCT(CO$32:CP$32,CO229:CP229))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c r="CP229" s="199" t="n">
        <v>2.46</v>
      </c>
      <c r="CR229" s="199" t="inlineStr">
        <is>
          <t>#N/A N/A</t>
        </is>
      </c>
      <c r="CS229" s="970" t="n">
        <v>0.87767</v>
      </c>
    </row>
    <row r="230">
      <c r="B230" s="204">
        <f>+C230-1</f>
        <v/>
      </c>
      <c r="C230" s="204">
        <f>IF('bands_A-H_Avg'!$D$9+1&gt;MONTH(G230),YEAR(G230),YEAR(G230)+1)</f>
        <v/>
      </c>
      <c r="D230" s="204">
        <f>+C230+1</f>
        <v/>
      </c>
      <c r="E230" s="203">
        <f>IF(C230&gt;C229,1,E229+1)</f>
        <v/>
      </c>
      <c r="F230" s="203">
        <f>COUNTIF(C:C,C230)</f>
        <v/>
      </c>
      <c r="G230" s="198">
        <f>+G229+7</f>
        <v/>
      </c>
      <c r="H230" s="361">
        <f>IF(ISBLANK(CO230),CP230,SUMPRODUCT(CO$32:CP$32,CO230:CP230))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c r="CP230" s="199" t="n">
        <v>2.39</v>
      </c>
      <c r="CR230" s="199" t="inlineStr">
        <is>
          <t>#N/A N/A</t>
        </is>
      </c>
      <c r="CS230" s="970" t="n">
        <v>0.8791600000000001</v>
      </c>
    </row>
    <row r="231">
      <c r="B231" s="204">
        <f>+C231-1</f>
        <v/>
      </c>
      <c r="C231" s="204">
        <f>IF('bands_A-H_Avg'!$D$9+1&gt;MONTH(G231),YEAR(G231),YEAR(G231)+1)</f>
        <v/>
      </c>
      <c r="D231" s="204">
        <f>+C231+1</f>
        <v/>
      </c>
      <c r="E231" s="203">
        <f>IF(C231&gt;C230,1,E230+1)</f>
        <v/>
      </c>
      <c r="F231" s="203">
        <f>COUNTIF(C:C,C231)</f>
        <v/>
      </c>
      <c r="G231" s="198">
        <f>+G230+7</f>
        <v/>
      </c>
      <c r="H231" s="361">
        <f>IF(ISBLANK(CO231),CP231,SUMPRODUCT(CO$32:CP$32,CO231:CP231))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c r="CP231" s="199" t="n">
        <v>2.37</v>
      </c>
      <c r="CR231" s="199" t="inlineStr">
        <is>
          <t>#N/A N/A</t>
        </is>
      </c>
      <c r="CS231" s="970" t="n">
        <v>0.87998</v>
      </c>
    </row>
    <row r="232">
      <c r="B232" s="204">
        <f>+C232-1</f>
        <v/>
      </c>
      <c r="C232" s="204">
        <f>IF('bands_A-H_Avg'!$D$9+1&gt;MONTH(G232),YEAR(G232),YEAR(G232)+1)</f>
        <v/>
      </c>
      <c r="D232" s="204">
        <f>+C232+1</f>
        <v/>
      </c>
      <c r="E232" s="203">
        <f>IF(C232&gt;C231,1,E231+1)</f>
        <v/>
      </c>
      <c r="F232" s="203">
        <f>COUNTIF(C:C,C232)</f>
        <v/>
      </c>
      <c r="G232" s="198">
        <f>+G231+7</f>
        <v/>
      </c>
      <c r="H232" s="361">
        <f>IF(ISBLANK(CO232),CP232,SUMPRODUCT(CO$32:CP$32,CO232:CP232))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c r="CP232" s="199" t="n">
        <v>2.42</v>
      </c>
      <c r="CR232" s="199" t="inlineStr">
        <is>
          <t>#N/A N/A</t>
        </is>
      </c>
      <c r="CS232" s="970" t="n">
        <v>0.8813</v>
      </c>
    </row>
    <row r="233">
      <c r="B233" s="204">
        <f>+C233-1</f>
        <v/>
      </c>
      <c r="C233" s="204">
        <f>IF('bands_A-H_Avg'!$D$9+1&gt;MONTH(G233),YEAR(G233),YEAR(G233)+1)</f>
        <v/>
      </c>
      <c r="D233" s="204">
        <f>+C233+1</f>
        <v/>
      </c>
      <c r="E233" s="203">
        <f>IF(C233&gt;C232,1,E232+1)</f>
        <v/>
      </c>
      <c r="F233" s="203">
        <f>COUNTIF(C:C,C233)</f>
        <v/>
      </c>
      <c r="G233" s="198">
        <f>+G232+7</f>
        <v/>
      </c>
      <c r="H233" s="361">
        <f>IF(ISBLANK(CO233),CP233,SUMPRODUCT(CO$32:CP$32,CO233:CP233))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c r="CP233" s="199" t="n">
        <v>1.7</v>
      </c>
      <c r="CR233" s="199" t="inlineStr">
        <is>
          <t>#N/A N/A</t>
        </is>
      </c>
      <c r="CS233" s="970" t="n">
        <v>0.88058</v>
      </c>
    </row>
    <row r="234">
      <c r="B234" s="204">
        <f>+C234-1</f>
        <v/>
      </c>
      <c r="C234" s="204">
        <f>IF('bands_A-H_Avg'!$D$9+1&gt;MONTH(G234),YEAR(G234),YEAR(G234)+1)</f>
        <v/>
      </c>
      <c r="D234" s="204">
        <f>+C234+1</f>
        <v/>
      </c>
      <c r="E234" s="203">
        <f>IF(C234&gt;C233,1,E233+1)</f>
        <v/>
      </c>
      <c r="F234" s="203">
        <f>COUNTIF(C:C,C234)</f>
        <v/>
      </c>
      <c r="G234" s="198">
        <f>+G233+7</f>
        <v/>
      </c>
      <c r="H234" s="361">
        <f>IF(ISBLANK(CO234),CP234,SUMPRODUCT(CO$32:CP$32,CO234:CP234))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c r="CP234" s="199" t="n">
        <v>1.8</v>
      </c>
      <c r="CR234" s="199" t="inlineStr">
        <is>
          <t>#N/A N/A</t>
        </is>
      </c>
      <c r="CS234" s="970" t="n">
        <v>0.88106</v>
      </c>
    </row>
    <row r="235">
      <c r="B235" s="204">
        <f>+C235-1</f>
        <v/>
      </c>
      <c r="C235" s="204">
        <f>IF('bands_A-H_Avg'!$D$9+1&gt;MONTH(G235),YEAR(G235),YEAR(G235)+1)</f>
        <v/>
      </c>
      <c r="D235" s="204">
        <f>+C235+1</f>
        <v/>
      </c>
      <c r="E235" s="203">
        <f>IF(C235&gt;C234,1,E234+1)</f>
        <v/>
      </c>
      <c r="F235" s="203">
        <f>COUNTIF(C:C,C235)</f>
        <v/>
      </c>
      <c r="G235" s="198">
        <f>+G234+7</f>
        <v/>
      </c>
      <c r="H235" s="361">
        <f>IF(ISBLANK(CO235),CP235,SUMPRODUCT(CO$32:CP$32,CO235:CP235))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c r="CP235" s="199" t="n">
        <v>1.72</v>
      </c>
      <c r="CR235" s="199" t="inlineStr">
        <is>
          <t>#N/A N/A</t>
        </is>
      </c>
      <c r="CS235" s="970" t="n">
        <v>0.88268</v>
      </c>
    </row>
    <row r="236">
      <c r="B236" s="204">
        <f>+C236-1</f>
        <v/>
      </c>
      <c r="C236" s="204">
        <f>IF('bands_A-H_Avg'!$D$9+1&gt;MONTH(G236),YEAR(G236),YEAR(G236)+1)</f>
        <v/>
      </c>
      <c r="D236" s="204">
        <f>+C236+1</f>
        <v/>
      </c>
      <c r="E236" s="203">
        <f>IF(C236&gt;C235,1,E235+1)</f>
        <v/>
      </c>
      <c r="F236" s="203">
        <f>COUNTIF(C:C,C236)</f>
        <v/>
      </c>
      <c r="G236" s="198">
        <f>+G235+7</f>
        <v/>
      </c>
      <c r="H236" s="361">
        <f>IF(ISBLANK(CO236),CP236,SUMPRODUCT(CO$32:CP$32,CO236:CP236))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c r="CP236" s="199" t="n">
        <v>2.25</v>
      </c>
      <c r="CR236" s="199" t="inlineStr">
        <is>
          <t>#N/A N/A</t>
        </is>
      </c>
      <c r="CS236" s="970" t="n">
        <v>0.88252</v>
      </c>
    </row>
    <row r="237">
      <c r="B237" s="204">
        <f>+C237-1</f>
        <v/>
      </c>
      <c r="C237" s="204">
        <f>IF('bands_A-H_Avg'!$D$9+1&gt;MONTH(G237),YEAR(G237),YEAR(G237)+1)</f>
        <v/>
      </c>
      <c r="D237" s="204">
        <f>+C237+1</f>
        <v/>
      </c>
      <c r="E237" s="203">
        <f>IF(C237&gt;C236,1,E236+1)</f>
        <v/>
      </c>
      <c r="F237" s="203">
        <f>COUNTIF(C:C,C237)</f>
        <v/>
      </c>
      <c r="G237" s="198">
        <f>+G236+7</f>
        <v/>
      </c>
      <c r="H237" s="361">
        <f>IF(ISBLANK(CO237),CP237,SUMPRODUCT(CO$32:CP$32,CO237:CP237))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c r="CP237" s="199" t="n">
        <v>2.34</v>
      </c>
      <c r="CR237" s="199" t="inlineStr">
        <is>
          <t>#N/A N/A</t>
        </is>
      </c>
      <c r="CS237" s="970" t="n">
        <v>0.8807199999999999</v>
      </c>
    </row>
    <row r="238">
      <c r="B238" s="204">
        <f>+C238-1</f>
        <v/>
      </c>
      <c r="C238" s="204">
        <f>IF('bands_A-H_Avg'!$D$9+1&gt;MONTH(G238),YEAR(G238),YEAR(G238)+1)</f>
        <v/>
      </c>
      <c r="D238" s="204">
        <f>+C238+1</f>
        <v/>
      </c>
      <c r="E238" s="203">
        <f>IF(C238&gt;C237,1,E237+1)</f>
        <v/>
      </c>
      <c r="F238" s="203">
        <f>COUNTIF(C:C,C238)</f>
        <v/>
      </c>
      <c r="G238" s="198">
        <f>+G237+7</f>
        <v/>
      </c>
      <c r="H238" s="361">
        <f>IF(ISBLANK(CO238),CP238,SUMPRODUCT(CO$32:CP$32,CO238:CP238))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c r="CP238" s="199" t="n">
        <v>2.62</v>
      </c>
      <c r="CR238" s="199" t="inlineStr">
        <is>
          <t>#N/A N/A</t>
        </is>
      </c>
      <c r="CS238" s="970" t="n">
        <v>0.88058</v>
      </c>
    </row>
    <row r="239">
      <c r="B239" s="204">
        <f>+C239-1</f>
        <v/>
      </c>
      <c r="C239" s="204">
        <f>IF('bands_A-H_Avg'!$D$9+1&gt;MONTH(G239),YEAR(G239),YEAR(G239)+1)</f>
        <v/>
      </c>
      <c r="D239" s="204">
        <f>+C239+1</f>
        <v/>
      </c>
      <c r="E239" s="203">
        <f>IF(C239&gt;C238,1,E238+1)</f>
        <v/>
      </c>
      <c r="F239" s="203">
        <f>COUNTIF(C:C,C239)</f>
        <v/>
      </c>
      <c r="G239" s="198">
        <f>+G238+7</f>
        <v/>
      </c>
      <c r="H239" s="361">
        <f>IF(ISBLANK(CO239),CP239,SUMPRODUCT(CO$32:CP$32,CO239:CP239))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c r="CP239" s="199" t="n">
        <v>2.47</v>
      </c>
      <c r="CR239" s="199" t="inlineStr">
        <is>
          <t>#N/A N/A</t>
        </is>
      </c>
      <c r="CS239" s="970" t="n">
        <v>0.88185</v>
      </c>
    </row>
    <row r="240">
      <c r="B240" s="204">
        <f>+C240-1</f>
        <v/>
      </c>
      <c r="C240" s="204">
        <f>IF('bands_A-H_Avg'!$D$9+1&gt;MONTH(G240),YEAR(G240),YEAR(G240)+1)</f>
        <v/>
      </c>
      <c r="D240" s="204">
        <f>+C240+1</f>
        <v/>
      </c>
      <c r="E240" s="203">
        <f>IF(C240&gt;C239,1,E239+1)</f>
        <v/>
      </c>
      <c r="F240" s="203">
        <f>COUNTIF(C:C,C240)</f>
        <v/>
      </c>
      <c r="G240" s="198">
        <f>+G239+7</f>
        <v/>
      </c>
      <c r="H240" s="361">
        <f>IF(ISBLANK(CO240),CP240,SUMPRODUCT(CO$32:CP$32,CO240:CP240))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c r="CP240" s="199" t="n">
        <v>2.77</v>
      </c>
      <c r="CR240" s="199" t="inlineStr">
        <is>
          <t>#N/A N/A</t>
        </is>
      </c>
      <c r="CS240" s="970" t="n">
        <v>0.88187</v>
      </c>
    </row>
    <row r="241">
      <c r="B241" s="204">
        <f>+C241-1</f>
        <v/>
      </c>
      <c r="C241" s="204">
        <f>IF('bands_A-H_Avg'!$D$9+1&gt;MONTH(G241),YEAR(G241),YEAR(G241)+1)</f>
        <v/>
      </c>
      <c r="D241" s="204">
        <f>+C241+1</f>
        <v/>
      </c>
      <c r="E241" s="203">
        <f>IF(C241&gt;C240,1,E240+1)</f>
        <v/>
      </c>
      <c r="F241" s="203">
        <f>COUNTIF(C:C,C241)</f>
        <v/>
      </c>
      <c r="G241" s="198">
        <f>+G240+7</f>
        <v/>
      </c>
      <c r="H241" s="361">
        <f>IF(ISBLANK(CO241),CP241,SUMPRODUCT(CO$32:CP$32,CO241:CP241))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7.696225454133892</v>
      </c>
      <c r="CP241" s="199" t="n">
        <v>2.92</v>
      </c>
      <c r="CR241" s="199" t="n">
        <v>6.8</v>
      </c>
      <c r="CS241" s="970" t="n">
        <v>0.8835499999999999</v>
      </c>
    </row>
    <row r="242">
      <c r="B242" s="204">
        <f>+C242-1</f>
        <v/>
      </c>
      <c r="C242" s="204">
        <f>IF('bands_A-H_Avg'!$D$9+1&gt;MONTH(G242),YEAR(G242),YEAR(G242)+1)</f>
        <v/>
      </c>
      <c r="D242" s="204">
        <f>+C242+1</f>
        <v/>
      </c>
      <c r="E242" s="203">
        <f>IF(C242&gt;C241,1,E241+1)</f>
        <v/>
      </c>
      <c r="F242" s="203">
        <f>COUNTIF(C:C,C242)</f>
        <v/>
      </c>
      <c r="G242" s="198">
        <f>+G241+7</f>
        <v/>
      </c>
      <c r="H242" s="361">
        <f>IF(ISBLANK(CO242),CP242,SUMPRODUCT(CO$32:CP$32,CO242:CP242))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7.936957235538546</v>
      </c>
      <c r="CP242" s="199" t="n">
        <v>2.64</v>
      </c>
      <c r="CR242" s="199" t="n">
        <v>7.01</v>
      </c>
      <c r="CS242" s="970" t="n">
        <v>0.8832100000000001</v>
      </c>
    </row>
    <row r="243">
      <c r="B243" s="204">
        <f>+C243-1</f>
        <v/>
      </c>
      <c r="C243" s="204">
        <f>IF('bands_A-H_Avg'!$D$9+1&gt;MONTH(G243),YEAR(G243),YEAR(G243)+1)</f>
        <v/>
      </c>
      <c r="D243" s="204">
        <f>+C243+1</f>
        <v/>
      </c>
      <c r="E243" s="203">
        <f>IF(C243&gt;C242,1,E242+1)</f>
        <v/>
      </c>
      <c r="F243" s="203">
        <f>COUNTIF(C:C,C243)</f>
        <v/>
      </c>
      <c r="G243" s="198">
        <f>+G242+7</f>
        <v/>
      </c>
      <c r="H243" s="361">
        <f>IF(ISBLANK(CO243),CP243,SUMPRODUCT(CO$32:CP$32,CO243:CP243))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7.653408317837544</v>
      </c>
      <c r="CP243" s="199" t="n">
        <v>3.15</v>
      </c>
      <c r="CR243" s="199" t="n">
        <v>6.75</v>
      </c>
      <c r="CS243" s="970" t="n">
        <v>0.88196</v>
      </c>
    </row>
    <row r="244">
      <c r="B244" s="204">
        <f>+C244-1</f>
        <v/>
      </c>
      <c r="C244" s="204">
        <f>IF('bands_A-H_Avg'!$D$9+1&gt;MONTH(G244),YEAR(G244),YEAR(G244)+1)</f>
        <v/>
      </c>
      <c r="D244" s="204">
        <f>+C244+1</f>
        <v/>
      </c>
      <c r="E244" s="203">
        <f>IF(C244&gt;C243,1,E243+1)</f>
        <v/>
      </c>
      <c r="F244" s="203">
        <f>COUNTIF(C:C,C244)</f>
        <v/>
      </c>
      <c r="G244" s="198">
        <f>+G243+7</f>
        <v/>
      </c>
      <c r="H244" s="361">
        <f>IF(ISBLANK(CO244),CP244,SUMPRODUCT(CO$32:CP$32,CO244:CP244))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6.808578128717246</v>
      </c>
      <c r="CP244" s="199" t="n">
        <v>2.94</v>
      </c>
      <c r="CR244" s="199" t="n">
        <v>6.01</v>
      </c>
      <c r="CS244" s="970" t="n">
        <v>0.88271</v>
      </c>
    </row>
    <row r="245">
      <c r="B245" s="204">
        <f>+C245-1</f>
        <v/>
      </c>
      <c r="C245" s="204">
        <f>IF('bands_A-H_Avg'!$D$9+1&gt;MONTH(G245),YEAR(G245),YEAR(G245)+1)</f>
        <v/>
      </c>
      <c r="D245" s="204">
        <f>+C245+1</f>
        <v/>
      </c>
      <c r="E245" s="203">
        <f>IF(C245&gt;C244,1,E244+1)</f>
        <v/>
      </c>
      <c r="F245" s="203">
        <f>COUNTIF(C:C,C245)</f>
        <v/>
      </c>
      <c r="G245" s="198">
        <f>+G244+7</f>
        <v/>
      </c>
      <c r="H245" s="361">
        <f>IF(ISBLANK(CO245),CP245,SUMPRODUCT(CO$32:CP$32,CO245:CP245))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6.554848660111818</v>
      </c>
      <c r="CP245" s="199" t="n">
        <v>3.26</v>
      </c>
      <c r="CR245" s="199" t="n">
        <v>5.78</v>
      </c>
      <c r="CS245" s="970" t="n">
        <v>0.88179</v>
      </c>
    </row>
    <row r="246">
      <c r="B246" s="204">
        <f>+C246-1</f>
        <v/>
      </c>
      <c r="C246" s="204">
        <f>IF('bands_A-H_Avg'!$D$9+1&gt;MONTH(G246),YEAR(G246),YEAR(G246)+1)</f>
        <v/>
      </c>
      <c r="D246" s="204">
        <f>+C246+1</f>
        <v/>
      </c>
      <c r="E246" s="203">
        <f>IF(C246&gt;C245,1,E245+1)</f>
        <v/>
      </c>
      <c r="F246" s="203">
        <f>COUNTIF(C:C,C246)</f>
        <v/>
      </c>
      <c r="G246" s="198">
        <f>+G245+7</f>
        <v/>
      </c>
      <c r="H246" s="361">
        <f>IF(ISBLANK(CO246),CP246,SUMPRODUCT(CO$32:CP$32,CO246:CP246))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7.178417119334097</v>
      </c>
      <c r="CP246" s="199" t="n">
        <v>2.66</v>
      </c>
      <c r="CR246" s="199" t="n">
        <v>6.33</v>
      </c>
      <c r="CS246" s="970" t="n">
        <v>0.88181</v>
      </c>
    </row>
    <row r="247">
      <c r="B247" s="204">
        <f>+C247-1</f>
        <v/>
      </c>
      <c r="C247" s="204">
        <f>IF('bands_A-H_Avg'!$D$9+1&gt;MONTH(G247),YEAR(G247),YEAR(G247)+1)</f>
        <v/>
      </c>
      <c r="D247" s="204">
        <f>+C247+1</f>
        <v/>
      </c>
      <c r="E247" s="203">
        <f>IF(C247&gt;C246,1,E246+1)</f>
        <v/>
      </c>
      <c r="F247" s="203">
        <f>COUNTIF(C:C,C247)</f>
        <v/>
      </c>
      <c r="G247" s="198">
        <f>+G246+7</f>
        <v/>
      </c>
      <c r="H247" s="361">
        <f>IF(ISBLANK(CO247),CP247,SUMPRODUCT(CO$32:CP$32,CO247:CP247))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7.058075936726959</v>
      </c>
      <c r="CP247" s="199" t="n">
        <v>2.37</v>
      </c>
      <c r="CR247" s="199" t="n">
        <v>6.22</v>
      </c>
      <c r="CS247" s="970" t="n">
        <v>0.88126</v>
      </c>
    </row>
    <row r="248">
      <c r="B248" s="204">
        <f>+C248-1</f>
        <v/>
      </c>
      <c r="C248" s="204">
        <f>IF('bands_A-H_Avg'!$D$9+1&gt;MONTH(G248),YEAR(G248),YEAR(G248)+1)</f>
        <v/>
      </c>
      <c r="D248" s="204">
        <f>+C248+1</f>
        <v/>
      </c>
      <c r="E248" s="203">
        <f>IF(C248&gt;C247,1,E247+1)</f>
        <v/>
      </c>
      <c r="F248" s="203">
        <f>COUNTIF(C:C,C248)</f>
        <v/>
      </c>
      <c r="G248" s="198">
        <f>+G247+7</f>
        <v/>
      </c>
      <c r="H248" s="361">
        <f>IF(ISBLANK(CO248),CP248,SUMPRODUCT(CO$32:CP$32,CO248:CP248))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7.044090790503522</v>
      </c>
      <c r="CP248" s="199" t="n">
        <v>2.35</v>
      </c>
      <c r="CR248" s="199" t="n">
        <v>6.21</v>
      </c>
      <c r="CS248" s="970" t="n">
        <v>0.88159</v>
      </c>
    </row>
    <row r="249">
      <c r="B249" s="204">
        <f>+C249-1</f>
        <v/>
      </c>
      <c r="C249" s="204">
        <f>IF('bands_A-H_Avg'!$D$9+1&gt;MONTH(G249),YEAR(G249),YEAR(G249)+1)</f>
        <v/>
      </c>
      <c r="D249" s="204">
        <f>+C249+1</f>
        <v/>
      </c>
      <c r="E249" s="203">
        <f>IF(C249&gt;C248,1,E248+1)</f>
        <v/>
      </c>
      <c r="F249" s="203">
        <f>COUNTIF(C:C,C249)</f>
        <v/>
      </c>
      <c r="G249" s="198">
        <f>+G248+7</f>
        <v/>
      </c>
      <c r="H249" s="361">
        <f>IF(ISBLANK(CO249),CP249,SUMPRODUCT(CO$32:CP$32,CO249:CP249))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7.04544938848676</v>
      </c>
      <c r="CP249" s="199" t="n">
        <v>2.5</v>
      </c>
      <c r="CR249" s="199" t="n">
        <v>6.21</v>
      </c>
      <c r="CS249" s="970" t="n">
        <v>0.88142</v>
      </c>
    </row>
    <row r="250">
      <c r="B250" s="204">
        <f>+C250-1</f>
        <v/>
      </c>
      <c r="C250" s="204">
        <f>IF('bands_A-H_Avg'!$D$9+1&gt;MONTH(G250),YEAR(G250),YEAR(G250)+1)</f>
        <v/>
      </c>
      <c r="D250" s="204">
        <f>+C250+1</f>
        <v/>
      </c>
      <c r="E250" s="203">
        <f>IF(C250&gt;C249,1,E249+1)</f>
        <v/>
      </c>
      <c r="F250" s="203">
        <f>COUNTIF(C:C,C250)</f>
        <v/>
      </c>
      <c r="G250" s="198">
        <f>+G249+7</f>
        <v/>
      </c>
      <c r="H250" s="361">
        <f>IF(ISBLANK(CO250),CP250,SUMPRODUCT(CO$32:CP$32,CO250:CP250))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7.769963702359346</v>
      </c>
      <c r="CP250" s="199" t="n">
        <v>2.69</v>
      </c>
      <c r="CR250" s="199" t="n">
        <v>6.85</v>
      </c>
      <c r="CS250" s="970" t="n">
        <v>0.8816000000000001</v>
      </c>
    </row>
    <row r="251">
      <c r="B251" s="204">
        <f>+C251-1</f>
        <v/>
      </c>
      <c r="C251" s="204">
        <f>IF('bands_A-H_Avg'!$D$9+1&gt;MONTH(G251),YEAR(G251),YEAR(G251)+1)</f>
        <v/>
      </c>
      <c r="D251" s="204">
        <f>+C251+1</f>
        <v/>
      </c>
      <c r="E251" s="203">
        <f>IF(C251&gt;C250,1,E250+1)</f>
        <v/>
      </c>
      <c r="F251" s="203">
        <f>COUNTIF(C:C,C251)</f>
        <v/>
      </c>
      <c r="G251" s="198">
        <f>+G250+7</f>
        <v/>
      </c>
      <c r="H251" s="361">
        <f>IF(ISBLANK(CO251),CP251,SUMPRODUCT(CO$32:CP$32,CO251:CP251))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9.258418807297812</v>
      </c>
      <c r="CP251" s="199" t="n">
        <v>2.5</v>
      </c>
      <c r="CR251" s="199" t="n">
        <v>8.16</v>
      </c>
      <c r="CS251" s="970" t="n">
        <v>0.88136</v>
      </c>
    </row>
    <row r="252">
      <c r="B252" s="204">
        <f>+C252-1</f>
        <v/>
      </c>
      <c r="C252" s="204">
        <f>IF('bands_A-H_Avg'!$D$9+1&gt;MONTH(G252),YEAR(G252),YEAR(G252)+1)</f>
        <v/>
      </c>
      <c r="D252" s="204">
        <f>+C252+1</f>
        <v/>
      </c>
      <c r="E252" s="203">
        <f>IF(C252&gt;C251,1,E251+1)</f>
        <v/>
      </c>
      <c r="F252" s="203">
        <f>COUNTIF(C:C,C252)</f>
        <v/>
      </c>
      <c r="G252" s="198">
        <f>+G251+7</f>
        <v/>
      </c>
      <c r="H252" s="361">
        <f>IF(ISBLANK(CO252),CP252,SUMPRODUCT(CO$32:CP$32,CO252:CP252))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9.414273399573522</v>
      </c>
      <c r="CP252" s="199" t="n">
        <v>2.22</v>
      </c>
      <c r="CR252" s="199" t="n">
        <v>8.300000000000001</v>
      </c>
      <c r="CS252" s="970" t="n">
        <v>0.88164</v>
      </c>
    </row>
    <row r="253">
      <c r="B253" s="204">
        <f>+C253-1</f>
        <v/>
      </c>
      <c r="C253" s="204">
        <f>IF('bands_A-H_Avg'!$D$9+1&gt;MONTH(G253),YEAR(G253),YEAR(G253)+1)</f>
        <v/>
      </c>
      <c r="D253" s="204">
        <f>+C253+1</f>
        <v/>
      </c>
      <c r="E253" s="203">
        <f>IF(C253&gt;C252,1,E252+1)</f>
        <v/>
      </c>
      <c r="F253" s="203">
        <f>COUNTIF(C:C,C253)</f>
        <v/>
      </c>
      <c r="G253" s="198">
        <f>+G252+7</f>
        <v/>
      </c>
      <c r="H253" s="361">
        <f>IF(ISBLANK(CO253),CP253,SUMPRODUCT(CO$32:CP$32,CO253:CP253))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7.653408317837544</v>
      </c>
      <c r="CP253" s="199" t="n">
        <v>1.96</v>
      </c>
      <c r="CR253" s="199" t="n">
        <v>6.75</v>
      </c>
      <c r="CS253" s="970" t="n">
        <v>0.88196</v>
      </c>
    </row>
    <row r="254">
      <c r="B254" s="204">
        <f>+C254-1</f>
        <v/>
      </c>
      <c r="C254" s="204">
        <f>IF('bands_A-H_Avg'!$D$9+1&gt;MONTH(G254),YEAR(G254),YEAR(G254)+1)</f>
        <v/>
      </c>
      <c r="D254" s="204">
        <f>+C254+1</f>
        <v/>
      </c>
      <c r="E254" s="203">
        <f>IF(C254&gt;C253,1,E253+1)</f>
        <v/>
      </c>
      <c r="F254" s="203">
        <f>COUNTIF(C:C,C254)</f>
        <v/>
      </c>
      <c r="G254" s="198">
        <f>+G253+7</f>
        <v/>
      </c>
      <c r="H254" s="361">
        <f>IF(ISBLANK(CO254),CP254,SUMPRODUCT(CO$32:CP$32,CO254:CP254))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8.356482793809173</v>
      </c>
      <c r="CP254" s="199" t="n">
        <v>2</v>
      </c>
      <c r="CR254" s="199" t="n">
        <v>7.37</v>
      </c>
      <c r="CS254" s="970" t="n">
        <v>0.88195</v>
      </c>
    </row>
    <row r="255">
      <c r="B255" s="204">
        <f>+C255-1</f>
        <v/>
      </c>
      <c r="C255" s="204">
        <f>IF('bands_A-H_Avg'!$D$9+1&gt;MONTH(G255),YEAR(G255),YEAR(G255)+1)</f>
        <v/>
      </c>
      <c r="D255" s="204">
        <f>+C255+1</f>
        <v/>
      </c>
      <c r="E255" s="203">
        <f>IF(C255&gt;C254,1,E254+1)</f>
        <v/>
      </c>
      <c r="F255" s="203">
        <f>COUNTIF(C:C,C255)</f>
        <v/>
      </c>
      <c r="G255" s="198">
        <f>+G254+7</f>
        <v/>
      </c>
      <c r="H255" s="361">
        <f>IF(ISBLANK(CO255),CP255,SUMPRODUCT(CO$32:CP$32,CO255:CP255))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7.890798603237948</v>
      </c>
      <c r="CP255" s="199" t="n">
        <v>1.91</v>
      </c>
      <c r="CR255" s="199" t="n">
        <v>6.96</v>
      </c>
      <c r="CS255" s="970" t="n">
        <v>0.88204</v>
      </c>
    </row>
    <row r="256">
      <c r="B256" s="204">
        <f>+C256-1</f>
        <v/>
      </c>
      <c r="C256" s="204">
        <f>IF('bands_A-H_Avg'!$D$9+1&gt;MONTH(G256),YEAR(G256),YEAR(G256)+1)</f>
        <v/>
      </c>
      <c r="D256" s="204">
        <f>+C256+1</f>
        <v/>
      </c>
      <c r="E256" s="203">
        <f>IF(C256&gt;C255,1,E255+1)</f>
        <v/>
      </c>
      <c r="F256" s="203">
        <f>COUNTIF(C:C,C256)</f>
        <v/>
      </c>
      <c r="G256" s="198">
        <f>+G255+7</f>
        <v/>
      </c>
      <c r="H256" s="361">
        <f>IF(ISBLANK(CO256),CP256,SUMPRODUCT(CO$32:CP$32,CO256:CP256))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8.264087544839485</v>
      </c>
      <c r="CP256" s="199" t="n">
        <v>2.04</v>
      </c>
      <c r="CR256" s="199" t="n">
        <v>7.28</v>
      </c>
      <c r="CS256" s="970" t="n">
        <v>0.88092</v>
      </c>
    </row>
    <row r="257">
      <c r="B257" s="204">
        <f>+C257-1</f>
        <v/>
      </c>
      <c r="C257" s="204">
        <f>IF('bands_A-H_Avg'!$D$9+1&gt;MONTH(G257),YEAR(G257),YEAR(G257)+1)</f>
        <v/>
      </c>
      <c r="D257" s="204">
        <f>+C257+1</f>
        <v/>
      </c>
      <c r="E257" s="203">
        <f>IF(C257&gt;C256,1,E256+1)</f>
        <v/>
      </c>
      <c r="F257" s="203">
        <f>COUNTIF(C:C,C257)</f>
        <v/>
      </c>
      <c r="G257" s="198">
        <f>+G256+7</f>
        <v/>
      </c>
      <c r="H257" s="361">
        <f>IF(ISBLANK(CO257),CP257,SUMPRODUCT(CO$32:CP$32,CO257:CP257))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8.586660617059891</v>
      </c>
      <c r="CP257" s="199" t="n">
        <v>2.4</v>
      </c>
      <c r="CR257" s="199" t="n">
        <v>7.57</v>
      </c>
      <c r="CS257" s="970" t="n">
        <v>0.8816000000000001</v>
      </c>
    </row>
    <row r="258">
      <c r="B258" s="204">
        <f>+C258-1</f>
        <v/>
      </c>
      <c r="C258" s="204">
        <f>IF('bands_A-H_Avg'!$D$9+1&gt;MONTH(G258),YEAR(G258),YEAR(G258)+1)</f>
        <v/>
      </c>
      <c r="D258" s="204">
        <f>+C258+1</f>
        <v/>
      </c>
      <c r="E258" s="203">
        <f>IF(C258&gt;C257,1,E257+1)</f>
        <v/>
      </c>
      <c r="F258" s="203">
        <f>COUNTIF(C:C,C258)</f>
        <v/>
      </c>
      <c r="G258" s="198">
        <f>+G257+7</f>
        <v/>
      </c>
      <c r="H258" s="361">
        <f>IF(ISBLANK(CO258),CP258,SUMPRODUCT(CO$32:CP$32,CO258:CP258))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8.685693551496184</v>
      </c>
      <c r="CP258" s="199" t="n">
        <v>2.43</v>
      </c>
      <c r="CR258" s="199" t="n">
        <v>7.66</v>
      </c>
      <c r="CS258" s="970" t="n">
        <v>0.88191</v>
      </c>
    </row>
    <row r="259">
      <c r="B259" s="204">
        <f>+C259-1</f>
        <v/>
      </c>
      <c r="C259" s="204">
        <f>IF('bands_A-H_Avg'!$D$9+1&gt;MONTH(G259),YEAR(G259),YEAR(G259)+1)</f>
        <v/>
      </c>
      <c r="D259" s="204">
        <f>+C259+1</f>
        <v/>
      </c>
      <c r="E259" s="203">
        <f>IF(C259&gt;C258,1,E258+1)</f>
        <v/>
      </c>
      <c r="F259" s="203">
        <f>COUNTIF(C:C,C259)</f>
        <v/>
      </c>
      <c r="G259" s="198">
        <f>+G258+7</f>
        <v/>
      </c>
      <c r="H259" s="361">
        <f>IF(ISBLANK(CO259),CP259,SUMPRODUCT(CO$32:CP$32,CO259:CP259))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8.755812634682998</v>
      </c>
      <c r="CP259" s="199" t="n">
        <v>2.54</v>
      </c>
      <c r="CR259" s="199" t="n">
        <v>7.72</v>
      </c>
      <c r="CS259" s="970" t="n">
        <v>0.8817</v>
      </c>
    </row>
    <row r="260">
      <c r="B260" s="204">
        <f>+C260-1</f>
        <v/>
      </c>
      <c r="C260" s="204">
        <f>IF('bands_A-H_Avg'!$D$9+1&gt;MONTH(G260),YEAR(G260),YEAR(G260)+1)</f>
        <v/>
      </c>
      <c r="D260" s="204">
        <f>+C260+1</f>
        <v/>
      </c>
      <c r="E260" s="203">
        <f>IF(C260&gt;C259,1,E259+1)</f>
        <v/>
      </c>
      <c r="F260" s="203">
        <f>COUNTIF(C:C,C260)</f>
        <v/>
      </c>
      <c r="G260" s="198">
        <f>+G259+7</f>
        <v/>
      </c>
      <c r="H260" s="361">
        <f>IF(ISBLANK(CO260),CP260,SUMPRODUCT(CO$32:CP$32,CO260:CP260))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10.5148535066526</v>
      </c>
      <c r="CP260" s="199" t="n">
        <v>3.06</v>
      </c>
      <c r="CR260" s="199" t="n">
        <v>9.27</v>
      </c>
      <c r="CS260" s="970" t="n">
        <v>0.88161</v>
      </c>
    </row>
    <row r="261">
      <c r="B261" s="204">
        <f>+C261-1</f>
        <v/>
      </c>
      <c r="C261" s="204">
        <f>IF('bands_A-H_Avg'!$D$9+1&gt;MONTH(G261),YEAR(G261),YEAR(G261)+1)</f>
        <v/>
      </c>
      <c r="D261" s="204">
        <f>+C261+1</f>
        <v/>
      </c>
      <c r="E261" s="203">
        <f>IF(C261&gt;C260,1,E260+1)</f>
        <v/>
      </c>
      <c r="F261" s="203">
        <f>COUNTIF(C:C,C261)</f>
        <v/>
      </c>
      <c r="G261" s="198">
        <f>+G260+7</f>
        <v/>
      </c>
      <c r="H261" s="361">
        <f>IF(ISBLANK(CO261),CP261,SUMPRODUCT(CO$32:CP$32,CO261:CP261))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10.52308949734369</v>
      </c>
      <c r="CP261" s="199" t="n">
        <v>3.06</v>
      </c>
      <c r="CR261" s="199" t="n">
        <v>9.27</v>
      </c>
      <c r="CS261" s="970" t="n">
        <v>0.88092</v>
      </c>
    </row>
    <row r="262">
      <c r="B262" s="204">
        <f>+C262-1</f>
        <v/>
      </c>
      <c r="C262" s="204">
        <f>IF('bands_A-H_Avg'!$D$9+1&gt;MONTH(G262),YEAR(G262),YEAR(G262)+1)</f>
        <v/>
      </c>
      <c r="D262" s="204">
        <f>+C262+1</f>
        <v/>
      </c>
      <c r="E262" s="203">
        <f>IF(C262&gt;C261,1,E261+1)</f>
        <v/>
      </c>
      <c r="F262" s="203">
        <f>COUNTIF(C:C,C262)</f>
        <v/>
      </c>
      <c r="G262" s="198">
        <f>+G261+7</f>
        <v/>
      </c>
      <c r="H262" s="361">
        <f>IF(ISBLANK(CO262),CP262,SUMPRODUCT(CO$32:CP$32,CO262:CP262))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9.87387796841268</v>
      </c>
      <c r="CP262" s="199" t="n">
        <v>2.8</v>
      </c>
      <c r="CR262" s="199" t="n">
        <v>8.69</v>
      </c>
      <c r="CS262" s="970" t="n">
        <v>0.8801</v>
      </c>
    </row>
    <row r="263">
      <c r="B263" s="204">
        <f>+C263-1</f>
        <v/>
      </c>
      <c r="C263" s="204">
        <f>IF('bands_A-H_Avg'!$D$9+1&gt;MONTH(G263),YEAR(G263),YEAR(G263)+1)</f>
        <v/>
      </c>
      <c r="D263" s="204">
        <f>+C263+1</f>
        <v/>
      </c>
      <c r="E263" s="203">
        <f>IF(C263&gt;C262,1,E262+1)</f>
        <v/>
      </c>
      <c r="F263" s="203">
        <f>COUNTIF(C:C,C263)</f>
        <v/>
      </c>
      <c r="G263" s="198">
        <f>+G262+7</f>
        <v/>
      </c>
      <c r="H263" s="361">
        <f>IF(ISBLANK(CO263),CP263,SUMPRODUCT(CO$32:CP$32,CO263:CP263))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12.07666352347735</v>
      </c>
      <c r="CP263" s="199" t="n">
        <v>3.31</v>
      </c>
      <c r="CR263" s="199" t="n">
        <v>10.63</v>
      </c>
      <c r="CS263" s="970" t="n">
        <v>0.88021</v>
      </c>
    </row>
    <row r="264">
      <c r="B264" s="204">
        <f>+C264-1</f>
        <v/>
      </c>
      <c r="C264" s="204">
        <f>IF('bands_A-H_Avg'!$D$9+1&gt;MONTH(G264),YEAR(G264),YEAR(G264)+1)</f>
        <v/>
      </c>
      <c r="D264" s="204">
        <f>+C264+1</f>
        <v/>
      </c>
      <c r="E264" s="203">
        <f>IF(C264&gt;C263,1,E263+1)</f>
        <v/>
      </c>
      <c r="F264" s="203">
        <f>COUNTIF(C:C,C264)</f>
        <v/>
      </c>
      <c r="G264" s="198">
        <f>+G263+7</f>
        <v/>
      </c>
      <c r="H264" s="361">
        <f>IF(ISBLANK(CO264),CP264,SUMPRODUCT(CO$32:CP$32,CO264:CP264))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11.45796663676315</v>
      </c>
      <c r="CP264" s="199" t="n">
        <v>3.16</v>
      </c>
      <c r="CR264" s="199" t="n">
        <v>10.09</v>
      </c>
      <c r="CS264" s="970" t="n">
        <v>0.88061</v>
      </c>
    </row>
    <row r="265">
      <c r="B265" s="204">
        <f>+C265-1</f>
        <v/>
      </c>
      <c r="C265" s="204">
        <f>IF('bands_A-H_Avg'!$D$9+1&gt;MONTH(G265),YEAR(G265),YEAR(G265)+1)</f>
        <v/>
      </c>
      <c r="D265" s="204">
        <f>+C265+1</f>
        <v/>
      </c>
      <c r="E265" s="203">
        <f>IF(C265&gt;C264,1,E264+1)</f>
        <v/>
      </c>
      <c r="F265" s="203">
        <f>COUNTIF(C:C,C265)</f>
        <v/>
      </c>
      <c r="G265" s="198">
        <f>+G264+7</f>
        <v/>
      </c>
      <c r="H265" s="361">
        <f>IF(ISBLANK(CO265),CP265,SUMPRODUCT(CO$32:CP$32,CO265:CP265))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12.03190329031085</v>
      </c>
      <c r="CP265" s="199" t="n">
        <v>3.34</v>
      </c>
      <c r="CR265" s="199" t="n">
        <v>10.59</v>
      </c>
      <c r="CS265" s="970" t="n">
        <v>0.8801600000000001</v>
      </c>
    </row>
    <row r="266">
      <c r="B266" s="204">
        <f>+C266-1</f>
        <v/>
      </c>
      <c r="C266" s="204">
        <f>IF('bands_A-H_Avg'!$D$9+1&gt;MONTH(G266),YEAR(G266),YEAR(G266)+1)</f>
        <v/>
      </c>
      <c r="D266" s="204">
        <f>+C266+1</f>
        <v/>
      </c>
      <c r="E266" s="203">
        <f>IF(C266&gt;C265,1,E265+1)</f>
        <v/>
      </c>
      <c r="F266" s="203">
        <f>COUNTIF(C:C,C266)</f>
        <v/>
      </c>
      <c r="G266" s="198">
        <f>+G265+7</f>
        <v/>
      </c>
      <c r="H266" s="361">
        <f>IF(ISBLANK(CO266),CP266,SUMPRODUCT(CO$32:CP$32,CO266:CP266))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12.19193788241705</v>
      </c>
      <c r="CP266" s="199" t="n">
        <v>3.66</v>
      </c>
      <c r="CR266" s="199" t="n">
        <v>10.74</v>
      </c>
      <c r="CS266" s="970" t="n">
        <v>0.88091</v>
      </c>
    </row>
    <row r="267">
      <c r="B267" s="204">
        <f>+C267-1</f>
        <v/>
      </c>
      <c r="C267" s="204">
        <f>IF('bands_A-H_Avg'!$D$9+1&gt;MONTH(G267),YEAR(G267),YEAR(G267)+1)</f>
        <v/>
      </c>
      <c r="D267" s="204">
        <f>+C267+1</f>
        <v/>
      </c>
      <c r="E267" s="203">
        <f>IF(C267&gt;C266,1,E266+1)</f>
        <v/>
      </c>
      <c r="F267" s="203">
        <f>COUNTIF(C:C,C267)</f>
        <v/>
      </c>
      <c r="G267" s="198">
        <f>+G266+7</f>
        <v/>
      </c>
      <c r="H267" s="361">
        <f>IF(ISBLANK(CO267),CP267,SUMPRODUCT(CO$32:CP$32,CO267:CP267))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12.42186702362991</v>
      </c>
      <c r="CP267" s="199" t="n">
        <v>3.87</v>
      </c>
      <c r="CR267" s="199" t="n">
        <v>10.95</v>
      </c>
      <c r="CS267" s="970" t="n">
        <v>0.88151</v>
      </c>
    </row>
    <row r="268">
      <c r="B268" s="204">
        <f>+C268-1</f>
        <v/>
      </c>
      <c r="C268" s="204">
        <f>IF('bands_A-H_Avg'!$D$9+1&gt;MONTH(G268),YEAR(G268),YEAR(G268)+1)</f>
        <v/>
      </c>
      <c r="D268" s="204">
        <f>+C268+1</f>
        <v/>
      </c>
      <c r="E268" s="203">
        <f>IF(C268&gt;C267,1,E267+1)</f>
        <v/>
      </c>
      <c r="F268" s="203">
        <f>COUNTIF(C:C,C268)</f>
        <v/>
      </c>
      <c r="G268" s="198">
        <f>+G267+7</f>
        <v/>
      </c>
      <c r="H268" s="361">
        <f>IF(ISBLANK(CO268),CP268,SUMPRODUCT(CO$32:CP$32,CO268:CP268))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11.69027020285057</v>
      </c>
      <c r="CP268" s="199" t="n">
        <v>3.57</v>
      </c>
      <c r="CR268" s="199" t="n">
        <v>10.31</v>
      </c>
      <c r="CS268" s="970" t="n">
        <v>0.88193</v>
      </c>
    </row>
    <row r="269">
      <c r="B269" s="204">
        <f>+C269-1</f>
        <v/>
      </c>
      <c r="C269" s="204">
        <f>IF('bands_A-H_Avg'!$D$9+1&gt;MONTH(G269),YEAR(G269),YEAR(G269)+1)</f>
        <v/>
      </c>
      <c r="D269" s="204">
        <f>+C269+1</f>
        <v/>
      </c>
      <c r="E269" s="203">
        <f>IF(C269&gt;C268,1,E268+1)</f>
        <v/>
      </c>
      <c r="F269" s="203">
        <f>COUNTIF(C:C,C269)</f>
        <v/>
      </c>
      <c r="G269" s="198">
        <f>+G268+7</f>
        <v/>
      </c>
      <c r="H269" s="361">
        <f>IF(ISBLANK(CO269),CP269,SUMPRODUCT(CO$32:CP$32,CO269:CP269))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11.82405622945244</v>
      </c>
      <c r="CP269" s="199" t="n">
        <v>3.34</v>
      </c>
      <c r="CR269" s="199" t="n">
        <v>10.43</v>
      </c>
      <c r="CS269" s="970" t="n">
        <v>0.8821</v>
      </c>
    </row>
    <row r="270">
      <c r="B270" s="204">
        <f>+C270-1</f>
        <v/>
      </c>
      <c r="C270" s="204">
        <f>IF('bands_A-H_Avg'!$D$9+1&gt;MONTH(G270),YEAR(G270),YEAR(G270)+1)</f>
        <v/>
      </c>
      <c r="D270" s="204">
        <f>+C270+1</f>
        <v/>
      </c>
      <c r="E270" s="203">
        <f>IF(C270&gt;C269,1,E269+1)</f>
        <v/>
      </c>
      <c r="F270" s="203">
        <f>COUNTIF(C:C,C270)</f>
        <v/>
      </c>
      <c r="G270" s="198">
        <f>+G269+7</f>
        <v/>
      </c>
      <c r="H270" s="361">
        <f>IF(ISBLANK(CO270),CP270,SUMPRODUCT(CO$32:CP$32,CO270:CP270))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12.04395704095172</v>
      </c>
      <c r="CP270" s="199" t="n">
        <v>3.49</v>
      </c>
      <c r="CR270" s="199" t="n">
        <v>10.62</v>
      </c>
      <c r="CS270" s="970" t="n">
        <v>0.8817700000000001</v>
      </c>
    </row>
    <row r="271">
      <c r="B271" s="204">
        <f>+C271-1</f>
        <v/>
      </c>
      <c r="C271" s="204">
        <f>IF('bands_A-H_Avg'!$D$9+1&gt;MONTH(G271),YEAR(G271),YEAR(G271)+1)</f>
        <v/>
      </c>
      <c r="D271" s="204">
        <f>+C271+1</f>
        <v/>
      </c>
      <c r="E271" s="203">
        <f>IF(C271&gt;C270,1,E270+1)</f>
        <v/>
      </c>
      <c r="F271" s="203">
        <f>COUNTIF(C:C,C271)</f>
        <v/>
      </c>
      <c r="G271" s="198">
        <f>+G270+7</f>
        <v/>
      </c>
      <c r="H271" s="361">
        <f>IF(ISBLANK(CO271),CP271,SUMPRODUCT(CO$32:CP$32,CO271:CP271))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11.85398611552248</v>
      </c>
      <c r="CP271" s="199" t="n">
        <v>3.35</v>
      </c>
      <c r="CR271" s="199" t="n">
        <v>10.45</v>
      </c>
      <c r="CS271" s="970" t="n">
        <v>0.88156</v>
      </c>
    </row>
    <row r="272">
      <c r="B272" s="204">
        <f>+C272-1</f>
        <v/>
      </c>
      <c r="C272" s="204">
        <f>IF('bands_A-H_Avg'!$D$9+1&gt;MONTH(G272),YEAR(G272),YEAR(G272)+1)</f>
        <v/>
      </c>
      <c r="D272" s="204">
        <f>+C272+1</f>
        <v/>
      </c>
      <c r="E272" s="203">
        <f>IF(C272&gt;C271,1,E271+1)</f>
        <v/>
      </c>
      <c r="F272" s="203">
        <f>COUNTIF(C:C,C272)</f>
        <v/>
      </c>
      <c r="G272" s="198">
        <f>+G271+7</f>
        <v/>
      </c>
      <c r="H272" s="361">
        <f>IF(ISBLANK(CO272),CP272,SUMPRODUCT(CO$32:CP$32,CO272:CP272))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12.65865859053323</v>
      </c>
      <c r="CP272" s="199" t="n">
        <v>3.63</v>
      </c>
      <c r="CR272" s="199" t="n">
        <v>11.16</v>
      </c>
      <c r="CS272" s="970" t="n">
        <v>0.88161</v>
      </c>
    </row>
    <row r="273">
      <c r="B273" s="204">
        <f>+C273-1</f>
        <v/>
      </c>
      <c r="C273" s="204">
        <f>IF('bands_A-H_Avg'!$D$9+1&gt;MONTH(G273),YEAR(G273),YEAR(G273)+1)</f>
        <v/>
      </c>
      <c r="D273" s="204">
        <f>+C273+1</f>
        <v/>
      </c>
      <c r="E273" s="203">
        <f>IF(C273&gt;C272,1,E272+1)</f>
        <v/>
      </c>
      <c r="F273" s="203">
        <f>COUNTIF(C:C,C273)</f>
        <v/>
      </c>
      <c r="G273" s="198">
        <f>+G272+7</f>
        <v/>
      </c>
      <c r="H273" s="361">
        <f>IF(ISBLANK(CO273),CP273,SUMPRODUCT(CO$32:CP$32,CO273:CP273))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12.56948383437323</v>
      </c>
      <c r="CP273" s="199" t="n">
        <v>3.6</v>
      </c>
      <c r="CR273" s="199" t="n">
        <v>11.08</v>
      </c>
      <c r="CS273" s="970" t="n">
        <v>0.8815</v>
      </c>
    </row>
    <row r="274">
      <c r="B274" s="204">
        <f>+C274-1</f>
        <v/>
      </c>
      <c r="C274" s="204">
        <f>IF('bands_A-H_Avg'!$D$9+1&gt;MONTH(G274),YEAR(G274),YEAR(G274)+1)</f>
        <v/>
      </c>
      <c r="D274" s="204">
        <f>+C274+1</f>
        <v/>
      </c>
      <c r="E274" s="203">
        <f>IF(C274&gt;C273,1,E273+1)</f>
        <v/>
      </c>
      <c r="F274" s="203">
        <f>COUNTIF(C:C,C274)</f>
        <v/>
      </c>
      <c r="G274" s="198">
        <f>+G273+7</f>
        <v/>
      </c>
      <c r="H274" s="361">
        <f>IF(ISBLANK(CO274),CP274,SUMPRODUCT(CO$32:CP$32,CO274:CP274))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12.5469375716117</v>
      </c>
      <c r="CP274" s="199" t="n">
        <v>3.61</v>
      </c>
      <c r="CR274" s="199" t="n">
        <v>11.06</v>
      </c>
      <c r="CS274" s="970" t="n">
        <v>0.88149</v>
      </c>
    </row>
    <row r="275">
      <c r="B275" s="204">
        <f>+C275-1</f>
        <v/>
      </c>
      <c r="C275" s="204">
        <f>IF('bands_A-H_Avg'!$D$9+1&gt;MONTH(G275),YEAR(G275),YEAR(G275)+1)</f>
        <v/>
      </c>
      <c r="D275" s="204">
        <f>+C275+1</f>
        <v/>
      </c>
      <c r="E275" s="203">
        <f>IF(C275&gt;C274,1,E274+1)</f>
        <v/>
      </c>
      <c r="F275" s="203">
        <f>COUNTIF(C:C,C275)</f>
        <v/>
      </c>
      <c r="G275" s="198">
        <f>+G274+7</f>
        <v/>
      </c>
      <c r="H275" s="361">
        <f>IF(ISBLANK(CO275),CP275,SUMPRODUCT(CO$32:CP$32,CO275:CP275))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14.40627977675938</v>
      </c>
      <c r="CP275" s="199" t="n">
        <v>4.07</v>
      </c>
      <c r="CR275" s="199" t="n">
        <v>12.7</v>
      </c>
      <c r="CS275" s="970" t="n">
        <v>0.88156</v>
      </c>
    </row>
    <row r="276">
      <c r="B276" s="204">
        <f>+C276-1</f>
        <v/>
      </c>
      <c r="C276" s="204">
        <f>IF('bands_A-H_Avg'!$D$9+1&gt;MONTH(G276),YEAR(G276),YEAR(G276)+1)</f>
        <v/>
      </c>
      <c r="D276" s="204">
        <f>+C276+1</f>
        <v/>
      </c>
      <c r="E276" s="203">
        <f>IF(C276&gt;C275,1,E275+1)</f>
        <v/>
      </c>
      <c r="F276" s="203">
        <f>COUNTIF(C:C,C276)</f>
        <v/>
      </c>
      <c r="G276" s="198">
        <f>+G275+7</f>
        <v/>
      </c>
      <c r="H276" s="361">
        <f>IF(ISBLANK(CO276),CP276,SUMPRODUCT(CO$32:CP$32,CO276:CP276))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13.1259501281964</v>
      </c>
      <c r="CP276" s="199" t="n">
        <v>3.84</v>
      </c>
      <c r="CR276" s="199" t="n">
        <v>11.57</v>
      </c>
      <c r="CS276" s="970" t="n">
        <v>0.88146</v>
      </c>
    </row>
    <row r="277">
      <c r="B277" s="204">
        <f>+C277-1</f>
        <v/>
      </c>
      <c r="C277" s="204">
        <f>IF('bands_A-H_Avg'!$D$9+1&gt;MONTH(G277),YEAR(G277),YEAR(G277)+1)</f>
        <v/>
      </c>
      <c r="D277" s="204">
        <f>+C277+1</f>
        <v/>
      </c>
      <c r="E277" s="203">
        <f>IF(C277&gt;C276,1,E276+1)</f>
        <v/>
      </c>
      <c r="F277" s="203">
        <f>COUNTIF(C:C,C277)</f>
        <v/>
      </c>
      <c r="G277" s="198">
        <f>+G276+7</f>
        <v/>
      </c>
      <c r="H277" s="361">
        <f>IF(ISBLANK(CO277),CP277,SUMPRODUCT(CO$32:CP$32,CO277:CP277))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11.43142280387398</v>
      </c>
      <c r="CP277" s="199" t="n">
        <v>3.73</v>
      </c>
      <c r="CR277" s="199" t="n">
        <v>10.08</v>
      </c>
      <c r="CS277" s="970" t="n">
        <v>0.88178</v>
      </c>
    </row>
    <row r="278">
      <c r="B278" s="204">
        <f>+C278-1</f>
        <v/>
      </c>
      <c r="C278" s="204">
        <f>IF('bands_A-H_Avg'!$D$9+1&gt;MONTH(G278),YEAR(G278),YEAR(G278)+1)</f>
        <v/>
      </c>
      <c r="D278" s="204">
        <f>+C278+1</f>
        <v/>
      </c>
      <c r="E278" s="203">
        <f>IF(C278&gt;C277,1,E277+1)</f>
        <v/>
      </c>
      <c r="F278" s="203">
        <f>COUNTIF(C:C,C278)</f>
        <v/>
      </c>
      <c r="G278" s="198">
        <f>+G277+7</f>
        <v/>
      </c>
      <c r="H278" s="361">
        <f>IF(ISBLANK(CO278),CP278,SUMPRODUCT(CO$32:CP$32,CO278:CP278))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11.01718953877574</v>
      </c>
      <c r="CP278" s="199" t="n">
        <v>3.59</v>
      </c>
      <c r="CR278" s="199" t="n">
        <v>9.710000000000001</v>
      </c>
      <c r="CS278" s="970" t="n">
        <v>0.88135</v>
      </c>
    </row>
    <row r="279">
      <c r="B279" s="204">
        <f>+C279-1</f>
        <v/>
      </c>
      <c r="C279" s="204">
        <f>IF('bands_A-H_Avg'!$D$9+1&gt;MONTH(G279),YEAR(G279),YEAR(G279)+1)</f>
        <v/>
      </c>
      <c r="D279" s="204">
        <f>+C279+1</f>
        <v/>
      </c>
      <c r="E279" s="203">
        <f>IF(C279&gt;C278,1,E278+1)</f>
        <v/>
      </c>
      <c r="F279" s="203">
        <f>COUNTIF(C:C,C279)</f>
        <v/>
      </c>
      <c r="G279" s="198">
        <f>+G278+7</f>
        <v/>
      </c>
      <c r="H279" s="361">
        <f>IF(ISBLANK(CO279),CP279,SUMPRODUCT(CO$32:CP$32,CO279:CP279))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10.54268140448035</v>
      </c>
      <c r="CP279" s="199" t="n">
        <v>3.68</v>
      </c>
      <c r="CR279" s="199" t="n">
        <v>9.289999999999999</v>
      </c>
      <c r="CS279" s="970" t="n">
        <v>0.88118</v>
      </c>
    </row>
    <row r="280">
      <c r="B280" s="204">
        <f>+C280-1</f>
        <v/>
      </c>
      <c r="C280" s="204">
        <f>IF('bands_A-H_Avg'!$D$9+1&gt;MONTH(G280),YEAR(G280),YEAR(G280)+1)</f>
        <v/>
      </c>
      <c r="D280" s="204">
        <f>+C280+1</f>
        <v/>
      </c>
      <c r="E280" s="203">
        <f>IF(C280&gt;C279,1,E279+1)</f>
        <v/>
      </c>
      <c r="F280" s="203">
        <f>COUNTIF(C:C,C280)</f>
        <v/>
      </c>
      <c r="G280" s="198">
        <f>+G279+7</f>
        <v/>
      </c>
      <c r="H280" s="361">
        <f>IF(ISBLANK(CO280),CP280,SUMPRODUCT(CO$32:CP$32,CO280:CP280))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10.42872381471142</v>
      </c>
      <c r="CP280" s="199" t="n">
        <v>3.72</v>
      </c>
      <c r="CR280" s="199" t="n">
        <v>9.19</v>
      </c>
      <c r="CS280" s="970" t="n">
        <v>0.88122</v>
      </c>
    </row>
    <row r="281">
      <c r="B281" s="204">
        <f>+C281-1</f>
        <v/>
      </c>
      <c r="C281" s="204">
        <f>IF('bands_A-H_Avg'!$D$9+1&gt;MONTH(G281),YEAR(G281),YEAR(G281)+1)</f>
        <v/>
      </c>
      <c r="D281" s="204">
        <f>+C281+1</f>
        <v/>
      </c>
      <c r="E281" s="203">
        <f>IF(C281&gt;C280,1,E280+1)</f>
        <v/>
      </c>
      <c r="F281" s="203">
        <f>COUNTIF(C:C,C281)</f>
        <v/>
      </c>
      <c r="G281" s="198">
        <f>+G280+7</f>
        <v/>
      </c>
      <c r="H281" s="361">
        <f>IF(ISBLANK(CO281),CP281,SUMPRODUCT(CO$32:CP$32,CO281:CP281))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10.59966407916837</v>
      </c>
      <c r="CP281" s="199" t="n">
        <v>3.86</v>
      </c>
      <c r="CR281" s="199" t="n">
        <v>9.34</v>
      </c>
      <c r="CS281" s="970" t="n">
        <v>0.8811600000000001</v>
      </c>
    </row>
    <row r="282">
      <c r="B282" s="204">
        <f>+C282-1</f>
        <v/>
      </c>
      <c r="C282" s="204">
        <f>IF('bands_A-H_Avg'!$D$9+1&gt;MONTH(G282),YEAR(G282),YEAR(G282)+1)</f>
        <v/>
      </c>
      <c r="D282" s="204">
        <f>+C282+1</f>
        <v/>
      </c>
      <c r="E282" s="203">
        <f>IF(C282&gt;C281,1,E281+1)</f>
        <v/>
      </c>
      <c r="F282" s="203">
        <f>COUNTIF(C:C,C282)</f>
        <v/>
      </c>
      <c r="G282" s="198">
        <f>+G281+7</f>
        <v/>
      </c>
      <c r="H282" s="361">
        <f>IF(ISBLANK(CO282),CP282,SUMPRODUCT(CO$32:CP$32,CO282:CP282))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10.84069289622449</v>
      </c>
      <c r="CP282" s="199" t="n">
        <v>3.78</v>
      </c>
      <c r="CR282" s="199" t="n">
        <v>9.550000000000001</v>
      </c>
      <c r="CS282" s="970" t="n">
        <v>0.8809399999999999</v>
      </c>
    </row>
    <row r="283">
      <c r="B283" s="204">
        <f>+C283-1</f>
        <v/>
      </c>
      <c r="C283" s="204">
        <f>IF('bands_A-H_Avg'!$D$9+1&gt;MONTH(G283),YEAR(G283),YEAR(G283)+1)</f>
        <v/>
      </c>
      <c r="D283" s="204">
        <f>+C283+1</f>
        <v/>
      </c>
      <c r="E283" s="203">
        <f>IF(C283&gt;C282,1,E282+1)</f>
        <v/>
      </c>
      <c r="F283" s="203">
        <f>COUNTIF(C:C,C283)</f>
        <v/>
      </c>
      <c r="G283" s="198">
        <f>+G282+7</f>
        <v/>
      </c>
      <c r="H283" s="361">
        <f>IF(ISBLANK(CO283),CP283,SUMPRODUCT(CO$32:CP$32,CO283:CP283))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10.43038089617288</v>
      </c>
      <c r="CP283" s="199" t="n">
        <v>3.78</v>
      </c>
      <c r="CR283" s="199" t="n">
        <v>9.19</v>
      </c>
      <c r="CS283" s="970" t="n">
        <v>0.88108</v>
      </c>
    </row>
    <row r="284">
      <c r="B284" s="204">
        <f>+C284-1</f>
        <v/>
      </c>
      <c r="C284" s="204">
        <f>IF('bands_A-H_Avg'!$D$9+1&gt;MONTH(G284),YEAR(G284),YEAR(G284)+1)</f>
        <v/>
      </c>
      <c r="D284" s="204">
        <f>+C284+1</f>
        <v/>
      </c>
      <c r="E284" s="203">
        <f>IF(C284&gt;C283,1,E283+1)</f>
        <v/>
      </c>
      <c r="F284" s="203">
        <f>COUNTIF(C:C,C284)</f>
        <v/>
      </c>
      <c r="G284" s="198">
        <f>+G283+7</f>
        <v/>
      </c>
      <c r="H284" s="361">
        <f>IF(ISBLANK(CO284),CP284,SUMPRODUCT(CO$32:CP$32,CO284:CP284))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10.20616684074293</v>
      </c>
      <c r="CP284" s="199" t="n">
        <v>3.63</v>
      </c>
      <c r="CR284" s="199" t="n">
        <v>8.99</v>
      </c>
      <c r="CS284" s="970" t="n">
        <v>0.88084</v>
      </c>
    </row>
    <row r="285">
      <c r="B285" s="204">
        <f>+C285-1</f>
        <v/>
      </c>
      <c r="C285" s="204">
        <f>IF('bands_A-H_Avg'!$D$9+1&gt;MONTH(G285),YEAR(G285),YEAR(G285)+1)</f>
        <v/>
      </c>
      <c r="D285" s="204">
        <f>+C285+1</f>
        <v/>
      </c>
      <c r="E285" s="203">
        <f>IF(C285&gt;C284,1,E284+1)</f>
        <v/>
      </c>
      <c r="F285" s="203">
        <f>COUNTIF(C:C,C285)</f>
        <v/>
      </c>
      <c r="G285" s="198">
        <f>+G284+7</f>
        <v/>
      </c>
      <c r="H285" s="361">
        <f>IF(ISBLANK(CO285),CP285,SUMPRODUCT(CO$32:CP$32,CO285:CP285))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10.61655501305779</v>
      </c>
      <c r="CP285" s="199" t="n">
        <v>3.83</v>
      </c>
      <c r="CR285" s="199" t="n">
        <v>9.35</v>
      </c>
      <c r="CS285" s="970" t="n">
        <v>0.8807</v>
      </c>
    </row>
    <row r="286">
      <c r="B286" s="204">
        <f>+C286-1</f>
        <v/>
      </c>
      <c r="C286" s="204">
        <f>IF('bands_A-H_Avg'!$D$9+1&gt;MONTH(G286),YEAR(G286),YEAR(G286)+1)</f>
        <v/>
      </c>
      <c r="D286" s="204">
        <f>+C286+1</f>
        <v/>
      </c>
      <c r="E286" s="203">
        <f>IF(C286&gt;C285,1,E285+1)</f>
        <v/>
      </c>
      <c r="F286" s="203">
        <f>COUNTIF(C:C,C286)</f>
        <v/>
      </c>
      <c r="G286" s="198">
        <f>+G285+7</f>
        <v/>
      </c>
      <c r="H286" s="361">
        <f>IF(ISBLANK(CO286),CP286,SUMPRODUCT(CO$32:CP$32,CO286:CP286))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10.72839562236047</v>
      </c>
      <c r="CP286" s="199" t="n">
        <v>3.83</v>
      </c>
      <c r="CR286" s="199" t="n">
        <v>9.449999999999999</v>
      </c>
      <c r="CS286" s="970" t="n">
        <v>0.88084</v>
      </c>
    </row>
    <row r="287">
      <c r="B287" s="204">
        <f>+C287-1</f>
        <v/>
      </c>
      <c r="C287" s="204">
        <f>IF('bands_A-H_Avg'!$D$9+1&gt;MONTH(G287),YEAR(G287),YEAR(G287)+1)</f>
        <v/>
      </c>
      <c r="D287" s="204">
        <f>+C287+1</f>
        <v/>
      </c>
      <c r="E287" s="203">
        <f>IF(C287&gt;C286,1,E286+1)</f>
        <v/>
      </c>
      <c r="F287" s="203">
        <f>COUNTIF(C:C,C287)</f>
        <v/>
      </c>
      <c r="G287" s="198">
        <f>+G286+7</f>
        <v/>
      </c>
      <c r="H287" s="361">
        <f>IF(ISBLANK(CO287),CP287,SUMPRODUCT(CO$32:CP$32,CO287:CP287))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10.98651654787306</v>
      </c>
      <c r="CP287" s="199" t="n">
        <v>3.95</v>
      </c>
      <c r="CR287" s="199" t="n">
        <v>9.68</v>
      </c>
      <c r="CS287" s="970" t="n">
        <v>0.88108</v>
      </c>
    </row>
    <row r="288">
      <c r="B288" s="204">
        <f>+C288-1</f>
        <v/>
      </c>
      <c r="C288" s="204">
        <f>IF('bands_A-H_Avg'!$D$9+1&gt;MONTH(G288),YEAR(G288),YEAR(G288)+1)</f>
        <v/>
      </c>
      <c r="D288" s="204">
        <f>+C288+1</f>
        <v/>
      </c>
      <c r="E288" s="203">
        <f>IF(C288&gt;C287,1,E287+1)</f>
        <v/>
      </c>
      <c r="F288" s="203">
        <f>COUNTIF(C:C,C288)</f>
        <v/>
      </c>
      <c r="G288" s="198">
        <f>+G287+7</f>
        <v/>
      </c>
      <c r="H288" s="361">
        <f>IF(ISBLANK(CO288),CP288,SUMPRODUCT(CO$32:CP$32,CO288:CP288))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10.44327146830127</v>
      </c>
      <c r="CP288" s="199" t="n">
        <v>3.72</v>
      </c>
      <c r="CR288" s="199" t="n">
        <v>9.199999999999999</v>
      </c>
      <c r="CS288" s="970" t="n">
        <v>0.88095</v>
      </c>
    </row>
    <row r="289">
      <c r="B289" s="204">
        <f>+C289-1</f>
        <v/>
      </c>
      <c r="C289" s="204">
        <f>IF('bands_A-H_Avg'!$D$9+1&gt;MONTH(G289),YEAR(G289),YEAR(G289)+1)</f>
        <v/>
      </c>
      <c r="D289" s="204">
        <f>+C289+1</f>
        <v/>
      </c>
      <c r="E289" s="203">
        <f>IF(C289&gt;C288,1,E288+1)</f>
        <v/>
      </c>
      <c r="F289" s="203">
        <f>COUNTIF(C:C,C289)</f>
        <v/>
      </c>
      <c r="G289" s="198">
        <f>+G288+7</f>
        <v/>
      </c>
      <c r="H289" s="361">
        <f>IF(ISBLANK(CO289),CP289,SUMPRODUCT(CO$32:CP$32,CO289:CP289))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11.4311012225716</v>
      </c>
      <c r="CP289" s="199" t="n">
        <v>3.79</v>
      </c>
      <c r="CR289" s="199" t="n">
        <v>10.07</v>
      </c>
      <c r="CS289" s="970" t="n">
        <v>0.88093</v>
      </c>
    </row>
    <row r="290">
      <c r="B290" s="204">
        <f>+C290-1</f>
        <v/>
      </c>
      <c r="C290" s="204">
        <f>IF('bands_A-H_Avg'!$D$9+1&gt;MONTH(G290),YEAR(G290),YEAR(G290)+1)</f>
        <v/>
      </c>
      <c r="D290" s="204">
        <f>+C290+1</f>
        <v/>
      </c>
      <c r="E290" s="203">
        <f>IF(C290&gt;C289,1,E289+1)</f>
        <v/>
      </c>
      <c r="F290" s="203">
        <f>COUNTIF(C:C,C290)</f>
        <v/>
      </c>
      <c r="G290" s="198">
        <f>+G289+7</f>
        <v/>
      </c>
      <c r="H290" s="361">
        <f>IF(ISBLANK(CO290),CP290,SUMPRODUCT(CO$32:CP$32,CO290:CP290))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11.86448375303708</v>
      </c>
      <c r="CP290" s="199" t="n">
        <v>3.8</v>
      </c>
      <c r="CR290" s="199" t="n">
        <v>10.45</v>
      </c>
      <c r="CS290" s="970" t="n">
        <v>0.88078</v>
      </c>
    </row>
    <row r="291">
      <c r="B291" s="204">
        <f>+C291-1</f>
        <v/>
      </c>
      <c r="C291" s="204">
        <f>IF('bands_A-H_Avg'!$D$9+1&gt;MONTH(G291),YEAR(G291),YEAR(G291)+1)</f>
        <v/>
      </c>
      <c r="D291" s="204">
        <f>+C291+1</f>
        <v/>
      </c>
      <c r="E291" s="203">
        <f>IF(C291&gt;C290,1,E290+1)</f>
        <v/>
      </c>
      <c r="F291" s="203">
        <f>COUNTIF(C:C,C291)</f>
        <v/>
      </c>
      <c r="G291" s="198">
        <f>+G290+7</f>
        <v/>
      </c>
      <c r="H291" s="361">
        <f>IF(ISBLANK(CO291),CP291,SUMPRODUCT(CO$32:CP$32,CO291:CP291))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12.33853208926423</v>
      </c>
      <c r="CP291" s="199" t="n">
        <v>3.85</v>
      </c>
      <c r="CR291" s="199" t="n">
        <v>10.87</v>
      </c>
      <c r="CS291" s="970" t="n">
        <v>0.88098</v>
      </c>
    </row>
    <row r="292">
      <c r="B292" s="204">
        <f>+C292-1</f>
        <v/>
      </c>
      <c r="C292" s="204">
        <f>IF('bands_A-H_Avg'!$D$9+1&gt;MONTH(G292),YEAR(G292),YEAR(G292)+1)</f>
        <v/>
      </c>
      <c r="D292" s="204">
        <f>+C292+1</f>
        <v/>
      </c>
      <c r="E292" s="203">
        <f>IF(C292&gt;C291,1,E291+1)</f>
        <v/>
      </c>
      <c r="F292" s="203">
        <f>COUNTIF(C:C,C292)</f>
        <v/>
      </c>
      <c r="G292" s="198">
        <f>+G291+7</f>
        <v/>
      </c>
      <c r="H292" s="361">
        <f>IF(ISBLANK(CO292),CP292,SUMPRODUCT(CO$32:CP$32,CO292:CP292))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11.22511520214287</v>
      </c>
      <c r="CP292" s="199" t="n">
        <v>3.48</v>
      </c>
      <c r="CR292" s="199" t="n">
        <v>9.890000000000001</v>
      </c>
      <c r="CS292" s="970" t="n">
        <v>0.88106</v>
      </c>
    </row>
    <row r="293">
      <c r="B293" s="204">
        <f>+C293-1</f>
        <v/>
      </c>
      <c r="C293" s="204">
        <f>IF('bands_A-H_Avg'!$D$9+1&gt;MONTH(G293),YEAR(G293),YEAR(G293)+1)</f>
        <v/>
      </c>
      <c r="D293" s="204">
        <f>+C293+1</f>
        <v/>
      </c>
      <c r="E293" s="203">
        <f>IF(C293&gt;C292,1,E292+1)</f>
        <v/>
      </c>
      <c r="F293" s="203">
        <f>COUNTIF(C:C,C293)</f>
        <v/>
      </c>
      <c r="G293" s="198">
        <f>+G292+7</f>
        <v/>
      </c>
      <c r="H293" s="361">
        <f>IF(ISBLANK(CO293),CP293,SUMPRODUCT(CO$32:CP$32,CO293:CP293))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11.47715920443193</v>
      </c>
      <c r="CP293" s="199" t="n">
        <v>3.64</v>
      </c>
      <c r="CR293" s="199" t="n">
        <v>10.11</v>
      </c>
      <c r="CS293" s="970" t="n">
        <v>0.88088</v>
      </c>
    </row>
    <row r="294">
      <c r="B294" s="204">
        <f>+C294-1</f>
        <v/>
      </c>
      <c r="C294" s="204">
        <f>IF('bands_A-H_Avg'!$D$9+1&gt;MONTH(G294),YEAR(G294),YEAR(G294)+1)</f>
        <v/>
      </c>
      <c r="D294" s="204">
        <f>+C294+1</f>
        <v/>
      </c>
      <c r="E294" s="203">
        <f>IF(C294&gt;C293,1,E293+1)</f>
        <v/>
      </c>
      <c r="F294" s="203">
        <f>COUNTIF(C:C,C294)</f>
        <v/>
      </c>
      <c r="G294" s="198">
        <f>+G293+7</f>
        <v/>
      </c>
      <c r="H294" s="361">
        <f>IF(ISBLANK(CO294),CP294,SUMPRODUCT(CO$32:CP$32,CO294:CP294))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11.49947213676766</v>
      </c>
      <c r="CP294" s="199" t="n">
        <v>3.53</v>
      </c>
      <c r="CR294" s="199" t="n">
        <v>10.13</v>
      </c>
      <c r="CS294" s="970" t="n">
        <v>0.88091</v>
      </c>
    </row>
    <row r="295">
      <c r="B295" s="204">
        <f>+C295-1</f>
        <v/>
      </c>
      <c r="C295" s="204">
        <f>IF('bands_A-H_Avg'!$D$9+1&gt;MONTH(G295),YEAR(G295),YEAR(G295)+1)</f>
        <v/>
      </c>
      <c r="D295" s="204">
        <f>+C295+1</f>
        <v/>
      </c>
      <c r="E295" s="203">
        <f>IF(C295&gt;C294,1,E294+1)</f>
        <v/>
      </c>
      <c r="F295" s="203">
        <f>COUNTIF(C:C,C295)</f>
        <v/>
      </c>
      <c r="G295" s="198">
        <f>+G294+7</f>
        <v/>
      </c>
      <c r="H295" s="361">
        <f>IF(ISBLANK(CO295),CP295,SUMPRODUCT(CO$32:CP$32,CO295:CP295))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10.49844909274766</v>
      </c>
      <c r="CP295" s="199" t="n">
        <v>3.27</v>
      </c>
      <c r="CR295" s="199" t="n">
        <v>9.24</v>
      </c>
      <c r="CS295" s="970" t="n">
        <v>0.88013</v>
      </c>
    </row>
    <row r="296">
      <c r="B296" s="204">
        <f>+C296-1</f>
        <v/>
      </c>
      <c r="C296" s="204">
        <f>IF('bands_A-H_Avg'!$D$9+1&gt;MONTH(G296),YEAR(G296),YEAR(G296)+1)</f>
        <v/>
      </c>
      <c r="D296" s="204">
        <f>+C296+1</f>
        <v/>
      </c>
      <c r="E296" s="203">
        <f>IF(C296&gt;C295,1,E295+1)</f>
        <v/>
      </c>
      <c r="F296" s="203">
        <f>COUNTIF(C:C,C296)</f>
        <v/>
      </c>
      <c r="G296" s="198">
        <f>+G295+7</f>
        <v/>
      </c>
      <c r="H296" s="361">
        <f>IF(ISBLANK(CO296),CP296,SUMPRODUCT(CO$32:CP$32,CO296:CP296))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10.56554043307355</v>
      </c>
      <c r="CP296" s="199" t="n">
        <v>3.49</v>
      </c>
      <c r="CR296" s="199" t="n">
        <v>9.300000000000001</v>
      </c>
      <c r="CS296" s="970" t="n">
        <v>0.88022</v>
      </c>
    </row>
    <row r="297">
      <c r="B297" s="204">
        <f>+C297-1</f>
        <v/>
      </c>
      <c r="C297" s="204">
        <f>IF('bands_A-H_Avg'!$D$9+1&gt;MONTH(G297),YEAR(G297),YEAR(G297)+1)</f>
        <v/>
      </c>
      <c r="D297" s="204">
        <f>+C297+1</f>
        <v/>
      </c>
      <c r="E297" s="203">
        <f>IF(C297&gt;C296,1,E296+1)</f>
        <v/>
      </c>
      <c r="F297" s="203">
        <f>COUNTIF(C:C,C297)</f>
        <v/>
      </c>
      <c r="G297" s="198">
        <f>+G296+7</f>
        <v/>
      </c>
      <c r="H297" s="361">
        <f>IF(ISBLANK(CO297),CP297,SUMPRODUCT(CO$32:CP$32,CO297:CP297))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10.92784442021083</v>
      </c>
      <c r="CP297" s="199" t="n">
        <v>3.59</v>
      </c>
      <c r="CR297" s="199" t="n">
        <v>9.619999999999999</v>
      </c>
      <c r="CS297" s="970" t="n">
        <v>0.88032</v>
      </c>
    </row>
    <row r="298">
      <c r="B298" s="204">
        <f>+C298-1</f>
        <v/>
      </c>
      <c r="C298" s="204">
        <f>IF('bands_A-H_Avg'!$D$9+1&gt;MONTH(G298),YEAR(G298),YEAR(G298)+1)</f>
        <v/>
      </c>
      <c r="D298" s="204">
        <f>+C298+1</f>
        <v/>
      </c>
      <c r="E298" s="203">
        <f>IF(C298&gt;C297,1,E297+1)</f>
        <v/>
      </c>
      <c r="F298" s="203">
        <f>COUNTIF(C:C,C298)</f>
        <v/>
      </c>
      <c r="G298" s="198">
        <f>+G297+7</f>
        <v/>
      </c>
      <c r="H298" s="361">
        <f>IF(ISBLANK(CO298),CP298,SUMPRODUCT(CO$32:CP$32,CO298:CP298))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10.64421951856774</v>
      </c>
      <c r="CP298" s="199" t="n">
        <v>3.76</v>
      </c>
      <c r="CR298" s="199" t="n">
        <v>9.369999999999999</v>
      </c>
      <c r="CS298" s="970" t="n">
        <v>0.88029</v>
      </c>
    </row>
    <row r="299">
      <c r="B299" s="204">
        <f>+C299-1</f>
        <v/>
      </c>
      <c r="C299" s="204">
        <f>IF('bands_A-H_Avg'!$D$9+1&gt;MONTH(G299),YEAR(G299),YEAR(G299)+1)</f>
        <v/>
      </c>
      <c r="D299" s="204">
        <f>+C299+1</f>
        <v/>
      </c>
      <c r="E299" s="203">
        <f>IF(C299&gt;C298,1,E298+1)</f>
        <v/>
      </c>
      <c r="F299" s="203">
        <f>COUNTIF(C:C,C299)</f>
        <v/>
      </c>
      <c r="G299" s="198">
        <f>+G298+7</f>
        <v/>
      </c>
      <c r="H299" s="361">
        <f>IF(ISBLANK(CO299),CP299,SUMPRODUCT(CO$32:CP$32,CO299:CP299))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10.92393034147229</v>
      </c>
      <c r="CP299" s="199" t="n">
        <v>3.82</v>
      </c>
      <c r="CR299" s="199" t="n">
        <v>9.609999999999999</v>
      </c>
      <c r="CS299" s="970" t="n">
        <v>0.8797199999999999</v>
      </c>
    </row>
    <row r="300">
      <c r="B300" s="204">
        <f>+C300-1</f>
        <v/>
      </c>
      <c r="C300" s="204">
        <f>IF('bands_A-H_Avg'!$D$9+1&gt;MONTH(G300),YEAR(G300),YEAR(G300)+1)</f>
        <v/>
      </c>
      <c r="D300" s="204">
        <f>+C300+1</f>
        <v/>
      </c>
      <c r="E300" s="203">
        <f>IF(C300&gt;C299,1,E299+1)</f>
        <v/>
      </c>
      <c r="F300" s="203">
        <f>COUNTIF(C:C,C300)</f>
        <v/>
      </c>
      <c r="G300" s="198">
        <f>+G299+7</f>
        <v/>
      </c>
      <c r="H300" s="361">
        <f>IF(ISBLANK(CO300),CP300,SUMPRODUCT(CO$32:CP$32,CO300:CP300))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10.99764336213669</v>
      </c>
      <c r="CP300" s="199" t="n">
        <v>3.49</v>
      </c>
      <c r="CR300" s="199" t="n">
        <v>9.66</v>
      </c>
      <c r="CS300" s="970" t="n">
        <v>0.87837</v>
      </c>
    </row>
    <row r="301">
      <c r="B301" s="204">
        <f>+C301-1</f>
        <v/>
      </c>
      <c r="C301" s="204">
        <f>IF('bands_A-H_Avg'!$D$9+1&gt;MONTH(G301),YEAR(G301),YEAR(G301)+1)</f>
        <v/>
      </c>
      <c r="D301" s="204">
        <f>+C301+1</f>
        <v/>
      </c>
      <c r="E301" s="203">
        <f>IF(C301&gt;C300,1,E300+1)</f>
        <v/>
      </c>
      <c r="F301" s="203">
        <f>COUNTIF(C:C,C301)</f>
        <v/>
      </c>
      <c r="G301" s="198">
        <f>+G300+7</f>
        <v/>
      </c>
      <c r="H301" s="361">
        <f>IF(ISBLANK(CO301),CP301,SUMPRODUCT(CO$32:CP$32,CO301:CP301))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10.34984759565079</v>
      </c>
      <c r="CP301" s="199" t="n">
        <v>3.4</v>
      </c>
      <c r="CR301" s="199" t="n">
        <v>9.1</v>
      </c>
      <c r="CS301" s="970" t="n">
        <v>0.87924</v>
      </c>
    </row>
    <row r="302">
      <c r="B302" s="204">
        <f>+C302-1</f>
        <v/>
      </c>
      <c r="C302" s="204">
        <f>IF('bands_A-H_Avg'!$D$9+1&gt;MONTH(G302),YEAR(G302),YEAR(G302)+1)</f>
        <v/>
      </c>
      <c r="D302" s="204">
        <f>+C302+1</f>
        <v/>
      </c>
      <c r="E302" s="203">
        <f>IF(C302&gt;C301,1,E301+1)</f>
        <v/>
      </c>
      <c r="F302" s="203">
        <f>COUNTIF(C:C,C302)</f>
        <v/>
      </c>
      <c r="G302" s="198">
        <f>+G301+7</f>
        <v/>
      </c>
      <c r="H302" s="361">
        <f>IF(ISBLANK(CO302),CP302,SUMPRODUCT(CO$32:CP$32,CO302:CP302))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9.98281180635394</v>
      </c>
      <c r="CP302" s="199" t="n">
        <v>3.32</v>
      </c>
      <c r="CR302" s="199" t="n">
        <v>8.77</v>
      </c>
      <c r="CS302" s="970" t="n">
        <v>0.87851</v>
      </c>
    </row>
    <row r="303">
      <c r="B303" s="204">
        <f>+C303-1</f>
        <v/>
      </c>
      <c r="C303" s="204">
        <f>IF('bands_A-H_Avg'!$D$9+1&gt;MONTH(G303),YEAR(G303),YEAR(G303)+1)</f>
        <v/>
      </c>
      <c r="D303" s="204">
        <f>+C303+1</f>
        <v/>
      </c>
      <c r="E303" s="203">
        <f>IF(C303&gt;C302,1,E302+1)</f>
        <v/>
      </c>
      <c r="F303" s="203">
        <f>COUNTIF(C:C,C303)</f>
        <v/>
      </c>
      <c r="G303" s="198">
        <f>+G302+7</f>
        <v/>
      </c>
      <c r="H303" s="361">
        <f>IF(ISBLANK(CO303),CP303,SUMPRODUCT(CO$32:CP$32,CO303:CP303))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10.22229802717608</v>
      </c>
      <c r="CP303" s="199" t="n">
        <v>3.5</v>
      </c>
      <c r="CR303" s="199" t="n">
        <v>8.99</v>
      </c>
      <c r="CS303" s="970" t="n">
        <v>0.87945</v>
      </c>
    </row>
    <row r="304">
      <c r="B304" s="204">
        <f>+C304-1</f>
        <v/>
      </c>
      <c r="C304" s="204">
        <f>IF('bands_A-H_Avg'!$D$9+1&gt;MONTH(G304),YEAR(G304),YEAR(G304)+1)</f>
        <v/>
      </c>
      <c r="D304" s="204">
        <f>+C304+1</f>
        <v/>
      </c>
      <c r="E304" s="203">
        <f>IF(C304&gt;C303,1,E303+1)</f>
        <v/>
      </c>
      <c r="F304" s="203">
        <f>COUNTIF(C:C,C304)</f>
        <v/>
      </c>
      <c r="G304" s="198">
        <f>+G303+7</f>
        <v/>
      </c>
      <c r="H304" s="361">
        <f>IF(ISBLANK(CO304),CP304,SUMPRODUCT(CO$32:CP$32,CO304:CP304))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10.21648957327121</v>
      </c>
      <c r="CP304" s="199" t="n">
        <v>3.41</v>
      </c>
      <c r="CR304" s="199" t="n">
        <v>8.99</v>
      </c>
      <c r="CS304" s="970" t="n">
        <v>0.87995</v>
      </c>
    </row>
    <row r="305">
      <c r="B305" s="204">
        <f>+C305-1</f>
        <v/>
      </c>
      <c r="C305" s="204">
        <f>IF('bands_A-H_Avg'!$D$9+1&gt;MONTH(G305),YEAR(G305),YEAR(G305)+1)</f>
        <v/>
      </c>
      <c r="D305" s="204">
        <f>+C305+1</f>
        <v/>
      </c>
      <c r="E305" s="203">
        <f>IF(C305&gt;C304,1,E304+1)</f>
        <v/>
      </c>
      <c r="F305" s="203">
        <f>COUNTIF(C:C,C305)</f>
        <v/>
      </c>
      <c r="G305" s="198">
        <f>+G304+7</f>
        <v/>
      </c>
      <c r="H305" s="361">
        <f>IF(ISBLANK(CO305),CP305,SUMPRODUCT(CO$32:CP$32,CO305:CP305))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10.4167851253767</v>
      </c>
      <c r="CP305" s="199" t="n">
        <v>3.51</v>
      </c>
      <c r="CR305" s="199" t="n">
        <v>9.16</v>
      </c>
      <c r="CS305" s="970" t="n">
        <v>0.87935</v>
      </c>
    </row>
    <row r="306">
      <c r="B306" s="204">
        <f>+C306-1</f>
        <v/>
      </c>
      <c r="C306" s="204">
        <f>IF('bands_A-H_Avg'!$D$9+1&gt;MONTH(G306),YEAR(G306),YEAR(G306)+1)</f>
        <v/>
      </c>
      <c r="D306" s="204">
        <f>+C306+1</f>
        <v/>
      </c>
      <c r="E306" s="203">
        <f>IF(C306&gt;C305,1,E305+1)</f>
        <v/>
      </c>
      <c r="F306" s="203">
        <f>COUNTIF(C:C,C306)</f>
        <v/>
      </c>
      <c r="G306" s="198">
        <f>+G305+7</f>
        <v/>
      </c>
      <c r="H306" s="361">
        <f>IF(ISBLANK(CO306),CP306,SUMPRODUCT(CO$32:CP$32,CO306:CP306))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11.51921764839664</v>
      </c>
      <c r="CP306" s="199" t="n">
        <v>3.76</v>
      </c>
      <c r="CR306" s="199" t="n">
        <v>10.13</v>
      </c>
      <c r="CS306" s="970" t="n">
        <v>0.8794</v>
      </c>
    </row>
    <row r="307">
      <c r="B307" s="204">
        <f>+C307-1</f>
        <v/>
      </c>
      <c r="C307" s="204">
        <f>IF('bands_A-H_Avg'!$D$9+1&gt;MONTH(G307),YEAR(G307),YEAR(G307)+1)</f>
        <v/>
      </c>
      <c r="D307" s="204">
        <f>+C307+1</f>
        <v/>
      </c>
      <c r="E307" s="203">
        <f>IF(C307&gt;C306,1,E306+1)</f>
        <v/>
      </c>
      <c r="F307" s="203">
        <f>COUNTIF(C:C,C307)</f>
        <v/>
      </c>
      <c r="G307" s="198">
        <f>+G306+7</f>
        <v/>
      </c>
      <c r="H307" s="361">
        <f>IF(ISBLANK(CO307),CP307,SUMPRODUCT(CO$32:CP$32,CO307:CP307))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10.95591494391345</v>
      </c>
      <c r="CP307" s="199" t="n">
        <v>3.72</v>
      </c>
      <c r="CR307" s="199" t="n">
        <v>9.640000000000001</v>
      </c>
      <c r="CS307" s="970" t="n">
        <v>0.8798899999999999</v>
      </c>
    </row>
    <row r="308">
      <c r="B308" s="204">
        <f>+C308-1</f>
        <v/>
      </c>
      <c r="C308" s="204">
        <f>IF('bands_A-H_Avg'!$D$9+1&gt;MONTH(G308),YEAR(G308),YEAR(G308)+1)</f>
        <v/>
      </c>
      <c r="D308" s="204">
        <f>+C308+1</f>
        <v/>
      </c>
      <c r="E308" s="203">
        <f>IF(C308&gt;C307,1,E307+1)</f>
        <v/>
      </c>
      <c r="F308" s="203">
        <f>COUNTIF(C:C,C308)</f>
        <v/>
      </c>
      <c r="G308" s="198">
        <f>+G307+7</f>
        <v/>
      </c>
      <c r="H308" s="361">
        <f>IF(ISBLANK(CO308),CP308,SUMPRODUCT(CO$32:CP$32,CO308:CP308))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11.16175450959888</v>
      </c>
      <c r="CP308" s="199" t="n">
        <v>3.85</v>
      </c>
      <c r="CR308" s="199" t="n">
        <v>9.82</v>
      </c>
      <c r="CS308" s="970" t="n">
        <v>0.87979</v>
      </c>
    </row>
    <row r="309">
      <c r="B309" s="204">
        <f>+C309-1</f>
        <v/>
      </c>
      <c r="C309" s="204">
        <f>IF('bands_A-H_Avg'!$D$9+1&gt;MONTH(G309),YEAR(G309),YEAR(G309)+1)</f>
        <v/>
      </c>
      <c r="D309" s="204">
        <f>+C309+1</f>
        <v/>
      </c>
      <c r="E309" s="203">
        <f>IF(C309&gt;C308,1,E308+1)</f>
        <v/>
      </c>
      <c r="F309" s="203">
        <f>COUNTIF(C:C,C309)</f>
        <v/>
      </c>
      <c r="G309" s="198">
        <f>+G308+7</f>
        <v/>
      </c>
      <c r="H309" s="361">
        <f>IF(ISBLANK(CO309),CP309,SUMPRODUCT(CO$32:CP$32,CO309:CP309))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10.94952756711276</v>
      </c>
      <c r="CP309" s="199" t="n">
        <v>3.75</v>
      </c>
      <c r="CR309" s="199" t="n">
        <v>9.630000000000001</v>
      </c>
      <c r="CS309" s="970" t="n">
        <v>0.87949</v>
      </c>
    </row>
    <row r="310">
      <c r="B310" s="204">
        <f>+C310-1</f>
        <v/>
      </c>
      <c r="C310" s="204">
        <f>IF('bands_A-H_Avg'!$D$9+1&gt;MONTH(G310),YEAR(G310),YEAR(G310)+1)</f>
        <v/>
      </c>
      <c r="D310" s="204">
        <f>+C310+1</f>
        <v/>
      </c>
      <c r="E310" s="203">
        <f>IF(C310&gt;C309,1,E309+1)</f>
        <v/>
      </c>
      <c r="F310" s="203">
        <f>COUNTIF(C:C,C310)</f>
        <v/>
      </c>
      <c r="G310" s="198">
        <f>+G309+7</f>
        <v/>
      </c>
      <c r="H310" s="361">
        <f>IF(ISBLANK(CO310),CP310,SUMPRODUCT(CO$32:CP$32,CO310:CP310))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11.31165077269727</v>
      </c>
      <c r="CP310" s="199" t="n">
        <v>3.91</v>
      </c>
      <c r="CR310" s="199" t="n">
        <v>9.94</v>
      </c>
      <c r="CS310" s="970" t="n">
        <v>0.87874</v>
      </c>
    </row>
    <row r="311">
      <c r="B311" s="204">
        <f>+C311-1</f>
        <v/>
      </c>
      <c r="C311" s="204">
        <f>IF('bands_A-H_Avg'!$D$9+1&gt;MONTH(G311),YEAR(G311),YEAR(G311)+1)</f>
        <v/>
      </c>
      <c r="D311" s="204">
        <f>+C311+1</f>
        <v/>
      </c>
      <c r="E311" s="203">
        <f>IF(C311&gt;C310,1,E310+1)</f>
        <v/>
      </c>
      <c r="F311" s="203">
        <f>COUNTIF(C:C,C311)</f>
        <v/>
      </c>
      <c r="G311" s="198">
        <f>+G310+7</f>
        <v/>
      </c>
      <c r="H311" s="361">
        <f>IF(ISBLANK(CO311),CP311,SUMPRODUCT(CO$32:CP$32,CO311:CP311))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11.13902181202332</v>
      </c>
      <c r="CP311" s="199" t="n">
        <v>3.94</v>
      </c>
      <c r="CR311" s="199" t="n">
        <v>9.800000000000001</v>
      </c>
      <c r="CS311" s="970" t="n">
        <v>0.87979</v>
      </c>
    </row>
    <row r="312">
      <c r="B312" s="204">
        <f>+C312-1</f>
        <v/>
      </c>
      <c r="C312" s="204">
        <f>IF('bands_A-H_Avg'!$D$9+1&gt;MONTH(G312),YEAR(G312),YEAR(G312)+1)</f>
        <v/>
      </c>
      <c r="D312" s="204">
        <f>+C312+1</f>
        <v/>
      </c>
      <c r="E312" s="203">
        <f>IF(C312&gt;C311,1,E311+1)</f>
        <v/>
      </c>
      <c r="F312" s="203">
        <f>COUNTIF(C:C,C312)</f>
        <v/>
      </c>
      <c r="G312" s="198">
        <f>+G311+7</f>
        <v/>
      </c>
      <c r="H312" s="361">
        <f>IF(ISBLANK(CO312),CP312,SUMPRODUCT(CO$32:CP$32,CO312:CP312))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10.80208309644555</v>
      </c>
      <c r="CP312" s="199" t="n">
        <v>3.79</v>
      </c>
      <c r="CR312" s="199" t="n">
        <v>9.5</v>
      </c>
      <c r="CS312" s="970" t="n">
        <v>0.87946</v>
      </c>
    </row>
    <row r="313">
      <c r="B313" s="204">
        <f>+C313-1</f>
        <v/>
      </c>
      <c r="C313" s="204">
        <f>IF('bands_A-H_Avg'!$D$9+1&gt;MONTH(G313),YEAR(G313),YEAR(G313)+1)</f>
        <v/>
      </c>
      <c r="D313" s="204">
        <f>+C313+1</f>
        <v/>
      </c>
      <c r="E313" s="203">
        <f>IF(C313&gt;C312,1,E312+1)</f>
        <v/>
      </c>
      <c r="F313" s="203">
        <f>COUNTIF(C:C,C313)</f>
        <v/>
      </c>
      <c r="G313" s="198">
        <f>+G312+7</f>
        <v/>
      </c>
      <c r="H313" s="361">
        <f>IF(ISBLANK(CO313),CP313,SUMPRODUCT(CO$32:CP$32,CO313:CP313))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10.50596930073906</v>
      </c>
      <c r="CP313" s="199" t="n">
        <v>3.74</v>
      </c>
      <c r="CR313" s="199" t="n">
        <v>9.24</v>
      </c>
      <c r="CS313" s="970" t="n">
        <v>0.8794999999999999</v>
      </c>
    </row>
    <row r="314">
      <c r="B314" s="204">
        <f>+C314-1</f>
        <v/>
      </c>
      <c r="C314" s="204">
        <f>IF('bands_A-H_Avg'!$D$9+1&gt;MONTH(G314),YEAR(G314),YEAR(G314)+1)</f>
        <v/>
      </c>
      <c r="D314" s="204">
        <f>+C314+1</f>
        <v/>
      </c>
      <c r="E314" s="203">
        <f>IF(C314&gt;C313,1,E313+1)</f>
        <v/>
      </c>
      <c r="F314" s="203">
        <f>COUNTIF(C:C,C314)</f>
        <v/>
      </c>
      <c r="G314" s="198">
        <f>+G313+7</f>
        <v/>
      </c>
      <c r="H314" s="361">
        <f>IF(ISBLANK(CO314),CP314,SUMPRODUCT(CO$32:CP$32,CO314:CP314))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10.01035161360043</v>
      </c>
      <c r="CP314" s="199" t="n">
        <v>3.75</v>
      </c>
      <c r="CR314" s="199" t="n">
        <v>8.800000000000001</v>
      </c>
      <c r="CS314" s="970" t="n">
        <v>0.87909</v>
      </c>
    </row>
    <row r="315">
      <c r="B315" s="204">
        <f>+C315-1</f>
        <v/>
      </c>
      <c r="C315" s="204">
        <f>IF('bands_A-H_Avg'!$D$9+1&gt;MONTH(G315),YEAR(G315),YEAR(G315)+1)</f>
        <v/>
      </c>
      <c r="D315" s="204">
        <f>+C315+1</f>
        <v/>
      </c>
      <c r="E315" s="203">
        <f>IF(C315&gt;C314,1,E314+1)</f>
        <v/>
      </c>
      <c r="F315" s="203">
        <f>COUNTIF(C:C,C315)</f>
        <v/>
      </c>
      <c r="G315" s="198">
        <f>+G314+7</f>
        <v/>
      </c>
      <c r="H315" s="361">
        <f>IF(ISBLANK(CO315),CP315,SUMPRODUCT(CO$32:CP$32,CO315:CP315))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9.417935123425119</v>
      </c>
      <c r="CP315" s="199" t="n">
        <v>3.33</v>
      </c>
      <c r="CR315" s="199" t="n">
        <v>8.26</v>
      </c>
      <c r="CS315" s="970" t="n">
        <v>0.87705</v>
      </c>
    </row>
    <row r="316">
      <c r="B316" s="204">
        <f>+C316-1</f>
        <v/>
      </c>
      <c r="C316" s="204">
        <f>IF('bands_A-H_Avg'!$D$9+1&gt;MONTH(G316),YEAR(G316),YEAR(G316)+1)</f>
        <v/>
      </c>
      <c r="D316" s="204">
        <f>+C316+1</f>
        <v/>
      </c>
      <c r="E316" s="203">
        <f>IF(C316&gt;C315,1,E315+1)</f>
        <v/>
      </c>
      <c r="F316" s="203">
        <f>COUNTIF(C:C,C316)</f>
        <v/>
      </c>
      <c r="G316" s="198">
        <f>+G315+7</f>
        <v/>
      </c>
      <c r="H316" s="361">
        <f>IF(ISBLANK(CO316),CP316,SUMPRODUCT(CO$32:CP$32,CO316:CP316))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9.51175283128614</v>
      </c>
      <c r="CP316" s="199" t="n">
        <v>3.49</v>
      </c>
      <c r="CR316" s="199" t="n">
        <v>8.34</v>
      </c>
      <c r="CS316" s="970" t="n">
        <v>0.87681</v>
      </c>
    </row>
    <row r="317">
      <c r="B317" s="204">
        <f>+C317-1</f>
        <v/>
      </c>
      <c r="C317" s="204">
        <f>IF('bands_A-H_Avg'!$D$9+1&gt;MONTH(G317),YEAR(G317),YEAR(G317)+1)</f>
        <v/>
      </c>
      <c r="D317" s="204">
        <f>+C317+1</f>
        <v/>
      </c>
      <c r="E317" s="203">
        <f>IF(C317&gt;C316,1,E316+1)</f>
        <v/>
      </c>
      <c r="F317" s="203">
        <f>COUNTIF(C:C,C317)</f>
        <v/>
      </c>
      <c r="G317" s="198">
        <f>+G316+7</f>
        <v/>
      </c>
      <c r="H317" s="361">
        <f>IF(ISBLANK(CO317),CP317,SUMPRODUCT(CO$32:CP$32,CO317:CP317))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8.559608703602121</v>
      </c>
      <c r="CP317" s="199" t="n">
        <v>3.38</v>
      </c>
      <c r="CR317" s="199" t="n">
        <v>7.49</v>
      </c>
      <c r="CS317" s="970" t="n">
        <v>0.87504</v>
      </c>
    </row>
    <row r="318">
      <c r="B318" s="204">
        <f>+C318-1</f>
        <v/>
      </c>
      <c r="C318" s="204">
        <f>IF('bands_A-H_Avg'!$D$9+1&gt;MONTH(G318),YEAR(G318),YEAR(G318)+1)</f>
        <v/>
      </c>
      <c r="D318" s="204">
        <f>+C318+1</f>
        <v/>
      </c>
      <c r="E318" s="203">
        <f>IF(C318&gt;C317,1,E317+1)</f>
        <v/>
      </c>
      <c r="F318" s="203">
        <f>COUNTIF(C:C,C318)</f>
        <v/>
      </c>
      <c r="G318" s="198">
        <f>+G317+7</f>
        <v/>
      </c>
      <c r="H318" s="361">
        <f>IF(ISBLANK(CO318),CP318,SUMPRODUCT(CO$32:CP$32,CO318:CP318))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9.01732786137711</v>
      </c>
      <c r="CP318" s="199" t="n">
        <v>3.61</v>
      </c>
      <c r="CR318" s="199" t="n">
        <v>7.91</v>
      </c>
      <c r="CS318" s="970" t="n">
        <v>0.8772</v>
      </c>
    </row>
    <row r="319">
      <c r="B319" s="204">
        <f>+C319-1</f>
        <v/>
      </c>
      <c r="C319" s="204">
        <f>IF('bands_A-H_Avg'!$D$9+1&gt;MONTH(G319),YEAR(G319),YEAR(G319)+1)</f>
        <v/>
      </c>
      <c r="D319" s="204">
        <f>+C319+1</f>
        <v/>
      </c>
      <c r="E319" s="203">
        <f>IF(C319&gt;C318,1,E318+1)</f>
        <v/>
      </c>
      <c r="F319" s="203">
        <f>COUNTIF(C:C,C319)</f>
        <v/>
      </c>
      <c r="G319" s="198">
        <f>+G318+7</f>
        <v/>
      </c>
      <c r="H319" s="361">
        <f>IF(ISBLANK(CO319),CP319,SUMPRODUCT(CO$32:CP$32,CO319:CP319))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8.538227975252838</v>
      </c>
      <c r="CP319" s="199" t="n">
        <v>3.51</v>
      </c>
      <c r="CR319" s="199" t="n">
        <v>7.48</v>
      </c>
      <c r="CS319" s="970" t="n">
        <v>0.8760599999999999</v>
      </c>
    </row>
    <row r="320">
      <c r="B320" s="204">
        <f>+C320-1</f>
        <v/>
      </c>
      <c r="C320" s="204">
        <f>IF('bands_A-H_Avg'!$D$9+1&gt;MONTH(G320),YEAR(G320),YEAR(G320)+1)</f>
        <v/>
      </c>
      <c r="D320" s="204">
        <f>+C320+1</f>
        <v/>
      </c>
      <c r="E320" s="203">
        <f>IF(C320&gt;C319,1,E319+1)</f>
        <v/>
      </c>
      <c r="F320" s="203">
        <f>COUNTIF(C:C,C320)</f>
        <v/>
      </c>
      <c r="G320" s="198">
        <f>+G319+7</f>
        <v/>
      </c>
      <c r="H320" s="361">
        <f>IF(ISBLANK(CO320),CP320,SUMPRODUCT(CO$32:CP$32,CO320:CP320))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8.723714820052001</v>
      </c>
      <c r="CP320" s="199" t="n">
        <v>3.44</v>
      </c>
      <c r="CR320" s="199" t="n">
        <v>7.65</v>
      </c>
      <c r="CS320" s="970" t="n">
        <v>0.87692</v>
      </c>
    </row>
    <row r="321">
      <c r="B321" s="204">
        <f>+C321-1</f>
        <v/>
      </c>
      <c r="C321" s="204">
        <f>IF('bands_A-H_Avg'!$D$9+1&gt;MONTH(G321),YEAR(G321),YEAR(G321)+1)</f>
        <v/>
      </c>
      <c r="D321" s="204">
        <f>+C321+1</f>
        <v/>
      </c>
      <c r="E321" s="203">
        <f>IF(C321&gt;C320,1,E320+1)</f>
        <v/>
      </c>
      <c r="F321" s="203">
        <f>COUNTIF(C:C,C321)</f>
        <v/>
      </c>
      <c r="G321" s="198">
        <f>+G320+7</f>
        <v/>
      </c>
      <c r="H321" s="361">
        <f>IF(ISBLANK(CO321),CP321,SUMPRODUCT(CO$32:CP$32,CO321:CP321))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8.345399199662536</v>
      </c>
      <c r="CP321" s="199" t="n">
        <v>3.45</v>
      </c>
      <c r="CR321" s="199" t="n">
        <v>7.32</v>
      </c>
      <c r="CS321" s="970" t="n">
        <v>0.87713</v>
      </c>
    </row>
    <row r="322">
      <c r="B322" s="204">
        <f>+C322-1</f>
        <v/>
      </c>
      <c r="C322" s="204">
        <f>IF('bands_A-H_Avg'!$D$9+1&gt;MONTH(G322),YEAR(G322),YEAR(G322)+1)</f>
        <v/>
      </c>
      <c r="D322" s="204">
        <f>+C322+1</f>
        <v/>
      </c>
      <c r="E322" s="203">
        <f>IF(C322&gt;C321,1,E321+1)</f>
        <v/>
      </c>
      <c r="F322" s="203">
        <f>COUNTIF(C:C,C322)</f>
        <v/>
      </c>
      <c r="G322" s="198">
        <f>+G321+7</f>
        <v/>
      </c>
      <c r="H322" s="361">
        <f>IF(ISBLANK(CO322),CP322,SUMPRODUCT(CO$32:CP$32,CO322:CP322))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8.369590107625372</v>
      </c>
      <c r="CP322" s="199" t="n">
        <v>3.48</v>
      </c>
      <c r="CR322" s="199" t="n">
        <v>7.31</v>
      </c>
      <c r="CS322" s="970" t="n">
        <v>0.8734</v>
      </c>
    </row>
    <row r="323">
      <c r="B323" s="204">
        <f>+C323-1</f>
        <v/>
      </c>
      <c r="C323" s="204">
        <f>IF('bands_A-H_Avg'!$D$9+1&gt;MONTH(G323),YEAR(G323),YEAR(G323)+1)</f>
        <v/>
      </c>
      <c r="D323" s="204">
        <f>+C323+1</f>
        <v/>
      </c>
      <c r="E323" s="203">
        <f>IF(C323&gt;C322,1,E322+1)</f>
        <v/>
      </c>
      <c r="F323" s="203">
        <f>COUNTIF(C:C,C323)</f>
        <v/>
      </c>
      <c r="G323" s="198">
        <f>+G322+7</f>
        <v/>
      </c>
      <c r="H323" s="361">
        <f>IF(ISBLANK(CO323),CP323,SUMPRODUCT(CO$32:CP$32,CO323:CP323))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7.471277599981581</v>
      </c>
      <c r="CP323" s="199" t="n">
        <v>3.41</v>
      </c>
      <c r="CR323" s="199" t="n">
        <v>6.49</v>
      </c>
      <c r="CS323" s="970" t="n">
        <v>0.86866</v>
      </c>
    </row>
    <row r="324">
      <c r="B324" s="204">
        <f>+C324-1</f>
        <v/>
      </c>
      <c r="C324" s="204">
        <f>IF('bands_A-H_Avg'!$D$9+1&gt;MONTH(G324),YEAR(G324),YEAR(G324)+1)</f>
        <v/>
      </c>
      <c r="D324" s="204">
        <f>+C324+1</f>
        <v/>
      </c>
      <c r="E324" s="203">
        <f>IF(C324&gt;C323,1,E323+1)</f>
        <v/>
      </c>
      <c r="F324" s="203">
        <f>COUNTIF(C:C,C324)</f>
        <v/>
      </c>
      <c r="G324" s="198">
        <f>+G323+7</f>
        <v/>
      </c>
      <c r="H324" s="361">
        <f>IF(ISBLANK(CO324),CP324,SUMPRODUCT(CO$32:CP$32,CO324:CP324))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7.714793374219064</v>
      </c>
      <c r="CP324" s="199" t="n">
        <v>3.49</v>
      </c>
      <c r="CR324" s="199" t="n">
        <v>6.73</v>
      </c>
      <c r="CS324" s="970" t="n">
        <v>0.87235</v>
      </c>
    </row>
    <row r="325">
      <c r="B325" s="204">
        <f>+C325-1</f>
        <v/>
      </c>
      <c r="C325" s="204">
        <f>IF('bands_A-H_Avg'!$D$9+1&gt;MONTH(G325),YEAR(G325),YEAR(G325)+1)</f>
        <v/>
      </c>
      <c r="D325" s="204">
        <f>+C325+1</f>
        <v/>
      </c>
      <c r="E325" s="203">
        <f>IF(C325&gt;C324,1,E324+1)</f>
        <v/>
      </c>
      <c r="F325" s="203">
        <f>COUNTIF(C:C,C325)</f>
        <v/>
      </c>
      <c r="G325" s="198">
        <f>+G324+7</f>
        <v/>
      </c>
      <c r="H325" s="361">
        <f>IF(ISBLANK(CO325),CP325,SUMPRODUCT(CO$32:CP$32,CO325:CP325))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7.838771504975267</v>
      </c>
      <c r="CP325" s="199" t="n">
        <v>3.48</v>
      </c>
      <c r="CR325" s="199" t="n">
        <v>6.83</v>
      </c>
      <c r="CS325" s="970" t="n">
        <v>0.87131</v>
      </c>
    </row>
    <row r="326">
      <c r="B326" s="204">
        <f>+C326-1</f>
        <v/>
      </c>
      <c r="C326" s="204">
        <f>IF('bands_A-H_Avg'!$D$9+1&gt;MONTH(G326),YEAR(G326),YEAR(G326)+1)</f>
        <v/>
      </c>
      <c r="D326" s="204">
        <f>+C326+1</f>
        <v/>
      </c>
      <c r="E326" s="203">
        <f>IF(C326&gt;C325,1,E325+1)</f>
        <v/>
      </c>
      <c r="F326" s="203">
        <f>COUNTIF(C:C,C326)</f>
        <v/>
      </c>
      <c r="G326" s="198">
        <f>+G325+7</f>
        <v/>
      </c>
      <c r="H326" s="361">
        <f>IF(ISBLANK(CO326),CP326,SUMPRODUCT(CO$32:CP$32,CO326:CP326))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8.272606443925019</v>
      </c>
      <c r="CP326" s="199" t="n">
        <v>3.56</v>
      </c>
      <c r="CR326" s="199" t="n">
        <v>7.22</v>
      </c>
      <c r="CS326" s="970" t="n">
        <v>0.87276</v>
      </c>
    </row>
    <row r="327">
      <c r="B327" s="204">
        <f>+C327-1</f>
        <v/>
      </c>
      <c r="C327" s="204">
        <f>IF('bands_A-H_Avg'!$D$9+1&gt;MONTH(G327),YEAR(G327),YEAR(G327)+1)</f>
        <v/>
      </c>
      <c r="D327" s="204">
        <f>+C327+1</f>
        <v/>
      </c>
      <c r="E327" s="203">
        <f>IF(C327&gt;C326,1,E326+1)</f>
        <v/>
      </c>
      <c r="F327" s="203">
        <f>COUNTIF(C:C,C327)</f>
        <v/>
      </c>
      <c r="G327" s="198">
        <f>+G326+7</f>
        <v/>
      </c>
      <c r="H327" s="361">
        <f>IF(ISBLANK(CO327),CP327,SUMPRODUCT(CO$32:CP$32,CO327:CP327))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8.518297716224891</v>
      </c>
      <c r="CP327" s="199" t="n">
        <v>3.65</v>
      </c>
      <c r="CR327" s="199" t="n">
        <v>7.43</v>
      </c>
      <c r="CS327" s="970" t="n">
        <v>0.87224</v>
      </c>
    </row>
    <row r="328">
      <c r="B328" s="204">
        <f>+C328-1</f>
        <v/>
      </c>
      <c r="C328" s="204">
        <f>IF('bands_A-H_Avg'!$D$9+1&gt;MONTH(G328),YEAR(G328),YEAR(G328)+1)</f>
        <v/>
      </c>
      <c r="D328" s="204">
        <f>+C328+1</f>
        <v/>
      </c>
      <c r="E328" s="203">
        <f>IF(C328&gt;C327,1,E327+1)</f>
        <v/>
      </c>
      <c r="F328" s="203">
        <f>COUNTIF(C:C,C328)</f>
        <v/>
      </c>
      <c r="G328" s="198">
        <f>+G327+7</f>
        <v/>
      </c>
      <c r="H328" s="361">
        <f>IF(ISBLANK(CO328),CP328,SUMPRODUCT(CO$32:CP$32,CO328:CP328))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8.440463766786316</v>
      </c>
      <c r="CP328" s="199" t="n">
        <v>3.79</v>
      </c>
      <c r="CR328" s="199" t="n">
        <v>7.36</v>
      </c>
      <c r="CS328" s="970" t="n">
        <v>0.87199</v>
      </c>
    </row>
    <row r="329">
      <c r="B329" s="204">
        <f>+C329-1</f>
        <v/>
      </c>
      <c r="C329" s="204">
        <f>IF('bands_A-H_Avg'!$D$9+1&gt;MONTH(G329),YEAR(G329),YEAR(G329)+1)</f>
        <v/>
      </c>
      <c r="D329" s="204">
        <f>+C329+1</f>
        <v/>
      </c>
      <c r="E329" s="203">
        <f>IF(C329&gt;C328,1,E328+1)</f>
        <v/>
      </c>
      <c r="F329" s="203">
        <f>COUNTIF(C:C,C329)</f>
        <v/>
      </c>
      <c r="G329" s="198">
        <f>+G328+7</f>
        <v/>
      </c>
      <c r="H329" s="361">
        <f>IF(ISBLANK(CO329),CP329,SUMPRODUCT(CO$32:CP$32,CO329:CP329))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8.840347666971638</v>
      </c>
      <c r="CP329" s="199" t="n">
        <v>3.73</v>
      </c>
      <c r="CR329" s="199" t="n">
        <v>7.73</v>
      </c>
      <c r="CS329" s="970" t="n">
        <v>0.8744</v>
      </c>
    </row>
    <row r="330">
      <c r="B330" s="204">
        <f>+C330-1</f>
        <v/>
      </c>
      <c r="C330" s="204">
        <f>IF('bands_A-H_Avg'!$D$9+1&gt;MONTH(G330),YEAR(G330),YEAR(G330)+1)</f>
        <v/>
      </c>
      <c r="D330" s="204">
        <f>+C330+1</f>
        <v/>
      </c>
      <c r="E330" s="203">
        <f>IF(C330&gt;C329,1,E329+1)</f>
        <v/>
      </c>
      <c r="F330" s="203">
        <f>COUNTIF(C:C,C330)</f>
        <v/>
      </c>
      <c r="G330" s="198">
        <f>+G329+7</f>
        <v/>
      </c>
      <c r="H330" s="361">
        <f>IF(ISBLANK(CO330),CP330,SUMPRODUCT(CO$32:CP$32,CO330:CP330))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8.655134120233095</v>
      </c>
      <c r="CP330" s="199" t="n">
        <v>3.71</v>
      </c>
      <c r="CR330" s="199" t="n">
        <v>7.56</v>
      </c>
      <c r="CS330" s="970" t="n">
        <v>0.87347</v>
      </c>
    </row>
    <row r="331">
      <c r="B331" s="204">
        <f>+C331-1</f>
        <v/>
      </c>
      <c r="C331" s="204">
        <f>IF('bands_A-H_Avg'!$D$9+1&gt;MONTH(G331),YEAR(G331),YEAR(G331)+1)</f>
        <v/>
      </c>
      <c r="D331" s="204">
        <f>+C331+1</f>
        <v/>
      </c>
      <c r="E331" s="203">
        <f>IF(C331&gt;C330,1,E330+1)</f>
        <v/>
      </c>
      <c r="F331" s="203">
        <f>COUNTIF(C:C,C331)</f>
        <v/>
      </c>
      <c r="G331" s="198">
        <f>+G330+7</f>
        <v/>
      </c>
      <c r="H331" s="361">
        <f>IF(ISBLANK(CO331),CP331,SUMPRODUCT(CO$32:CP$32,CO331:CP331))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8.501435976063251</v>
      </c>
      <c r="CP331" s="199" t="n">
        <v>3.5</v>
      </c>
      <c r="CR331" s="199" t="n">
        <v>7.43</v>
      </c>
      <c r="CS331" s="970" t="n">
        <v>0.87397</v>
      </c>
    </row>
    <row r="332">
      <c r="B332" s="204">
        <f>+C332-1</f>
        <v/>
      </c>
      <c r="C332" s="204">
        <f>IF('bands_A-H_Avg'!$D$9+1&gt;MONTH(G332),YEAR(G332),YEAR(G332)+1)</f>
        <v/>
      </c>
      <c r="D332" s="204">
        <f>+C332+1</f>
        <v/>
      </c>
      <c r="E332" s="203">
        <f>IF(C332&gt;C331,1,E331+1)</f>
        <v/>
      </c>
      <c r="F332" s="203">
        <f>COUNTIF(C:C,C332)</f>
        <v/>
      </c>
      <c r="G332" s="198">
        <f>+G331+7</f>
        <v/>
      </c>
      <c r="H332" s="361">
        <f>IF(ISBLANK(CO332),CP332,SUMPRODUCT(CO$32:CP$32,CO332:CP332))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9.114375128492131</v>
      </c>
      <c r="CP332" s="199" t="n">
        <v>3.67</v>
      </c>
      <c r="CR332" s="199" t="n">
        <v>7.98</v>
      </c>
      <c r="CS332" s="970" t="n">
        <v>0.87554</v>
      </c>
    </row>
    <row r="333">
      <c r="B333" s="204">
        <f>+C333-1</f>
        <v/>
      </c>
      <c r="C333" s="204">
        <f>IF('bands_A-H_Avg'!$D$9+1&gt;MONTH(G333),YEAR(G333),YEAR(G333)+1)</f>
        <v/>
      </c>
      <c r="D333" s="204">
        <f>+C333+1</f>
        <v/>
      </c>
      <c r="E333" s="203">
        <f>IF(C333&gt;C332,1,E332+1)</f>
        <v/>
      </c>
      <c r="F333" s="203">
        <f>COUNTIF(C:C,C333)</f>
        <v/>
      </c>
      <c r="G333" s="198">
        <f>+G332+7</f>
        <v/>
      </c>
      <c r="H333" s="361">
        <f>IF(ISBLANK(CO333),CP333,SUMPRODUCT(CO$32:CP$32,CO333:CP333))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9.283591338374855</v>
      </c>
      <c r="CP333" s="199" t="n">
        <v>3.87</v>
      </c>
      <c r="CR333" s="199" t="n">
        <v>8.09</v>
      </c>
      <c r="CS333" s="970" t="n">
        <v>0.87143</v>
      </c>
    </row>
    <row r="334">
      <c r="B334" s="204">
        <f>+C334-1</f>
        <v/>
      </c>
      <c r="C334" s="204">
        <f>IF('bands_A-H_Avg'!$D$9+1&gt;MONTH(G334),YEAR(G334),YEAR(G334)+1)</f>
        <v/>
      </c>
      <c r="D334" s="204">
        <f>+C334+1</f>
        <v/>
      </c>
      <c r="E334" s="203">
        <f>IF(C334&gt;C333,1,E333+1)</f>
        <v/>
      </c>
      <c r="F334" s="203">
        <f>COUNTIF(C:C,C334)</f>
        <v/>
      </c>
      <c r="G334" s="198">
        <f>+G333+7</f>
        <v/>
      </c>
      <c r="H334" s="361">
        <f>IF(ISBLANK(CO334),CP334,SUMPRODUCT(CO$32:CP$32,CO334:CP334))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9.052699644358228</v>
      </c>
      <c r="CP334" s="199" t="n">
        <v>3.81</v>
      </c>
      <c r="CR334" s="199" t="n">
        <v>7.84</v>
      </c>
      <c r="CS334" s="970" t="n">
        <v>0.86604</v>
      </c>
    </row>
    <row r="335">
      <c r="B335" s="204">
        <f>+C335-1</f>
        <v/>
      </c>
      <c r="C335" s="204">
        <f>IF('bands_A-H_Avg'!$D$9+1&gt;MONTH(G335),YEAR(G335),YEAR(G335)+1)</f>
        <v/>
      </c>
      <c r="D335" s="204">
        <f>+C335+1</f>
        <v/>
      </c>
      <c r="E335" s="203">
        <f>IF(C335&gt;C334,1,E334+1)</f>
        <v/>
      </c>
      <c r="F335" s="203">
        <f>COUNTIF(C:C,C335)</f>
        <v/>
      </c>
      <c r="G335" s="198">
        <f>+G334+7</f>
        <v/>
      </c>
      <c r="H335" s="361">
        <f>IF(ISBLANK(CO335),CP335,SUMPRODUCT(CO$32:CP$32,CO335:CP335))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9.182928101847022</v>
      </c>
      <c r="CP335" s="199" t="n">
        <v>3.94</v>
      </c>
      <c r="CR335" s="199" t="n">
        <v>7.92</v>
      </c>
      <c r="CS335" s="970" t="n">
        <v>0.86247</v>
      </c>
    </row>
    <row r="336">
      <c r="B336" s="204">
        <f>+C336-1</f>
        <v/>
      </c>
      <c r="C336" s="204">
        <f>IF('bands_A-H_Avg'!$D$9+1&gt;MONTH(G336),YEAR(G336),YEAR(G336)+1)</f>
        <v/>
      </c>
      <c r="D336" s="204">
        <f>+C336+1</f>
        <v/>
      </c>
      <c r="E336" s="203">
        <f>IF(C336&gt;C335,1,E335+1)</f>
        <v/>
      </c>
      <c r="F336" s="203">
        <f>COUNTIF(C:C,C336)</f>
        <v/>
      </c>
      <c r="G336" s="198">
        <f>+G335+7</f>
        <v/>
      </c>
      <c r="H336" s="361">
        <f>IF(ISBLANK(CO336),CP336,SUMPRODUCT(CO$32:CP$32,CO336:CP336))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9.59686216260125</v>
      </c>
      <c r="CP336" s="199" t="n">
        <v>4.31</v>
      </c>
      <c r="CR336" s="199" t="n">
        <v>8.27</v>
      </c>
      <c r="CS336" s="970" t="n">
        <v>0.86174</v>
      </c>
    </row>
    <row r="337">
      <c r="B337" s="204">
        <f>+C337-1</f>
        <v/>
      </c>
      <c r="C337" s="204">
        <f>IF('bands_A-H_Avg'!$D$9+1&gt;MONTH(G337),YEAR(G337),YEAR(G337)+1)</f>
        <v/>
      </c>
      <c r="D337" s="204">
        <f>+C337+1</f>
        <v/>
      </c>
      <c r="E337" s="203">
        <f>IF(C337&gt;C336,1,E336+1)</f>
        <v/>
      </c>
      <c r="F337" s="203">
        <f>COUNTIF(C:C,C337)</f>
        <v/>
      </c>
      <c r="G337" s="198">
        <f>+G336+7</f>
        <v/>
      </c>
      <c r="H337" s="361">
        <f>IF(ISBLANK(CO337),CP337,SUMPRODUCT(CO$32:CP$32,CO337:CP337))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9.989069004814288</v>
      </c>
      <c r="CP337" s="199" t="n">
        <v>4.32</v>
      </c>
      <c r="CR337" s="199" t="n">
        <v>8.59</v>
      </c>
      <c r="CS337" s="970" t="n">
        <v>0.85994</v>
      </c>
    </row>
    <row r="338">
      <c r="B338" s="204">
        <f>+C338-1</f>
        <v/>
      </c>
      <c r="C338" s="204">
        <f>IF('bands_A-H_Avg'!$D$9+1&gt;MONTH(G338),YEAR(G338),YEAR(G338)+1)</f>
        <v/>
      </c>
      <c r="D338" s="204">
        <f>+C338+1</f>
        <v/>
      </c>
      <c r="E338" s="203">
        <f>IF(C338&gt;C337,1,E337+1)</f>
        <v/>
      </c>
      <c r="F338" s="203">
        <f>COUNTIF(C:C,C338)</f>
        <v/>
      </c>
      <c r="G338" s="198">
        <f>+G337+7</f>
        <v/>
      </c>
      <c r="H338" s="361">
        <f>IF(ISBLANK(CO338),CP338,SUMPRODUCT(CO$32:CP$32,CO338:CP338))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10.92111103324223</v>
      </c>
      <c r="CP338" s="199" t="n">
        <v>4.86</v>
      </c>
      <c r="CR338" s="199" t="n">
        <v>9.35</v>
      </c>
      <c r="CS338" s="970" t="n">
        <v>0.85614</v>
      </c>
    </row>
    <row r="339">
      <c r="B339" s="204">
        <f>+C339-1</f>
        <v/>
      </c>
      <c r="C339" s="204">
        <f>IF('bands_A-H_Avg'!$D$9+1&gt;MONTH(G339),YEAR(G339),YEAR(G339)+1)</f>
        <v/>
      </c>
      <c r="D339" s="204">
        <f>+C339+1</f>
        <v/>
      </c>
      <c r="E339" s="203">
        <f>IF(C339&gt;C338,1,E338+1)</f>
        <v/>
      </c>
      <c r="F339" s="203">
        <f>COUNTIF(C:C,C339)</f>
        <v/>
      </c>
      <c r="G339" s="198">
        <f>+G338+7</f>
        <v/>
      </c>
      <c r="H339" s="361">
        <f>IF(ISBLANK(CO339),CP339,SUMPRODUCT(CO$32:CP$32,CO339:CP339))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10.99182897972981</v>
      </c>
      <c r="CP339" s="199" t="n">
        <v>4.66</v>
      </c>
      <c r="CR339" s="199" t="n">
        <v>9.43</v>
      </c>
      <c r="CS339" s="970" t="n">
        <v>0.85791</v>
      </c>
    </row>
    <row r="340">
      <c r="B340" s="204">
        <f>+C340-1</f>
        <v/>
      </c>
      <c r="C340" s="204">
        <f>IF('bands_A-H_Avg'!$D$9+1&gt;MONTH(G340),YEAR(G340),YEAR(G340)+1)</f>
        <v/>
      </c>
      <c r="D340" s="204">
        <f>+C340+1</f>
        <v/>
      </c>
      <c r="E340" s="203">
        <f>IF(C340&gt;C339,1,E339+1)</f>
        <v/>
      </c>
      <c r="F340" s="203">
        <f>COUNTIF(C:C,C340)</f>
        <v/>
      </c>
      <c r="G340" s="198">
        <f>+G339+7</f>
        <v/>
      </c>
      <c r="H340" s="361">
        <f>IF(ISBLANK(CO340),CP340,SUMPRODUCT(CO$32:CP$32,CO340:CP340))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11.73218102406839</v>
      </c>
      <c r="CP340" s="199" t="n">
        <v>5.19</v>
      </c>
      <c r="CR340" s="199" t="n">
        <v>10.1</v>
      </c>
      <c r="CS340" s="970" t="n">
        <v>0.86088</v>
      </c>
    </row>
    <row r="341">
      <c r="B341" s="204">
        <f>+C341-1</f>
        <v/>
      </c>
      <c r="C341" s="204">
        <f>IF('bands_A-H_Avg'!$D$9+1&gt;MONTH(G341),YEAR(G341),YEAR(G341)+1)</f>
        <v/>
      </c>
      <c r="D341" s="204">
        <f>+C341+1</f>
        <v/>
      </c>
      <c r="E341" s="203">
        <f>IF(C341&gt;C340,1,E340+1)</f>
        <v/>
      </c>
      <c r="F341" s="203">
        <f>COUNTIF(C:C,C341)</f>
        <v/>
      </c>
      <c r="G341" s="198">
        <f>+G340+7</f>
        <v/>
      </c>
      <c r="H341" s="361">
        <f>IF(ISBLANK(CO341),CP341,SUMPRODUCT(CO$32:CP$32,CO341:CP341))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11.63223958454624</v>
      </c>
      <c r="CP341" s="199" t="n">
        <v>5.6</v>
      </c>
      <c r="CR341" s="199" t="n">
        <v>9.99</v>
      </c>
      <c r="CS341" s="970" t="n">
        <v>0.85882</v>
      </c>
    </row>
    <row r="342">
      <c r="B342" s="204">
        <f>+C342-1</f>
        <v/>
      </c>
      <c r="C342" s="204">
        <f>IF('bands_A-H_Avg'!$D$9+1&gt;MONTH(G342),YEAR(G342),YEAR(G342)+1)</f>
        <v/>
      </c>
      <c r="D342" s="204">
        <f>+C342+1</f>
        <v/>
      </c>
      <c r="E342" s="203">
        <f>IF(C342&gt;C341,1,E341+1)</f>
        <v/>
      </c>
      <c r="F342" s="203">
        <f>COUNTIF(C:C,C342)</f>
        <v/>
      </c>
      <c r="G342" s="198">
        <f>+G341+7</f>
        <v/>
      </c>
      <c r="H342" s="361">
        <f>IF(ISBLANK(CO342),CP342,SUMPRODUCT(CO$32:CP$32,CO342:CP342))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10.48759124087591</v>
      </c>
      <c r="CP342" s="199" t="n">
        <v>5.24</v>
      </c>
      <c r="CR342" s="199" t="n">
        <v>8.98</v>
      </c>
      <c r="CS342" s="970" t="n">
        <v>0.85625</v>
      </c>
    </row>
    <row r="343">
      <c r="B343" s="204">
        <f>+C343-1</f>
        <v/>
      </c>
      <c r="C343" s="204">
        <f>IF('bands_A-H_Avg'!$D$9+1&gt;MONTH(G343),YEAR(G343),YEAR(G343)+1)</f>
        <v/>
      </c>
      <c r="D343" s="204">
        <f>+C343+1</f>
        <v/>
      </c>
      <c r="E343" s="203">
        <f>IF(C343&gt;C342,1,E342+1)</f>
        <v/>
      </c>
      <c r="F343" s="203">
        <f>COUNTIF(C:C,C343)</f>
        <v/>
      </c>
      <c r="G343" s="198">
        <f>+G342+7</f>
        <v/>
      </c>
      <c r="H343" s="361">
        <f>IF(ISBLANK(CO343),CP343,SUMPRODUCT(CO$32:CP$32,CO343:CP343))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9.939150442064447</v>
      </c>
      <c r="CP343" s="199" t="n">
        <v>5.22</v>
      </c>
      <c r="CR343" s="199" t="n">
        <v>8.51</v>
      </c>
      <c r="CS343" s="970" t="n">
        <v>0.85621</v>
      </c>
    </row>
    <row r="344">
      <c r="B344" s="204">
        <f>+C344-1</f>
        <v/>
      </c>
      <c r="C344" s="204">
        <f>IF('bands_A-H_Avg'!$D$9+1&gt;MONTH(G344),YEAR(G344),YEAR(G344)+1)</f>
        <v/>
      </c>
      <c r="D344" s="204">
        <f>+C344+1</f>
        <v/>
      </c>
      <c r="E344" s="203">
        <f>IF(C344&gt;C343,1,E343+1)</f>
        <v/>
      </c>
      <c r="F344" s="203">
        <f>COUNTIF(C:C,C344)</f>
        <v/>
      </c>
      <c r="G344" s="198">
        <f>+G343+7</f>
        <v/>
      </c>
      <c r="H344" s="361">
        <f>IF(ISBLANK(CO344),CP344,SUMPRODUCT(CO$32:CP$32,CO344:CP344))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9.897300947812115</v>
      </c>
      <c r="CP344" s="199" t="n">
        <v>5.28</v>
      </c>
      <c r="CR344" s="199" t="n">
        <v>8.5</v>
      </c>
      <c r="CS344" s="970" t="n">
        <v>0.85882</v>
      </c>
    </row>
    <row r="345">
      <c r="B345" s="204">
        <f>+C345-1</f>
        <v/>
      </c>
      <c r="C345" s="204">
        <f>IF('bands_A-H_Avg'!$D$9+1&gt;MONTH(G345),YEAR(G345),YEAR(G345)+1)</f>
        <v/>
      </c>
      <c r="D345" s="204">
        <f>+C345+1</f>
        <v/>
      </c>
      <c r="E345" s="203">
        <f>IF(C345&gt;C344,1,E344+1)</f>
        <v/>
      </c>
      <c r="F345" s="203">
        <f>COUNTIF(C:C,C345)</f>
        <v/>
      </c>
      <c r="G345" s="198">
        <f>+G344+7</f>
        <v/>
      </c>
      <c r="H345" s="361">
        <f>IF(ISBLANK(CO345),CP345,SUMPRODUCT(CO$32:CP$32,CO345:CP345))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9.65046212659821</v>
      </c>
      <c r="CP345" s="199" t="n">
        <v>5.54</v>
      </c>
      <c r="CR345" s="199" t="n">
        <v>8.279999999999999</v>
      </c>
      <c r="CS345" s="970" t="n">
        <v>0.85799</v>
      </c>
    </row>
    <row r="346">
      <c r="B346" s="204">
        <f>+C346-1</f>
        <v/>
      </c>
      <c r="C346" s="204">
        <f>IF('bands_A-H_Avg'!$D$9+1&gt;MONTH(G346),YEAR(G346),YEAR(G346)+1)</f>
        <v/>
      </c>
      <c r="D346" s="204">
        <f>+C346+1</f>
        <v/>
      </c>
      <c r="E346" s="203">
        <f>IF(C346&gt;C345,1,E345+1)</f>
        <v/>
      </c>
      <c r="F346" s="203">
        <f>COUNTIF(C:C,C346)</f>
        <v/>
      </c>
      <c r="G346" s="198">
        <f>+G345+7</f>
        <v/>
      </c>
      <c r="H346" s="361">
        <f>IF(ISBLANK(CO346),CP346,SUMPRODUCT(CO$32:CP$32,CO346:CP346))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9.878792124991243</v>
      </c>
      <c r="CP346" s="199" t="n">
        <v>5.59</v>
      </c>
      <c r="CR346" s="199" t="n">
        <v>8.460000000000001</v>
      </c>
      <c r="CS346" s="970" t="n">
        <v>0.85638</v>
      </c>
    </row>
    <row r="347">
      <c r="B347" s="204">
        <f>+C347-1</f>
        <v/>
      </c>
      <c r="C347" s="204">
        <f>IF('bands_A-H_Avg'!$D$9+1&gt;MONTH(G347),YEAR(G347),YEAR(G347)+1)</f>
        <v/>
      </c>
      <c r="D347" s="204">
        <f>+C347+1</f>
        <v/>
      </c>
      <c r="E347" s="203">
        <f>IF(C347&gt;C346,1,E346+1)</f>
        <v/>
      </c>
      <c r="F347" s="203">
        <f>COUNTIF(C:C,C347)</f>
        <v/>
      </c>
      <c r="G347" s="198">
        <f>+G346+7</f>
        <v/>
      </c>
      <c r="H347" s="361">
        <f>IF(ISBLANK(CO347),CP347,SUMPRODUCT(CO$32:CP$32,CO347:CP347))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10.15560250738324</v>
      </c>
      <c r="CP347" s="199" t="n">
        <v>5.13</v>
      </c>
      <c r="CR347" s="199" t="n">
        <v>8.699999999999999</v>
      </c>
      <c r="CS347" s="970" t="n">
        <v>0.85667</v>
      </c>
    </row>
    <row r="348">
      <c r="B348" s="204">
        <f>+C348-1</f>
        <v/>
      </c>
      <c r="C348" s="204">
        <f>IF('bands_A-H_Avg'!$D$9+1&gt;MONTH(G348),YEAR(G348),YEAR(G348)+1)</f>
        <v/>
      </c>
      <c r="D348" s="204">
        <f>+C348+1</f>
        <v/>
      </c>
      <c r="E348" s="203">
        <f>IF(C348&gt;C347,1,E347+1)</f>
        <v/>
      </c>
      <c r="F348" s="203">
        <f>COUNTIF(C:C,C348)</f>
        <v/>
      </c>
      <c r="G348" s="198">
        <f>+G347+7</f>
        <v/>
      </c>
      <c r="H348" s="361">
        <f>IF(ISBLANK(CO348),CP348,SUMPRODUCT(CO$32:CP$32,CO348:CP348))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9.703042320282526</v>
      </c>
      <c r="CP348" s="199" t="n">
        <v>5.09</v>
      </c>
      <c r="CR348" s="199" t="n">
        <v>8.27</v>
      </c>
      <c r="CS348" s="970" t="n">
        <v>0.85231</v>
      </c>
    </row>
    <row r="349">
      <c r="B349" s="204">
        <f>+C349-1</f>
        <v/>
      </c>
      <c r="C349" s="204">
        <f>IF('bands_A-H_Avg'!$D$9+1&gt;MONTH(G349),YEAR(G349),YEAR(G349)+1)</f>
        <v/>
      </c>
      <c r="D349" s="204">
        <f>+C349+1</f>
        <v/>
      </c>
      <c r="E349" s="203">
        <f>IF(C349&gt;C348,1,E348+1)</f>
        <v/>
      </c>
      <c r="F349" s="203">
        <f>COUNTIF(C:C,C349)</f>
        <v/>
      </c>
      <c r="G349" s="198">
        <f>+G348+7</f>
        <v/>
      </c>
      <c r="H349" s="361">
        <f>IF(ISBLANK(CO349),CP349,SUMPRODUCT(CO$32:CP$32,CO349:CP349))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10.0027129999882</v>
      </c>
      <c r="CP349" s="199" t="n">
        <v>5.13</v>
      </c>
      <c r="CR349" s="199" t="n">
        <v>8.48</v>
      </c>
      <c r="CS349" s="970" t="n">
        <v>0.84777</v>
      </c>
    </row>
    <row r="350">
      <c r="B350" s="204">
        <f>+C350-1</f>
        <v/>
      </c>
      <c r="C350" s="204">
        <f>IF('bands_A-H_Avg'!$D$9+1&gt;MONTH(G350),YEAR(G350),YEAR(G350)+1)</f>
        <v/>
      </c>
      <c r="D350" s="204">
        <f>+C350+1</f>
        <v/>
      </c>
      <c r="E350" s="203">
        <f>IF(C350&gt;C349,1,E349+1)</f>
        <v/>
      </c>
      <c r="F350" s="203">
        <f>COUNTIF(C:C,C350)</f>
        <v/>
      </c>
      <c r="G350" s="198">
        <f>+G349+7</f>
        <v/>
      </c>
      <c r="H350" s="361">
        <f>IF(ISBLANK(CO350),CP350,SUMPRODUCT(CO$32:CP$32,CO350:CP350))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9.999413867885821</v>
      </c>
      <c r="CP350" s="199" t="n">
        <v>5.36</v>
      </c>
      <c r="CR350" s="199" t="n">
        <v>8.529999999999999</v>
      </c>
      <c r="CS350" s="970" t="n">
        <v>0.85305</v>
      </c>
    </row>
    <row r="351">
      <c r="B351" s="204">
        <f>+C351-1</f>
        <v/>
      </c>
      <c r="C351" s="204">
        <f>IF('bands_A-H_Avg'!$D$9+1&gt;MONTH(G351),YEAR(G351),YEAR(G351)+1)</f>
        <v/>
      </c>
      <c r="D351" s="204">
        <f>+C351+1</f>
        <v/>
      </c>
      <c r="E351" s="203">
        <f>IF(C351&gt;C350,1,E350+1)</f>
        <v/>
      </c>
      <c r="F351" s="203">
        <f>COUNTIF(C:C,C351)</f>
        <v/>
      </c>
      <c r="G351" s="198">
        <f>+G350+7</f>
        <v/>
      </c>
      <c r="H351" s="361">
        <f>IF(ISBLANK(CO351),CP351,SUMPRODUCT(CO$32:CP$32,CO351:CP351))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9.685715633995565</v>
      </c>
      <c r="CP351" s="199" t="n">
        <v>5.29</v>
      </c>
      <c r="CR351" s="199" t="n">
        <v>8.210000000000001</v>
      </c>
      <c r="CS351" s="970" t="n">
        <v>0.8476399999999999</v>
      </c>
    </row>
    <row r="352">
      <c r="B352" s="204">
        <f>+C352-1</f>
        <v/>
      </c>
      <c r="C352" s="204">
        <f>IF('bands_A-H_Avg'!$D$9+1&gt;MONTH(G352),YEAR(G352),YEAR(G352)+1)</f>
        <v/>
      </c>
      <c r="D352" s="204">
        <f>+C352+1</f>
        <v/>
      </c>
      <c r="E352" s="203">
        <f>IF(C352&gt;C351,1,E351+1)</f>
        <v/>
      </c>
      <c r="F352" s="203">
        <f>COUNTIF(C:C,C352)</f>
        <v/>
      </c>
      <c r="G352" s="198">
        <f>+G351+7</f>
        <v/>
      </c>
      <c r="H352" s="361">
        <f>IF(ISBLANK(CO352),CP352,SUMPRODUCT(CO$32:CP$32,CO352:CP352))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9.607079897303628</v>
      </c>
      <c r="CP352" s="199" t="n">
        <v>4.91</v>
      </c>
      <c r="CR352" s="199" t="n">
        <v>8.119999999999999</v>
      </c>
      <c r="CS352" s="970" t="n">
        <v>0.84521</v>
      </c>
    </row>
    <row r="353">
      <c r="B353" s="204">
        <f>+C353-1</f>
        <v/>
      </c>
      <c r="C353" s="204">
        <f>IF('bands_A-H_Avg'!$D$9+1&gt;MONTH(G353),YEAR(G353),YEAR(G353)+1)</f>
        <v/>
      </c>
      <c r="D353" s="204">
        <f>+C353+1</f>
        <v/>
      </c>
      <c r="E353" s="203">
        <f>IF(C353&gt;C352,1,E352+1)</f>
        <v/>
      </c>
      <c r="F353" s="203">
        <f>COUNTIF(C:C,C353)</f>
        <v/>
      </c>
      <c r="G353" s="198">
        <f>+G352+7</f>
        <v/>
      </c>
      <c r="H353" s="361">
        <f>IF(ISBLANK(CO353),CP353,SUMPRODUCT(CO$32:CP$32,CO353:CP353))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10.44164373206081</v>
      </c>
      <c r="CP353" s="199" t="n">
        <v>4.9</v>
      </c>
      <c r="CR353" s="199" t="n">
        <v>8.84</v>
      </c>
      <c r="CS353" s="970" t="n">
        <v>0.84661</v>
      </c>
    </row>
    <row r="354">
      <c r="B354" s="204">
        <f>+C354-1</f>
        <v/>
      </c>
      <c r="C354" s="204">
        <f>IF('bands_A-H_Avg'!$D$9+1&gt;MONTH(G354),YEAR(G354),YEAR(G354)+1)</f>
        <v/>
      </c>
      <c r="D354" s="204">
        <f>+C354+1</f>
        <v/>
      </c>
      <c r="E354" s="203">
        <f>IF(C354&gt;C353,1,E353+1)</f>
        <v/>
      </c>
      <c r="F354" s="203">
        <f>COUNTIF(C:C,C354)</f>
        <v/>
      </c>
      <c r="G354" s="198">
        <f>+G353+7</f>
        <v/>
      </c>
      <c r="H354" s="361">
        <f>IF(ISBLANK(CO354),CP354,SUMPRODUCT(CO$32:CP$32,CO354:CP354))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10.48773278155483</v>
      </c>
      <c r="CP354" s="199" t="n">
        <v>4.78</v>
      </c>
      <c r="CR354" s="199" t="n">
        <v>8.869999999999999</v>
      </c>
      <c r="CS354" s="970" t="n">
        <v>0.84575</v>
      </c>
    </row>
    <row r="355">
      <c r="B355" s="204">
        <f>+C355-1</f>
        <v/>
      </c>
      <c r="C355" s="204">
        <f>IF('bands_A-H_Avg'!$D$9+1&gt;MONTH(G355),YEAR(G355),YEAR(G355)+1)</f>
        <v/>
      </c>
      <c r="D355" s="204">
        <f>+C355+1</f>
        <v/>
      </c>
      <c r="E355" s="203">
        <f>IF(C355&gt;C354,1,E354+1)</f>
        <v/>
      </c>
      <c r="F355" s="203">
        <f>COUNTIF(C:C,C355)</f>
        <v/>
      </c>
      <c r="G355" s="198">
        <f>+G354+7</f>
        <v/>
      </c>
      <c r="H355" s="361">
        <f>IF(ISBLANK(CO355),CP355,SUMPRODUCT(CO$32:CP$32,CO355:CP355))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10.59615179933538</v>
      </c>
      <c r="CP355" s="199" t="n">
        <v>4.62</v>
      </c>
      <c r="CR355" s="199" t="n">
        <v>8.960000000000001</v>
      </c>
      <c r="CS355" s="970" t="n">
        <v>0.84559</v>
      </c>
    </row>
    <row r="356">
      <c r="B356" s="204">
        <f>+C356-1</f>
        <v/>
      </c>
      <c r="C356" s="204">
        <f>IF('bands_A-H_Avg'!$D$9+1&gt;MONTH(G356),YEAR(G356),YEAR(G356)+1)</f>
        <v/>
      </c>
      <c r="D356" s="204">
        <f>+C356+1</f>
        <v/>
      </c>
      <c r="E356" s="203">
        <f>IF(C356&gt;C355,1,E355+1)</f>
        <v/>
      </c>
      <c r="F356" s="203">
        <f>COUNTIF(C:C,C356)</f>
        <v/>
      </c>
      <c r="G356" s="198">
        <f>+G355+7</f>
        <v/>
      </c>
      <c r="H356" s="361">
        <f>IF(ISBLANK(CO356),CP356,SUMPRODUCT(CO$32:CP$32,CO356:CP356))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10.74466320752482</v>
      </c>
      <c r="CP356" s="199" t="n">
        <v>4.93</v>
      </c>
      <c r="CR356" s="199" t="n">
        <v>9.07</v>
      </c>
      <c r="CS356" s="970" t="n">
        <v>0.84414</v>
      </c>
    </row>
    <row r="357">
      <c r="B357" s="204">
        <f>+C357-1</f>
        <v/>
      </c>
      <c r="C357" s="204">
        <f>IF('bands_A-H_Avg'!$D$9+1&gt;MONTH(G357),YEAR(G357),YEAR(G357)+1)</f>
        <v/>
      </c>
      <c r="D357" s="204">
        <f>+C357+1</f>
        <v/>
      </c>
      <c r="E357" s="203">
        <f>IF(C357&gt;C356,1,E356+1)</f>
        <v/>
      </c>
      <c r="F357" s="203">
        <f>COUNTIF(C:C,C357)</f>
        <v/>
      </c>
      <c r="G357" s="198">
        <f>+G356+7</f>
        <v/>
      </c>
      <c r="H357" s="361">
        <f>IF(ISBLANK(CO357),CP357,SUMPRODUCT(CO$32:CP$32,CO357:CP357))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10.68809024445155</v>
      </c>
      <c r="CP357" s="199" t="n">
        <v>4.46</v>
      </c>
      <c r="CR357" s="199" t="n">
        <v>9.02</v>
      </c>
      <c r="CS357" s="970" t="n">
        <v>0.84393</v>
      </c>
    </row>
    <row r="358">
      <c r="B358" s="204">
        <f>+C358-1</f>
        <v/>
      </c>
      <c r="C358" s="204">
        <f>IF('bands_A-H_Avg'!$D$9+1&gt;MONTH(G358),YEAR(G358),YEAR(G358)+1)</f>
        <v/>
      </c>
      <c r="D358" s="204">
        <f>+C358+1</f>
        <v/>
      </c>
      <c r="E358" s="203">
        <f>IF(C358&gt;C357,1,E357+1)</f>
        <v/>
      </c>
      <c r="F358" s="203">
        <f>COUNTIF(C:C,C358)</f>
        <v/>
      </c>
      <c r="G358" s="198">
        <f>+G357+7</f>
        <v/>
      </c>
      <c r="H358" s="361">
        <f>IF(ISBLANK(CO358),CP358,SUMPRODUCT(CO$32:CP$32,CO358:CP358))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10.51645641657972</v>
      </c>
      <c r="CP358" s="199" t="n">
        <v>4.67</v>
      </c>
      <c r="CR358" s="199" t="n">
        <v>8.869999999999999</v>
      </c>
      <c r="CS358" s="970" t="n">
        <v>0.84344</v>
      </c>
    </row>
    <row r="359">
      <c r="B359" s="204">
        <f>+C359-1</f>
        <v/>
      </c>
      <c r="C359" s="204">
        <f>IF('bands_A-H_Avg'!$D$9+1&gt;MONTH(G359),YEAR(G359),YEAR(G359)+1)</f>
        <v/>
      </c>
      <c r="D359" s="204">
        <f>+C359+1</f>
        <v/>
      </c>
      <c r="E359" s="203">
        <f>IF(C359&gt;C358,1,E358+1)</f>
        <v/>
      </c>
      <c r="F359" s="203">
        <f>COUNTIF(C:C,C359)</f>
        <v/>
      </c>
      <c r="G359" s="198">
        <f>+G358+7</f>
        <v/>
      </c>
      <c r="H359" s="361">
        <f>IF(ISBLANK(CO359),CP359,SUMPRODUCT(CO$32:CP$32,CO359:CP359))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10.47120418848167</v>
      </c>
      <c r="CP359" s="199" t="n">
        <v>4.46</v>
      </c>
      <c r="CR359" s="199" t="n">
        <v>8.84</v>
      </c>
      <c r="CS359" s="970" t="n">
        <v>0.84422</v>
      </c>
    </row>
    <row r="360">
      <c r="B360" s="204">
        <f>+C360-1</f>
        <v/>
      </c>
      <c r="C360" s="204">
        <f>IF('bands_A-H_Avg'!$D$9+1&gt;MONTH(G360),YEAR(G360),YEAR(G360)+1)</f>
        <v/>
      </c>
      <c r="D360" s="204">
        <f>+C360+1</f>
        <v/>
      </c>
      <c r="E360" s="203">
        <f>IF(C360&gt;C359,1,E359+1)</f>
        <v/>
      </c>
      <c r="F360" s="203">
        <f>COUNTIF(C:C,C360)</f>
        <v/>
      </c>
      <c r="G360" s="198">
        <f>+G359+7</f>
        <v/>
      </c>
      <c r="H360" s="361">
        <f>IF(ISBLANK(CO360),CP360,SUMPRODUCT(CO$32:CP$32,CO360:CP360))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9.511030896007979</v>
      </c>
      <c r="CP360" s="199" t="n">
        <v>3.83</v>
      </c>
      <c r="CR360" s="199" t="n">
        <v>8.01</v>
      </c>
      <c r="CS360" s="970" t="n">
        <v>0.84218</v>
      </c>
    </row>
    <row r="361">
      <c r="B361" s="204">
        <f>+C361-1</f>
        <v/>
      </c>
      <c r="C361" s="204">
        <f>IF('bands_A-H_Avg'!$D$9+1&gt;MONTH(G361),YEAR(G361),YEAR(G361)+1)</f>
        <v/>
      </c>
      <c r="D361" s="204">
        <f>+C361+1</f>
        <v/>
      </c>
      <c r="E361" s="203">
        <f>IF(C361&gt;C360,1,E360+1)</f>
        <v/>
      </c>
      <c r="F361" s="203">
        <f>COUNTIF(C:C,C361)</f>
        <v/>
      </c>
      <c r="G361" s="198">
        <f>+G360+7</f>
        <v/>
      </c>
      <c r="H361" s="361">
        <f>IF(ISBLANK(CO361),CP361,SUMPRODUCT(CO$32:CP$32,CO361:CP361))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9.598801041951639</v>
      </c>
      <c r="CP361" s="199" t="n">
        <v>4.13</v>
      </c>
      <c r="CR361" s="199" t="n">
        <v>8.07</v>
      </c>
      <c r="CS361" s="970" t="n">
        <v>0.84073</v>
      </c>
    </row>
    <row r="362">
      <c r="B362" s="204">
        <f>+C362-1</f>
        <v/>
      </c>
      <c r="C362" s="204">
        <f>IF('bands_A-H_Avg'!$D$9+1&gt;MONTH(G362),YEAR(G362),YEAR(G362)+1)</f>
        <v/>
      </c>
      <c r="D362" s="204">
        <f>+C362+1</f>
        <v/>
      </c>
      <c r="E362" s="203">
        <f>IF(C362&gt;C361,1,E361+1)</f>
        <v/>
      </c>
      <c r="F362" s="203">
        <f>COUNTIF(C:C,C362)</f>
        <v/>
      </c>
      <c r="G362" s="198">
        <f>+G361+7</f>
        <v/>
      </c>
      <c r="H362" s="361">
        <f>IF(ISBLANK(CO362),CP362,SUMPRODUCT(CO$32:CP$32,CO362:CP362))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9.349458277893937</v>
      </c>
      <c r="CP362" s="199" t="n">
        <v>3.96</v>
      </c>
      <c r="CR362" s="199" t="n">
        <v>7.87</v>
      </c>
      <c r="CS362" s="970" t="n">
        <v>0.84176</v>
      </c>
    </row>
    <row r="363">
      <c r="B363" s="204">
        <f>+C363-1</f>
        <v/>
      </c>
      <c r="C363" s="204">
        <f>IF('bands_A-H_Avg'!$D$9+1&gt;MONTH(G363),YEAR(G363),YEAR(G363)+1)</f>
        <v/>
      </c>
      <c r="D363" s="204">
        <f>+C363+1</f>
        <v/>
      </c>
      <c r="E363" s="203">
        <f>IF(C363&gt;C362,1,E362+1)</f>
        <v/>
      </c>
      <c r="F363" s="203">
        <f>COUNTIF(C:C,C363)</f>
        <v/>
      </c>
      <c r="G363" s="198">
        <f>+G362+7</f>
        <v/>
      </c>
      <c r="H363" s="361">
        <f>IF(ISBLANK(CO363),CP363,SUMPRODUCT(CO$32:CP$32,CO363:CP363))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9.513842641042718</v>
      </c>
      <c r="CP363" s="199" t="n">
        <v>4.42</v>
      </c>
      <c r="CR363" s="199" t="n">
        <v>8</v>
      </c>
      <c r="CS363" s="970" t="n">
        <v>0.84088</v>
      </c>
    </row>
    <row r="364">
      <c r="B364" s="204">
        <f>+C364-1</f>
        <v/>
      </c>
      <c r="C364" s="204">
        <f>IF('bands_A-H_Avg'!$D$9+1&gt;MONTH(G364),YEAR(G364),YEAR(G364)+1)</f>
        <v/>
      </c>
      <c r="D364" s="204">
        <f>+C364+1</f>
        <v/>
      </c>
      <c r="E364" s="203">
        <f>IF(C364&gt;C363,1,E363+1)</f>
        <v/>
      </c>
      <c r="F364" s="203">
        <f>COUNTIF(C:C,C364)</f>
        <v/>
      </c>
      <c r="G364" s="198">
        <f>+G363+7</f>
        <v/>
      </c>
      <c r="H364" s="361">
        <f>IF(ISBLANK(CO364),CP364,SUMPRODUCT(CO$32:CP$32,CO364:CP364))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9.461920234227158</v>
      </c>
      <c r="CP364" s="199" t="n">
        <v>4.23</v>
      </c>
      <c r="CR364" s="199" t="n">
        <v>7.95</v>
      </c>
      <c r="CS364" s="970" t="n">
        <v>0.84021</v>
      </c>
    </row>
    <row r="365">
      <c r="B365" s="204">
        <f>+C365-1</f>
        <v/>
      </c>
      <c r="C365" s="204">
        <f>IF('bands_A-H_Avg'!$D$9+1&gt;MONTH(G365),YEAR(G365),YEAR(G365)+1)</f>
        <v/>
      </c>
      <c r="D365" s="204">
        <f>+C365+1</f>
        <v/>
      </c>
      <c r="E365" s="203">
        <f>IF(C365&gt;C364,1,E364+1)</f>
        <v/>
      </c>
      <c r="F365" s="203">
        <f>COUNTIF(C:C,C365)</f>
        <v/>
      </c>
      <c r="G365" s="198">
        <f>+G364+7</f>
        <v/>
      </c>
      <c r="H365" s="361">
        <f>IF(ISBLANK(CO365),CP365,SUMPRODUCT(CO$32:CP$32,CO365:CP365))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9.529268467435696</v>
      </c>
      <c r="CP365" s="199" t="n">
        <v>4.1</v>
      </c>
      <c r="CR365" s="199" t="n">
        <v>7.98</v>
      </c>
      <c r="CS365" s="970" t="n">
        <v>0.8374200000000001</v>
      </c>
    </row>
    <row r="366">
      <c r="B366" s="204">
        <f>+C366-1</f>
        <v/>
      </c>
      <c r="C366" s="204">
        <f>IF('bands_A-H_Avg'!$D$9+1&gt;MONTH(G366),YEAR(G366),YEAR(G366)+1)</f>
        <v/>
      </c>
      <c r="D366" s="204">
        <f>+C366+1</f>
        <v/>
      </c>
      <c r="E366" s="203">
        <f>IF(C366&gt;C365,1,E365+1)</f>
        <v/>
      </c>
      <c r="F366" s="203">
        <f>COUNTIF(C:C,C366)</f>
        <v/>
      </c>
      <c r="G366" s="198">
        <f>+G365+7</f>
        <v/>
      </c>
      <c r="H366" s="361">
        <f>IF(ISBLANK(CO366),CP366,SUMPRODUCT(CO$32:CP$32,CO366:CP366))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9.129633618110896</v>
      </c>
      <c r="CP366" s="199" t="n">
        <v>3.86</v>
      </c>
      <c r="CR366" s="199" t="n">
        <v>7.63</v>
      </c>
      <c r="CS366" s="970" t="n">
        <v>0.83574</v>
      </c>
    </row>
    <row r="367">
      <c r="B367" s="204">
        <f>+C367-1</f>
        <v/>
      </c>
      <c r="C367" s="204">
        <f>IF('bands_A-H_Avg'!$D$9+1&gt;MONTH(G367),YEAR(G367),YEAR(G367)+1)</f>
        <v/>
      </c>
      <c r="D367" s="204">
        <f>+C367+1</f>
        <v/>
      </c>
      <c r="E367" s="203">
        <f>IF(C367&gt;C366,1,E366+1)</f>
        <v/>
      </c>
      <c r="F367" s="203">
        <f>COUNTIF(C:C,C367)</f>
        <v/>
      </c>
      <c r="G367" s="198">
        <f>+G366+7</f>
        <v/>
      </c>
      <c r="H367" s="361">
        <f>IF(ISBLANK(CO367),CP367,SUMPRODUCT(CO$32:CP$32,CO367:CP367))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9.31223517583128</v>
      </c>
      <c r="CP367" s="199" t="n">
        <v>4.14</v>
      </c>
      <c r="CR367" s="199" t="n">
        <v>7.78</v>
      </c>
      <c r="CS367" s="970" t="n">
        <v>0.83546</v>
      </c>
    </row>
    <row r="368">
      <c r="B368" s="204">
        <f>+C368-1</f>
        <v/>
      </c>
      <c r="C368" s="204">
        <f>IF('bands_A-H_Avg'!$D$9+1&gt;MONTH(G368),YEAR(G368),YEAR(G368)+1)</f>
        <v/>
      </c>
      <c r="D368" s="204">
        <f>+C368+1</f>
        <v/>
      </c>
      <c r="E368" s="203">
        <f>IF(C368&gt;C367,1,E367+1)</f>
        <v/>
      </c>
      <c r="F368" s="203">
        <f>COUNTIF(C:C,C368)</f>
        <v/>
      </c>
      <c r="G368" s="198">
        <f>+G367+7</f>
        <v/>
      </c>
      <c r="H368" s="361">
        <f>IF(ISBLANK(CO368),CP368,SUMPRODUCT(CO$32:CP$32,CO368:CP368))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9.223480996758024</v>
      </c>
      <c r="CP368" s="199" t="n">
        <v>4.14</v>
      </c>
      <c r="CR368" s="199" t="n">
        <v>7.71</v>
      </c>
      <c r="CS368" s="970" t="n">
        <v>0.83591</v>
      </c>
    </row>
    <row r="369">
      <c r="B369" s="204">
        <f>+C369-1</f>
        <v/>
      </c>
      <c r="C369" s="204">
        <f>IF('bands_A-H_Avg'!$D$9+1&gt;MONTH(G369),YEAR(G369),YEAR(G369)+1)</f>
        <v/>
      </c>
      <c r="D369" s="204">
        <f>+C369+1</f>
        <v/>
      </c>
      <c r="E369" s="203">
        <f>IF(C369&gt;C368,1,E368+1)</f>
        <v/>
      </c>
      <c r="F369" s="203">
        <f>COUNTIF(C:C,C369)</f>
        <v/>
      </c>
      <c r="G369" s="198">
        <f>+G368+7</f>
        <v/>
      </c>
      <c r="H369" s="361">
        <f>IF(ISBLANK(CO369),CP369,SUMPRODUCT(CO$32:CP$32,CO369:CP369))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9.232206150014369</v>
      </c>
      <c r="CP369" s="199" t="n">
        <v>4.26</v>
      </c>
      <c r="CR369" s="199" t="n">
        <v>7.71</v>
      </c>
      <c r="CS369" s="970" t="n">
        <v>0.83512</v>
      </c>
    </row>
    <row r="370">
      <c r="B370" s="204">
        <f>+C370-1</f>
        <v/>
      </c>
      <c r="C370" s="204">
        <f>IF('bands_A-H_Avg'!$D$9+1&gt;MONTH(G370),YEAR(G370),YEAR(G370)+1)</f>
        <v/>
      </c>
      <c r="D370" s="204">
        <f>+C370+1</f>
        <v/>
      </c>
      <c r="E370" s="203">
        <f>IF(C370&gt;C369,1,E369+1)</f>
        <v/>
      </c>
      <c r="F370" s="203">
        <f>COUNTIF(C:C,C370)</f>
        <v/>
      </c>
      <c r="G370" s="198">
        <f>+G369+7</f>
        <v/>
      </c>
      <c r="H370" s="361">
        <f>IF(ISBLANK(CO370),CP370,SUMPRODUCT(CO$32:CP$32,CO370:CP370))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8.448780020133263</v>
      </c>
      <c r="CP370" s="199" t="n">
        <v>4.03</v>
      </c>
      <c r="CR370" s="199" t="n">
        <v>7.05</v>
      </c>
      <c r="CS370" s="970" t="n">
        <v>0.83444</v>
      </c>
    </row>
    <row r="371">
      <c r="B371" s="204">
        <f>+C371-1</f>
        <v/>
      </c>
      <c r="C371" s="204">
        <f>IF('bands_A-H_Avg'!$D$9+1&gt;MONTH(G371),YEAR(G371),YEAR(G371)+1)</f>
        <v/>
      </c>
      <c r="D371" s="204">
        <f>+C371+1</f>
        <v/>
      </c>
      <c r="E371" s="203">
        <f>IF(C371&gt;C370,1,E370+1)</f>
        <v/>
      </c>
      <c r="F371" s="203">
        <f>COUNTIF(C:C,C371)</f>
        <v/>
      </c>
      <c r="G371" s="198">
        <f>+G370+7</f>
        <v/>
      </c>
      <c r="H371" s="361">
        <f>IF(ISBLANK(CO371),CP371,SUMPRODUCT(CO$32:CP$32,CO371:CP371))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8.259799507773575</v>
      </c>
      <c r="CP371" s="199" t="n">
        <v>3.96</v>
      </c>
      <c r="CR371" s="199" t="n">
        <v>6.88</v>
      </c>
      <c r="CS371" s="970" t="n">
        <v>0.83295</v>
      </c>
    </row>
    <row r="372">
      <c r="B372" s="204">
        <f>+C372-1</f>
        <v/>
      </c>
      <c r="C372" s="204">
        <f>IF('bands_A-H_Avg'!$D$9+1&gt;MONTH(G372),YEAR(G372),YEAR(G372)+1)</f>
        <v/>
      </c>
      <c r="D372" s="204">
        <f>+C372+1</f>
        <v/>
      </c>
      <c r="E372" s="203">
        <f>IF(C372&gt;C371,1,E371+1)</f>
        <v/>
      </c>
      <c r="F372" s="203">
        <f>COUNTIF(C:C,C372)</f>
        <v/>
      </c>
      <c r="G372" s="198">
        <f>+G371+7</f>
        <v/>
      </c>
      <c r="H372" s="361">
        <f>IF(ISBLANK(CO372),CP372,SUMPRODUCT(CO$32:CP$32,CO372:CP372))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8.09658237731996</v>
      </c>
      <c r="CP372" s="199" t="n">
        <v>3.87</v>
      </c>
      <c r="CR372" s="199" t="n">
        <v>6.74</v>
      </c>
      <c r="CS372" s="970" t="n">
        <v>0.83245</v>
      </c>
    </row>
    <row r="373">
      <c r="B373" s="204">
        <f>+C373-1</f>
        <v/>
      </c>
      <c r="C373" s="204">
        <f>IF('bands_A-H_Avg'!$D$9+1&gt;MONTH(G373),YEAR(G373),YEAR(G373)+1)</f>
        <v/>
      </c>
      <c r="D373" s="204">
        <f>+C373+1</f>
        <v/>
      </c>
      <c r="E373" s="203">
        <f>IF(C373&gt;C372,1,E372+1)</f>
        <v/>
      </c>
      <c r="F373" s="203">
        <f>COUNTIF(C:C,C373)</f>
        <v/>
      </c>
      <c r="G373" s="198">
        <f>+G372+7</f>
        <v/>
      </c>
      <c r="H373" s="361">
        <f>IF(ISBLANK(CO373),CP373,SUMPRODUCT(CO$32:CP$32,CO373:CP373))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8.182321372704738</v>
      </c>
      <c r="CP373" s="199" t="n">
        <v>4.07</v>
      </c>
      <c r="CR373" s="199" t="n">
        <v>6.8</v>
      </c>
      <c r="CS373" s="970" t="n">
        <v>0.83106</v>
      </c>
    </row>
    <row r="374">
      <c r="B374" s="204">
        <f>+C374-1</f>
        <v/>
      </c>
      <c r="C374" s="204">
        <f>IF('bands_A-H_Avg'!$D$9+1&gt;MONTH(G374),YEAR(G374),YEAR(G374)+1)</f>
        <v/>
      </c>
      <c r="D374" s="204">
        <f>+C374+1</f>
        <v/>
      </c>
      <c r="E374" s="203">
        <f>IF(C374&gt;C373,1,E373+1)</f>
        <v/>
      </c>
      <c r="F374" s="203">
        <f>COUNTIF(C:C,C374)</f>
        <v/>
      </c>
      <c r="G374" s="198">
        <f>+G373+7</f>
        <v/>
      </c>
      <c r="H374" s="361">
        <f>IF(ISBLANK(CO374),CP374,SUMPRODUCT(CO$32:CP$32,CO374:CP374))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8.229561451001624</v>
      </c>
      <c r="CP374" s="199" t="n">
        <v>4.06</v>
      </c>
      <c r="CR374" s="199" t="n">
        <v>6.84</v>
      </c>
      <c r="CS374" s="970" t="n">
        <v>0.8311500000000001</v>
      </c>
    </row>
    <row r="375">
      <c r="B375" s="204">
        <f>+C375-1</f>
        <v/>
      </c>
      <c r="C375" s="204">
        <f>IF('bands_A-H_Avg'!$D$9+1&gt;MONTH(G375),YEAR(G375),YEAR(G375)+1)</f>
        <v/>
      </c>
      <c r="D375" s="204">
        <f>+C375+1</f>
        <v/>
      </c>
      <c r="E375" s="203">
        <f>IF(C375&gt;C374,1,E374+1)</f>
        <v/>
      </c>
      <c r="F375" s="203">
        <f>COUNTIF(C:C,C375)</f>
        <v/>
      </c>
      <c r="G375" s="198">
        <f>+G374+7</f>
        <v/>
      </c>
      <c r="H375" s="361">
        <f>IF(ISBLANK(CO375),CP375,SUMPRODUCT(CO$32:CP$32,CO375:CP375))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8.317184434467567</v>
      </c>
      <c r="CP375" s="199" t="n">
        <v>4.11</v>
      </c>
      <c r="CR375" s="199" t="n">
        <v>6.91</v>
      </c>
      <c r="CS375" s="970" t="n">
        <v>0.83081</v>
      </c>
    </row>
    <row r="376">
      <c r="B376" s="204">
        <f>+C376-1</f>
        <v/>
      </c>
      <c r="C376" s="204">
        <f>IF('bands_A-H_Avg'!$D$9+1&gt;MONTH(G376),YEAR(G376),YEAR(G376)+1)</f>
        <v/>
      </c>
      <c r="D376" s="204">
        <f>+C376+1</f>
        <v/>
      </c>
      <c r="E376" s="203">
        <f>IF(C376&gt;C375,1,E375+1)</f>
        <v/>
      </c>
      <c r="F376" s="203">
        <f>COUNTIF(C:C,C376)</f>
        <v/>
      </c>
      <c r="G376" s="198">
        <f>+G375+7</f>
        <v/>
      </c>
      <c r="H376" s="361">
        <f>IF(ISBLANK(CO376),CP376,SUMPRODUCT(CO$32:CP$32,CO376:CP376))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8.331126146733764</v>
      </c>
      <c r="CP376" s="199" t="n">
        <v>4.02</v>
      </c>
      <c r="CR376" s="199" t="n">
        <v>6.92</v>
      </c>
      <c r="CS376" s="970" t="n">
        <v>0.83062</v>
      </c>
    </row>
    <row r="377">
      <c r="B377" s="204">
        <f>+C377-1</f>
        <v/>
      </c>
      <c r="C377" s="204">
        <f>IF('bands_A-H_Avg'!$D$9+1&gt;MONTH(G377),YEAR(G377),YEAR(G377)+1)</f>
        <v/>
      </c>
      <c r="D377" s="204">
        <f>+C377+1</f>
        <v/>
      </c>
      <c r="E377" s="203">
        <f>IF(C377&gt;C376,1,E376+1)</f>
        <v/>
      </c>
      <c r="F377" s="203">
        <f>COUNTIF(C:C,C377)</f>
        <v/>
      </c>
      <c r="G377" s="198">
        <f>+G376+7</f>
        <v/>
      </c>
      <c r="H377" s="361">
        <f>IF(ISBLANK(CO377),CP377,SUMPRODUCT(CO$32:CP$32,CO377:CP377))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8.285094066570188</v>
      </c>
      <c r="CP377" s="199" t="n">
        <v>3.91</v>
      </c>
      <c r="CR377" s="199" t="n">
        <v>6.87</v>
      </c>
      <c r="CS377" s="970" t="n">
        <v>0.8292</v>
      </c>
    </row>
    <row r="378">
      <c r="B378" s="204">
        <f>+C378-1</f>
        <v/>
      </c>
      <c r="C378" s="204">
        <f>IF('bands_A-H_Avg'!$D$9+1&gt;MONTH(G378),YEAR(G378),YEAR(G378)+1)</f>
        <v/>
      </c>
      <c r="D378" s="204">
        <f>+C378+1</f>
        <v/>
      </c>
      <c r="E378" s="203">
        <f>IF(C378&gt;C377,1,E377+1)</f>
        <v/>
      </c>
      <c r="F378" s="203">
        <f>COUNTIF(C:C,C378)</f>
        <v/>
      </c>
      <c r="G378" s="198">
        <f>+G377+7</f>
        <v/>
      </c>
      <c r="H378" s="361">
        <f>IF(ISBLANK(CO378),CP378,SUMPRODUCT(CO$32:CP$32,CO378:CP378))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8.229607250755288</v>
      </c>
      <c r="CP378" s="199" t="n">
        <v>3.96</v>
      </c>
      <c r="CR378" s="199" t="n">
        <v>6.81</v>
      </c>
      <c r="CS378" s="970" t="n">
        <v>0.8275</v>
      </c>
    </row>
    <row r="379">
      <c r="B379" s="204">
        <f>+C379-1</f>
        <v/>
      </c>
      <c r="C379" s="204">
        <f>IF('bands_A-H_Avg'!$D$9+1&gt;MONTH(G379),YEAR(G379),YEAR(G379)+1)</f>
        <v/>
      </c>
      <c r="D379" s="204">
        <f>+C379+1</f>
        <v/>
      </c>
      <c r="E379" s="203">
        <f>IF(C379&gt;C378,1,E378+1)</f>
        <v/>
      </c>
      <c r="F379" s="203">
        <f>COUNTIF(C:C,C379)</f>
        <v/>
      </c>
      <c r="G379" s="198">
        <f>+G378+7</f>
        <v/>
      </c>
      <c r="H379" s="361">
        <f>IF(ISBLANK(CO379),CP379,SUMPRODUCT(CO$32:CP$32,CO379:CP379))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8.137267960718308</v>
      </c>
      <c r="CP379" s="199" t="n">
        <v>4.14</v>
      </c>
      <c r="CR379" s="199" t="n">
        <v>6.72</v>
      </c>
      <c r="CS379" s="970" t="n">
        <v>0.82583</v>
      </c>
    </row>
    <row r="380">
      <c r="B380" s="204">
        <f>+C380-1</f>
        <v/>
      </c>
      <c r="C380" s="204">
        <f>IF('bands_A-H_Avg'!$D$9+1&gt;MONTH(G380),YEAR(G380),YEAR(G380)+1)</f>
        <v/>
      </c>
      <c r="D380" s="204">
        <f>+C380+1</f>
        <v/>
      </c>
      <c r="E380" s="203">
        <f>IF(C380&gt;C379,1,E379+1)</f>
        <v/>
      </c>
      <c r="F380" s="203">
        <f>COUNTIF(C:C,C380)</f>
        <v/>
      </c>
      <c r="G380" s="198">
        <f>+G379+7</f>
        <v/>
      </c>
      <c r="H380" s="361">
        <f>IF(ISBLANK(CO380),CP380,SUMPRODUCT(CO$32:CP$32,CO380:CP380))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7.722241753445914</v>
      </c>
      <c r="CP380" s="199" t="n">
        <v>3.85</v>
      </c>
      <c r="CR380" s="199" t="n">
        <v>6.37</v>
      </c>
      <c r="CS380" s="970" t="n">
        <v>0.82489</v>
      </c>
    </row>
    <row r="381">
      <c r="B381" s="204">
        <f>+C381-1</f>
        <v/>
      </c>
      <c r="C381" s="204">
        <f>IF('bands_A-H_Avg'!$D$9+1&gt;MONTH(G381),YEAR(G381),YEAR(G381)+1)</f>
        <v/>
      </c>
      <c r="D381" s="204">
        <f>+C381+1</f>
        <v/>
      </c>
      <c r="E381" s="203">
        <f>IF(C381&gt;C380,1,E380+1)</f>
        <v/>
      </c>
      <c r="F381" s="203">
        <f>COUNTIF(C:C,C381)</f>
        <v/>
      </c>
      <c r="G381" s="198">
        <f>+G380+7</f>
        <v/>
      </c>
      <c r="H381" s="361">
        <f>IF(ISBLANK(CO381),CP381,SUMPRODUCT(CO$32:CP$32,CO381:CP381))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7.43440055575191</v>
      </c>
      <c r="CP381" s="199" t="n">
        <v>3.39</v>
      </c>
      <c r="CR381" s="199" t="n">
        <v>6.1</v>
      </c>
      <c r="CS381" s="970" t="n">
        <v>0.82051</v>
      </c>
    </row>
    <row r="382">
      <c r="B382" s="204">
        <f>+C382-1</f>
        <v/>
      </c>
      <c r="C382" s="204">
        <f>IF('bands_A-H_Avg'!$D$9+1&gt;MONTH(G382),YEAR(G382),YEAR(G382)+1)</f>
        <v/>
      </c>
      <c r="D382" s="204">
        <f>+C382+1</f>
        <v/>
      </c>
      <c r="E382" s="203">
        <f>IF(C382&gt;C381,1,E381+1)</f>
        <v/>
      </c>
      <c r="F382" s="203">
        <f>COUNTIF(C:C,C382)</f>
        <v/>
      </c>
      <c r="G382" s="198">
        <f>+G381+7</f>
        <v/>
      </c>
      <c r="H382" s="361">
        <f>IF(ISBLANK(CO382),CP382,SUMPRODUCT(CO$32:CP$32,CO382:CP382))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7.118565560282305</v>
      </c>
      <c r="CP382" s="199" t="n">
        <v>3.17</v>
      </c>
      <c r="CR382" s="199" t="n">
        <v>5.84</v>
      </c>
      <c r="CS382" s="970" t="n">
        <v>0.82039</v>
      </c>
    </row>
    <row r="383">
      <c r="B383" s="204">
        <f>+C383-1</f>
        <v/>
      </c>
      <c r="C383" s="204">
        <f>IF('bands_A-H_Avg'!$D$9+1&gt;MONTH(G383),YEAR(G383),YEAR(G383)+1)</f>
        <v/>
      </c>
      <c r="D383" s="204">
        <f>+C383+1</f>
        <v/>
      </c>
      <c r="E383" s="203">
        <f>IF(C383&gt;C382,1,E382+1)</f>
        <v/>
      </c>
      <c r="F383" s="203">
        <f>COUNTIF(C:C,C383)</f>
        <v/>
      </c>
      <c r="G383" s="198">
        <f>+G382+7</f>
        <v/>
      </c>
      <c r="H383" s="361">
        <f>IF(ISBLANK(CO383),CP383,SUMPRODUCT(CO$32:CP$32,CO383:CP383))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7.408673151798465</v>
      </c>
      <c r="CP383" s="199" t="n">
        <v>3.49</v>
      </c>
      <c r="CR383" s="199" t="n">
        <v>6.07</v>
      </c>
      <c r="CS383" s="970" t="n">
        <v>0.81931</v>
      </c>
    </row>
    <row r="384">
      <c r="B384" s="204">
        <f>+C384-1</f>
        <v/>
      </c>
      <c r="C384" s="204">
        <f>IF('bands_A-H_Avg'!$D$9+1&gt;MONTH(G384),YEAR(G384),YEAR(G384)+1)</f>
        <v/>
      </c>
      <c r="D384" s="204">
        <f>+C384+1</f>
        <v/>
      </c>
      <c r="E384" s="203">
        <f>IF(C384&gt;C383,1,E383+1)</f>
        <v/>
      </c>
      <c r="F384" s="203">
        <f>COUNTIF(C:C,C384)</f>
        <v/>
      </c>
      <c r="G384" s="198">
        <f>+G383+7</f>
        <v/>
      </c>
      <c r="H384" s="361">
        <f>IF(ISBLANK(CO384),CP384,SUMPRODUCT(CO$32:CP$32,CO384:CP384))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7.174756570759206</v>
      </c>
      <c r="CP384" s="199" t="n">
        <v>3.41</v>
      </c>
      <c r="CR384" s="199" t="n">
        <v>5.88</v>
      </c>
      <c r="CS384" s="970" t="n">
        <v>0.81954</v>
      </c>
    </row>
    <row r="385">
      <c r="B385" s="204">
        <f>+C385-1</f>
        <v/>
      </c>
      <c r="C385" s="204">
        <f>IF('bands_A-H_Avg'!$D$9+1&gt;MONTH(G385),YEAR(G385),YEAR(G385)+1)</f>
        <v/>
      </c>
      <c r="D385" s="204">
        <f>+C385+1</f>
        <v/>
      </c>
      <c r="E385" s="203">
        <f>IF(C385&gt;C384,1,E384+1)</f>
        <v/>
      </c>
      <c r="F385" s="203">
        <f>COUNTIF(C:C,C385)</f>
        <v/>
      </c>
      <c r="G385" s="198">
        <f>+G384+7</f>
        <v/>
      </c>
      <c r="H385" s="361">
        <f>IF(ISBLANK(CO385),CP385,SUMPRODUCT(CO$32:CP$32,CO385:CP385))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7.127427169654734</v>
      </c>
      <c r="CP385" s="199" t="n">
        <v>3.2</v>
      </c>
      <c r="CR385" s="199" t="n">
        <v>5.84</v>
      </c>
      <c r="CS385" s="970" t="n">
        <v>0.81937</v>
      </c>
    </row>
    <row r="386">
      <c r="B386" s="204">
        <f>+C386-1</f>
        <v/>
      </c>
      <c r="C386" s="204">
        <f>IF('bands_A-H_Avg'!$D$9+1&gt;MONTH(G386),YEAR(G386),YEAR(G386)+1)</f>
        <v/>
      </c>
      <c r="D386" s="204">
        <f>+C386+1</f>
        <v/>
      </c>
      <c r="E386" s="203">
        <f>IF(C386&gt;C385,1,E385+1)</f>
        <v/>
      </c>
      <c r="F386" s="203">
        <f>COUNTIF(C:C,C386)</f>
        <v/>
      </c>
      <c r="G386" s="198">
        <f>+G385+7</f>
        <v/>
      </c>
      <c r="H386" s="361">
        <f>IF(ISBLANK(CO386),CP386,SUMPRODUCT(CO$32:CP$32,CO386:CP386))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7.006322779093328</v>
      </c>
      <c r="CP386" s="199" t="n">
        <v>2.98</v>
      </c>
      <c r="CR386" s="199" t="n">
        <v>5.74</v>
      </c>
      <c r="CS386" s="970" t="n">
        <v>0.81926</v>
      </c>
    </row>
    <row r="387">
      <c r="B387" s="204">
        <f>+C387-1</f>
        <v/>
      </c>
      <c r="C387" s="204">
        <f>IF('bands_A-H_Avg'!$D$9+1&gt;MONTH(G387),YEAR(G387),YEAR(G387)+1)</f>
        <v/>
      </c>
      <c r="D387" s="204">
        <f>+C387+1</f>
        <v/>
      </c>
      <c r="E387" s="203">
        <f>IF(C387&gt;C386,1,E386+1)</f>
        <v/>
      </c>
      <c r="F387" s="203">
        <f>COUNTIF(C:C,C387)</f>
        <v/>
      </c>
      <c r="G387" s="198">
        <f>+G386+7</f>
        <v/>
      </c>
      <c r="H387" s="361">
        <f>IF(ISBLANK(CO387),CP387,SUMPRODUCT(CO$32:CP$32,CO387:CP387))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7.366684991753711</v>
      </c>
      <c r="CP387" s="199" t="n">
        <v>2.87</v>
      </c>
      <c r="CR387" s="199" t="n">
        <v>6.03</v>
      </c>
      <c r="CS387" s="970" t="n">
        <v>0.81855</v>
      </c>
    </row>
    <row r="388">
      <c r="B388" s="204">
        <f>+C388-1</f>
        <v/>
      </c>
      <c r="C388" s="204">
        <f>IF('bands_A-H_Avg'!$D$9+1&gt;MONTH(G388),YEAR(G388),YEAR(G388)+1)</f>
        <v/>
      </c>
      <c r="D388" s="204">
        <f>+C388+1</f>
        <v/>
      </c>
      <c r="E388" s="203">
        <f>IF(C388&gt;C387,1,E387+1)</f>
        <v/>
      </c>
      <c r="F388" s="203">
        <f>COUNTIF(C:C,C388)</f>
        <v/>
      </c>
      <c r="G388" s="198">
        <f>+G387+7</f>
        <v/>
      </c>
      <c r="H388" s="361">
        <f>IF(ISBLANK(CO388),CP388,SUMPRODUCT(CO$32:CP$32,CO388:CP388))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7.365943487115697</v>
      </c>
      <c r="CP388" s="199" t="n">
        <v>3.03</v>
      </c>
      <c r="CR388" s="199" t="n">
        <v>6.04</v>
      </c>
      <c r="CS388" s="970" t="n">
        <v>0.81999</v>
      </c>
    </row>
    <row r="389">
      <c r="B389" s="204">
        <f>+C389-1</f>
        <v/>
      </c>
      <c r="C389" s="204">
        <f>IF('bands_A-H_Avg'!$D$9+1&gt;MONTH(G389),YEAR(G389),YEAR(G389)+1)</f>
        <v/>
      </c>
      <c r="D389" s="204">
        <f>+C389+1</f>
        <v/>
      </c>
      <c r="E389" s="203">
        <f>IF(C389&gt;C388,1,E388+1)</f>
        <v/>
      </c>
      <c r="F389" s="203">
        <f>COUNTIF(C:C,C389)</f>
        <v/>
      </c>
      <c r="G389" s="198">
        <f>+G388+7</f>
        <v/>
      </c>
      <c r="H389" s="361">
        <f>IF(ISBLANK(CO389),CP389,SUMPRODUCT(CO$32:CP$32,CO389:CP389))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7.367830393520213</v>
      </c>
      <c r="CP389" s="199" t="n">
        <v>2.95</v>
      </c>
      <c r="CR389" s="199" t="n">
        <v>6.04</v>
      </c>
      <c r="CS389" s="970" t="n">
        <v>0.81978</v>
      </c>
    </row>
    <row r="390">
      <c r="B390" s="204">
        <f>+C390-1</f>
        <v/>
      </c>
      <c r="C390" s="204">
        <f>IF('bands_A-H_Avg'!$D$9+1&gt;MONTH(G390),YEAR(G390),YEAR(G390)+1)</f>
        <v/>
      </c>
      <c r="D390" s="204">
        <f>+C390+1</f>
        <v/>
      </c>
      <c r="E390" s="203">
        <f>IF(C390&gt;C389,1,E389+1)</f>
        <v/>
      </c>
      <c r="F390" s="203">
        <f>COUNTIF(C:C,C390)</f>
        <v/>
      </c>
      <c r="G390" s="198">
        <f>+G389+7</f>
        <v/>
      </c>
      <c r="H390" s="361">
        <f>IF(ISBLANK(CO390),CP390,SUMPRODUCT(CO$32:CP$32,CO390:CP390))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7.761572297157339</v>
      </c>
      <c r="CP390" s="199" t="n">
        <v>3.2</v>
      </c>
      <c r="CR390" s="199" t="n">
        <v>6.37</v>
      </c>
      <c r="CS390" s="970" t="n">
        <v>0.8207100000000001</v>
      </c>
    </row>
    <row r="391">
      <c r="B391" s="204">
        <f>+C391-1</f>
        <v/>
      </c>
      <c r="C391" s="204">
        <f>IF('bands_A-H_Avg'!$D$9+1&gt;MONTH(G391),YEAR(G391),YEAR(G391)+1)</f>
        <v/>
      </c>
      <c r="D391" s="204">
        <f>+C391+1</f>
        <v/>
      </c>
      <c r="E391" s="203">
        <f>IF(C391&gt;C390,1,E390+1)</f>
        <v/>
      </c>
      <c r="F391" s="203">
        <f>COUNTIF(C:C,C391)</f>
        <v/>
      </c>
      <c r="G391" s="198">
        <f>+G390+7</f>
        <v/>
      </c>
      <c r="H391" s="361">
        <f>IF(ISBLANK(CO391),CP391,SUMPRODUCT(CO$32:CP$32,CO391:CP391))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7.444047807599995</v>
      </c>
      <c r="CP391" s="199" t="n">
        <v>3.03</v>
      </c>
      <c r="CR391" s="199" t="n">
        <v>6.11</v>
      </c>
      <c r="CS391" s="970" t="n">
        <v>0.82079</v>
      </c>
    </row>
    <row r="392">
      <c r="B392" s="204">
        <f>+C392-1</f>
        <v/>
      </c>
      <c r="C392" s="204">
        <f>IF('bands_A-H_Avg'!$D$9+1&gt;MONTH(G392),YEAR(G392),YEAR(G392)+1)</f>
        <v/>
      </c>
      <c r="D392" s="204">
        <f>+C392+1</f>
        <v/>
      </c>
      <c r="E392" s="203">
        <f>IF(C392&gt;C391,1,E391+1)</f>
        <v/>
      </c>
      <c r="F392" s="203">
        <f>COUNTIF(C:C,C392)</f>
        <v/>
      </c>
      <c r="G392" s="198">
        <f>+G391+7</f>
        <v/>
      </c>
      <c r="H392" s="361">
        <f>IF(ISBLANK(CO392),CP392,SUMPRODUCT(CO$32:CP$32,CO392:CP392))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7.73689669900543</v>
      </c>
      <c r="CP392" s="199" t="n">
        <v>3.59</v>
      </c>
      <c r="CR392" s="199" t="n">
        <v>6.34</v>
      </c>
      <c r="CS392" s="970" t="n">
        <v>0.81945</v>
      </c>
    </row>
    <row r="393">
      <c r="B393" s="204">
        <f>+C393-1</f>
        <v/>
      </c>
      <c r="C393" s="204">
        <f>IF('bands_A-H_Avg'!$D$9+1&gt;MONTH(G393),YEAR(G393),YEAR(G393)+1)</f>
        <v/>
      </c>
      <c r="D393" s="204">
        <f>+C393+1</f>
        <v/>
      </c>
      <c r="E393" s="203">
        <f>IF(C393&gt;C392,1,E392+1)</f>
        <v/>
      </c>
      <c r="F393" s="203">
        <f>COUNTIF(C:C,C393)</f>
        <v/>
      </c>
      <c r="G393" s="198">
        <f>+G392+7</f>
        <v/>
      </c>
      <c r="H393" s="361">
        <f>IF(ISBLANK(CO393),CP393,SUMPRODUCT(CO$32:CP$32,CO393:CP393))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8.034686328785245</v>
      </c>
      <c r="CP393" s="199" t="n">
        <v>3.84</v>
      </c>
      <c r="CR393" s="199" t="n">
        <v>6.56</v>
      </c>
      <c r="CS393" s="970" t="n">
        <v>0.81646</v>
      </c>
    </row>
    <row r="394">
      <c r="B394" s="204">
        <f>+C394-1</f>
        <v/>
      </c>
      <c r="C394" s="204">
        <f>IF('bands_A-H_Avg'!$D$9+1&gt;MONTH(G394),YEAR(G394),YEAR(G394)+1)</f>
        <v/>
      </c>
      <c r="D394" s="204">
        <f>+C394+1</f>
        <v/>
      </c>
      <c r="E394" s="203">
        <f>IF(C394&gt;C393,1,E393+1)</f>
        <v/>
      </c>
      <c r="F394" s="203">
        <f>COUNTIF(C:C,C394)</f>
        <v/>
      </c>
      <c r="G394" s="198">
        <f>+G393+7</f>
        <v/>
      </c>
      <c r="H394" s="361">
        <f>IF(ISBLANK(CO394),CP394,SUMPRODUCT(CO$32:CP$32,CO394:CP394))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7.700608200902492</v>
      </c>
      <c r="CP394" s="199" t="n">
        <v>3.67</v>
      </c>
      <c r="CR394" s="199" t="n">
        <v>6.28</v>
      </c>
      <c r="CS394" s="970" t="n">
        <v>0.81552</v>
      </c>
    </row>
    <row r="395">
      <c r="B395" s="204">
        <f>+C395-1</f>
        <v/>
      </c>
      <c r="C395" s="204">
        <f>IF('bands_A-H_Avg'!$D$9+1&gt;MONTH(G395),YEAR(G395),YEAR(G395)+1)</f>
        <v/>
      </c>
      <c r="D395" s="204">
        <f>+C395+1</f>
        <v/>
      </c>
      <c r="E395" s="203">
        <f>IF(C395&gt;C394,1,E394+1)</f>
        <v/>
      </c>
      <c r="F395" s="203">
        <f>COUNTIF(C:C,C395)</f>
        <v/>
      </c>
      <c r="G395" s="198">
        <f>+G394+7</f>
        <v/>
      </c>
      <c r="H395" s="361">
        <f>IF(ISBLANK(CO395),CP395,SUMPRODUCT(CO$32:CP$32,CO395:CP395))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7.423468450259086</v>
      </c>
      <c r="CP395" s="199" t="n">
        <v>3.51</v>
      </c>
      <c r="CR395" s="199" t="n">
        <v>6.06</v>
      </c>
      <c r="CS395" s="970" t="n">
        <v>0.81633</v>
      </c>
    </row>
    <row r="396">
      <c r="B396" s="204">
        <f>+C396-1</f>
        <v/>
      </c>
      <c r="C396" s="204">
        <f>IF('bands_A-H_Avg'!$D$9+1&gt;MONTH(G396),YEAR(G396),YEAR(G396)+1)</f>
        <v/>
      </c>
      <c r="D396" s="204">
        <f>+C396+1</f>
        <v/>
      </c>
      <c r="E396" s="203">
        <f>IF(C396&gt;C395,1,E395+1)</f>
        <v/>
      </c>
      <c r="F396" s="203">
        <f>COUNTIF(C:C,C396)</f>
        <v/>
      </c>
      <c r="G396" s="198">
        <f>+G395+7</f>
        <v/>
      </c>
      <c r="H396" s="361">
        <f>IF(ISBLANK(CO396),CP396,SUMPRODUCT(CO$32:CP$32,CO396:CP396))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7.204892966360855</v>
      </c>
      <c r="CP396" s="199" t="n">
        <v>3.09</v>
      </c>
      <c r="CR396" s="199" t="n">
        <v>5.89</v>
      </c>
      <c r="CS396" s="970" t="n">
        <v>0.8175</v>
      </c>
    </row>
    <row r="397">
      <c r="B397" s="204">
        <f>+C397-1</f>
        <v/>
      </c>
      <c r="C397" s="204">
        <f>IF('bands_A-H_Avg'!$D$9+1&gt;MONTH(G397),YEAR(G397),YEAR(G397)+1)</f>
        <v/>
      </c>
      <c r="D397" s="204">
        <f>+C397+1</f>
        <v/>
      </c>
      <c r="E397" s="203">
        <f>IF(C397&gt;C396,1,E396+1)</f>
        <v/>
      </c>
      <c r="F397" s="203">
        <f>COUNTIF(C:C,C397)</f>
        <v/>
      </c>
      <c r="G397" s="198">
        <f>+G396+7</f>
        <v/>
      </c>
      <c r="H397" s="361">
        <f>IF(ISBLANK(CO397),CP397,SUMPRODUCT(CO$32:CP$32,CO397:CP397))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6.932133556661327</v>
      </c>
      <c r="CP397" s="199" t="n">
        <v>3.53</v>
      </c>
      <c r="CR397" s="199" t="n">
        <v>5.67</v>
      </c>
      <c r="CS397" s="970" t="n">
        <v>0.81793</v>
      </c>
    </row>
    <row r="398">
      <c r="B398" s="204">
        <f>+C398-1</f>
        <v/>
      </c>
      <c r="C398" s="204">
        <f>IF('bands_A-H_Avg'!$D$9+1&gt;MONTH(G398),YEAR(G398),YEAR(G398)+1)</f>
        <v/>
      </c>
      <c r="D398" s="204">
        <f>+C398+1</f>
        <v/>
      </c>
      <c r="E398" s="203">
        <f>IF(C398&gt;C397,1,E397+1)</f>
        <v/>
      </c>
      <c r="F398" s="203">
        <f>COUNTIF(C:C,C398)</f>
        <v/>
      </c>
      <c r="G398" s="198">
        <f>+G397+7</f>
        <v/>
      </c>
      <c r="H398" s="361">
        <f>IF(ISBLANK(CO398),CP398,SUMPRODUCT(CO$32:CP$32,CO398:CP398))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6.852258912234598</v>
      </c>
      <c r="CP398" s="199" t="n">
        <v>3.42</v>
      </c>
      <c r="CR398" s="199" t="n">
        <v>5.58</v>
      </c>
      <c r="CS398" s="970" t="n">
        <v>0.81433</v>
      </c>
    </row>
    <row r="399">
      <c r="B399" s="204">
        <f>+C399-1</f>
        <v/>
      </c>
      <c r="C399" s="204">
        <f>IF('bands_A-H_Avg'!$D$9+1&gt;MONTH(G399),YEAR(G399),YEAR(G399)+1)</f>
        <v/>
      </c>
      <c r="D399" s="204">
        <f>+C399+1</f>
        <v/>
      </c>
      <c r="E399" s="203">
        <f>IF(C399&gt;C398,1,E398+1)</f>
        <v/>
      </c>
      <c r="F399" s="203">
        <f>COUNTIF(C:C,C399)</f>
        <v/>
      </c>
      <c r="G399" s="198">
        <f>+G398+7</f>
        <v/>
      </c>
      <c r="H399" s="361">
        <f>IF(ISBLANK(CO399),CP399,SUMPRODUCT(CO$32:CP$32,CO399:CP399))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6.809745064778622</v>
      </c>
      <c r="CP399" s="199" t="n">
        <v>3.51</v>
      </c>
      <c r="CR399" s="199" t="n">
        <v>5.54</v>
      </c>
      <c r="CS399" s="970" t="n">
        <v>0.81354</v>
      </c>
    </row>
    <row r="400">
      <c r="B400" s="204">
        <f>+C400-1</f>
        <v/>
      </c>
      <c r="C400" s="204">
        <f>IF('bands_A-H_Avg'!$D$9+1&gt;MONTH(G400),YEAR(G400),YEAR(G400)+1)</f>
        <v/>
      </c>
      <c r="D400" s="204">
        <f>+C400+1</f>
        <v/>
      </c>
      <c r="E400" s="203">
        <f>IF(C400&gt;C399,1,E399+1)</f>
        <v/>
      </c>
      <c r="F400" s="203">
        <f>COUNTIF(C:C,C400)</f>
        <v/>
      </c>
      <c r="G400" s="198">
        <f>+G399+7</f>
        <v/>
      </c>
      <c r="H400" s="361">
        <f>IF(ISBLANK(CO400),CP400,SUMPRODUCT(CO$32:CP$32,CO400:CP400))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6.353567442259809</v>
      </c>
      <c r="CP400" s="199" t="n">
        <v>3.62</v>
      </c>
      <c r="CR400" s="199" t="n">
        <v>5.18</v>
      </c>
      <c r="CS400" s="970" t="n">
        <v>0.81529</v>
      </c>
    </row>
    <row r="401">
      <c r="B401" s="204">
        <f>+C401-1</f>
        <v/>
      </c>
      <c r="C401" s="204">
        <f>IF('bands_A-H_Avg'!$D$9+1&gt;MONTH(G401),YEAR(G401),YEAR(G401)+1)</f>
        <v/>
      </c>
      <c r="D401" s="204">
        <f>+C401+1</f>
        <v/>
      </c>
      <c r="E401" s="203">
        <f>IF(C401&gt;C400,1,E400+1)</f>
        <v/>
      </c>
      <c r="F401" s="203">
        <f>COUNTIF(C:C,C401)</f>
        <v/>
      </c>
      <c r="G401" s="198">
        <f>+G400+7</f>
        <v/>
      </c>
      <c r="H401" s="361">
        <f>IF(ISBLANK(CO401),CP401,SUMPRODUCT(CO$32:CP$32,CO401:CP401))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6.287059751722778</v>
      </c>
      <c r="CP401" s="199" t="n">
        <v>3.59</v>
      </c>
      <c r="CR401" s="199" t="n">
        <v>5.1</v>
      </c>
      <c r="CS401" s="970" t="n">
        <v>0.81119</v>
      </c>
    </row>
    <row r="402">
      <c r="B402" s="204">
        <f>+C402-1</f>
        <v/>
      </c>
      <c r="C402" s="204">
        <f>IF('bands_A-H_Avg'!$D$9+1&gt;MONTH(G402),YEAR(G402),YEAR(G402)+1)</f>
        <v/>
      </c>
      <c r="D402" s="204">
        <f>+C402+1</f>
        <v/>
      </c>
      <c r="E402" s="203">
        <f>IF(C402&gt;C401,1,E401+1)</f>
        <v/>
      </c>
      <c r="F402" s="203">
        <f>COUNTIF(C:C,C402)</f>
        <v/>
      </c>
      <c r="G402" s="198">
        <f>+G401+7</f>
        <v/>
      </c>
      <c r="H402" s="361">
        <f>IF(ISBLANK(CO402),CP402,SUMPRODUCT(CO$32:CP$32,CO402:CP402))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6.159709842011434</v>
      </c>
      <c r="CP402" s="199" t="n">
        <v>3.74</v>
      </c>
      <c r="CR402" s="199" t="n">
        <v>5.01</v>
      </c>
      <c r="CS402" s="970" t="n">
        <v>0.81335</v>
      </c>
    </row>
    <row r="403">
      <c r="B403" s="204">
        <f>+C403-1</f>
        <v/>
      </c>
      <c r="C403" s="204">
        <f>IF('bands_A-H_Avg'!$D$9+1&gt;MONTH(G403),YEAR(G403),YEAR(G403)+1)</f>
        <v/>
      </c>
      <c r="D403" s="204">
        <f>+C403+1</f>
        <v/>
      </c>
      <c r="E403" s="203">
        <f>IF(C403&gt;C402,1,E402+1)</f>
        <v/>
      </c>
      <c r="F403" s="203">
        <f>COUNTIF(C:C,C403)</f>
        <v/>
      </c>
      <c r="G403" s="198">
        <f>+G402+7</f>
        <v/>
      </c>
      <c r="H403" s="361">
        <f>IF(ISBLANK(CO403),CP403,SUMPRODUCT(CO$32:CP$32,CO403:CP403))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6.374981575197761</v>
      </c>
      <c r="CP403" s="199" t="n">
        <v>3.77</v>
      </c>
      <c r="CR403" s="199" t="n">
        <v>5.19</v>
      </c>
      <c r="CS403" s="970" t="n">
        <v>0.81412</v>
      </c>
    </row>
    <row r="404">
      <c r="B404" s="204">
        <f>+C404-1</f>
        <v/>
      </c>
      <c r="C404" s="204">
        <f>IF('bands_A-H_Avg'!$D$9+1&gt;MONTH(G404),YEAR(G404),YEAR(G404)+1)</f>
        <v/>
      </c>
      <c r="D404" s="204">
        <f>+C404+1</f>
        <v/>
      </c>
      <c r="E404" s="203">
        <f>IF(C404&gt;C403,1,E403+1)</f>
        <v/>
      </c>
      <c r="F404" s="203">
        <f>COUNTIF(C:C,C404)</f>
        <v/>
      </c>
      <c r="G404" s="198">
        <f>+G403+7</f>
        <v/>
      </c>
      <c r="H404" s="361">
        <f>IF(ISBLANK(CO404),CP404,SUMPRODUCT(CO$32:CP$32,CO404:CP404))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6.868216103513828</v>
      </c>
      <c r="CP404" s="199" t="n">
        <v>4.09</v>
      </c>
      <c r="CR404" s="199" t="n">
        <v>5.6</v>
      </c>
      <c r="CS404" s="970" t="n">
        <v>0.81535</v>
      </c>
    </row>
    <row r="405">
      <c r="B405" s="204">
        <f>+C405-1</f>
        <v/>
      </c>
      <c r="C405" s="204">
        <f>IF('bands_A-H_Avg'!$D$9+1&gt;MONTH(G405),YEAR(G405),YEAR(G405)+1)</f>
        <v/>
      </c>
      <c r="D405" s="204">
        <f>+C405+1</f>
        <v/>
      </c>
      <c r="E405" s="203">
        <f>IF(C405&gt;C404,1,E404+1)</f>
        <v/>
      </c>
      <c r="F405" s="203">
        <f>COUNTIF(C:C,C405)</f>
        <v/>
      </c>
      <c r="G405" s="198">
        <f>+G404+7</f>
        <v/>
      </c>
      <c r="H405" s="361">
        <f>IF(ISBLANK(CO405),CP405,SUMPRODUCT(CO$32:CP$32,CO405:CP405))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6.870238372734968</v>
      </c>
      <c r="CP405" s="199" t="n">
        <v>4.07</v>
      </c>
      <c r="CR405" s="199" t="n">
        <v>5.6</v>
      </c>
      <c r="CS405" s="970" t="n">
        <v>0.81511</v>
      </c>
    </row>
    <row r="406">
      <c r="B406" s="204">
        <f>+C406-1</f>
        <v/>
      </c>
      <c r="C406" s="204">
        <f>IF('bands_A-H_Avg'!$D$9+1&gt;MONTH(G406),YEAR(G406),YEAR(G406)+1)</f>
        <v/>
      </c>
      <c r="D406" s="204">
        <f>+C406+1</f>
        <v/>
      </c>
      <c r="E406" s="203">
        <f>IF(C406&gt;C405,1,E405+1)</f>
        <v/>
      </c>
      <c r="F406" s="203">
        <f>COUNTIF(C:C,C406)</f>
        <v/>
      </c>
      <c r="G406" s="198">
        <f>+G405+7</f>
        <v/>
      </c>
      <c r="H406" s="361">
        <f>IF(ISBLANK(CO406),CP406,SUMPRODUCT(CO$32:CP$32,CO406:CP406))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6.786412422085347</v>
      </c>
      <c r="CP406" s="199" t="n">
        <v>3.74</v>
      </c>
      <c r="CR406" s="199" t="n">
        <v>5.52</v>
      </c>
      <c r="CS406" s="970" t="n">
        <v>0.8133899999999999</v>
      </c>
    </row>
    <row r="407">
      <c r="B407" s="204">
        <f>+C407-1</f>
        <v/>
      </c>
      <c r="C407" s="204">
        <f>IF('bands_A-H_Avg'!$D$9+1&gt;MONTH(G407),YEAR(G407),YEAR(G407)+1)</f>
        <v/>
      </c>
      <c r="D407" s="204">
        <f>+C407+1</f>
        <v/>
      </c>
      <c r="E407" s="203">
        <f>IF(C407&gt;C406,1,E406+1)</f>
        <v/>
      </c>
      <c r="F407" s="203">
        <f>COUNTIF(C:C,C407)</f>
        <v/>
      </c>
      <c r="G407" s="198">
        <f>+G406+7</f>
        <v/>
      </c>
      <c r="H407" s="361">
        <f>IF(ISBLANK(CO407),CP407,SUMPRODUCT(CO$32:CP$32,CO407:CP407))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6.776486822813351</v>
      </c>
      <c r="CP407" s="199" t="n">
        <v>3.88</v>
      </c>
      <c r="CR407" s="199" t="n">
        <v>5.5</v>
      </c>
      <c r="CS407" s="970" t="n">
        <v>0.81163</v>
      </c>
    </row>
    <row r="408">
      <c r="B408" s="204">
        <f>+C408-1</f>
        <v/>
      </c>
      <c r="C408" s="204">
        <f>IF('bands_A-H_Avg'!$D$9+1&gt;MONTH(G408),YEAR(G408),YEAR(G408)+1)</f>
        <v/>
      </c>
      <c r="D408" s="204">
        <f>+C408+1</f>
        <v/>
      </c>
      <c r="E408" s="203">
        <f>IF(C408&gt;C407,1,E407+1)</f>
        <v/>
      </c>
      <c r="F408" s="203">
        <f>COUNTIF(C:C,C408)</f>
        <v/>
      </c>
      <c r="G408" s="198">
        <f>+G407+7</f>
        <v/>
      </c>
      <c r="H408" s="361">
        <f>IF(ISBLANK(CO408),CP408,SUMPRODUCT(CO$32:CP$32,CO408:CP408))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6.857916769268653</v>
      </c>
      <c r="CP408" s="199" t="n">
        <v>4.29</v>
      </c>
      <c r="CR408" s="199" t="n">
        <v>5.57</v>
      </c>
      <c r="CS408" s="970" t="n">
        <v>0.8122</v>
      </c>
    </row>
    <row r="409">
      <c r="B409" s="204">
        <f>+C409-1</f>
        <v/>
      </c>
      <c r="C409" s="204">
        <f>IF('bands_A-H_Avg'!$D$9+1&gt;MONTH(G409),YEAR(G409),YEAR(G409)+1)</f>
        <v/>
      </c>
      <c r="D409" s="204">
        <f>+C409+1</f>
        <v/>
      </c>
      <c r="E409" s="203">
        <f>IF(C409&gt;C408,1,E408+1)</f>
        <v/>
      </c>
      <c r="F409" s="203">
        <f>COUNTIF(C:C,C409)</f>
        <v/>
      </c>
      <c r="G409" s="198">
        <f>+G408+7</f>
        <v/>
      </c>
      <c r="H409" s="361">
        <f>IF(ISBLANK(CO409),CP409,SUMPRODUCT(CO$32:CP$32,CO409:CP409))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7.07883980893288</v>
      </c>
      <c r="CP409" s="199" t="n">
        <v>4.25</v>
      </c>
      <c r="CR409" s="199" t="n">
        <v>5.75</v>
      </c>
      <c r="CS409" s="970" t="n">
        <v>0.81228</v>
      </c>
    </row>
    <row r="410">
      <c r="B410" s="204">
        <f>+C410-1</f>
        <v/>
      </c>
      <c r="C410" s="204">
        <f>IF('bands_A-H_Avg'!$D$9+1&gt;MONTH(G410),YEAR(G410),YEAR(G410)+1)</f>
        <v/>
      </c>
      <c r="D410" s="204">
        <f>+C410+1</f>
        <v/>
      </c>
      <c r="E410" s="203">
        <f>IF(C410&gt;C409,1,E409+1)</f>
        <v/>
      </c>
      <c r="F410" s="203">
        <f>COUNTIF(C:C,C410)</f>
        <v/>
      </c>
      <c r="G410" s="198">
        <f>+G409+7</f>
        <v/>
      </c>
      <c r="H410" s="361">
        <f>IF(ISBLANK(CO410),CP410,SUMPRODUCT(CO$32:CP$32,CO410:CP410))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7.217459848260913</v>
      </c>
      <c r="CP410" s="199" t="n">
        <v>4.16</v>
      </c>
      <c r="CR410" s="199" t="n">
        <v>5.86</v>
      </c>
      <c r="CS410" s="970" t="n">
        <v>0.81192</v>
      </c>
    </row>
    <row r="411">
      <c r="B411" s="204">
        <f>+C411-1</f>
        <v/>
      </c>
      <c r="C411" s="204">
        <f>IF('bands_A-H_Avg'!$D$9+1&gt;MONTH(G411),YEAR(G411),YEAR(G411)+1)</f>
        <v/>
      </c>
      <c r="D411" s="204">
        <f>+C411+1</f>
        <v/>
      </c>
      <c r="E411" s="203">
        <f>IF(C411&gt;C410,1,E410+1)</f>
        <v/>
      </c>
      <c r="F411" s="203">
        <f>COUNTIF(C:C,C411)</f>
        <v/>
      </c>
      <c r="G411" s="198">
        <f>+G410+7</f>
        <v/>
      </c>
      <c r="H411" s="361">
        <f>IF(ISBLANK(CO411),CP411,SUMPRODUCT(CO$32:CP$32,CO411:CP411))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7.167445291369559</v>
      </c>
      <c r="CP411" s="199" t="n">
        <v>4.13</v>
      </c>
      <c r="CR411" s="199" t="n">
        <v>5.83</v>
      </c>
      <c r="CS411" s="970" t="n">
        <v>0.8134</v>
      </c>
    </row>
    <row r="412">
      <c r="B412" s="204">
        <f>+C412-1</f>
        <v/>
      </c>
      <c r="C412" s="204">
        <f>IF('bands_A-H_Avg'!$D$9+1&gt;MONTH(G412),YEAR(G412),YEAR(G412)+1)</f>
        <v/>
      </c>
      <c r="D412" s="204">
        <f>+C412+1</f>
        <v/>
      </c>
      <c r="E412" s="203">
        <f>IF(C412&gt;C411,1,E411+1)</f>
        <v/>
      </c>
      <c r="F412" s="203">
        <f>COUNTIF(C:C,C412)</f>
        <v/>
      </c>
      <c r="G412" s="198">
        <f>+G411+7</f>
        <v/>
      </c>
      <c r="H412" s="361">
        <f>IF(ISBLANK(CO412),CP412,SUMPRODUCT(CO$32:CP$32,CO412:CP412))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7.207052352421177</v>
      </c>
      <c r="CP412" s="199" t="n">
        <v>4.1</v>
      </c>
      <c r="CR412" s="199" t="n">
        <v>5.87</v>
      </c>
      <c r="CS412" s="970" t="n">
        <v>0.81448</v>
      </c>
    </row>
    <row r="413">
      <c r="B413" s="204">
        <f>+C413-1</f>
        <v/>
      </c>
      <c r="C413" s="204">
        <f>IF('bands_A-H_Avg'!$D$9+1&gt;MONTH(G413),YEAR(G413),YEAR(G413)+1)</f>
        <v/>
      </c>
      <c r="D413" s="204">
        <f>+C413+1</f>
        <v/>
      </c>
      <c r="E413" s="203">
        <f>IF(C413&gt;C412,1,E412+1)</f>
        <v/>
      </c>
      <c r="F413" s="203">
        <f>COUNTIF(C:C,C413)</f>
        <v/>
      </c>
      <c r="G413" s="198">
        <f>+G412+7</f>
        <v/>
      </c>
      <c r="H413" s="361">
        <f>IF(ISBLANK(CO413),CP413,SUMPRODUCT(CO$32:CP$32,CO413:CP413))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6.965247728589569</v>
      </c>
      <c r="CP413" s="199" t="n">
        <v>3.86</v>
      </c>
      <c r="CR413" s="199" t="n">
        <v>5.65</v>
      </c>
      <c r="CS413" s="970" t="n">
        <v>0.8111699999999999</v>
      </c>
    </row>
    <row r="414">
      <c r="B414" s="204">
        <f>+C414-1</f>
        <v/>
      </c>
      <c r="C414" s="204">
        <f>IF('bands_A-H_Avg'!$D$9+1&gt;MONTH(G414),YEAR(G414),YEAR(G414)+1)</f>
        <v/>
      </c>
      <c r="D414" s="204">
        <f>+C414+1</f>
        <v/>
      </c>
      <c r="E414" s="203">
        <f>IF(C414&gt;C413,1,E413+1)</f>
        <v/>
      </c>
      <c r="F414" s="203">
        <f>COUNTIF(C:C,C414)</f>
        <v/>
      </c>
      <c r="G414" s="198">
        <f>+G413+7</f>
        <v/>
      </c>
      <c r="H414" s="361">
        <f>IF(ISBLANK(CO414),CP414,SUMPRODUCT(CO$32:CP$32,CO414:CP414))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6.551349750777278</v>
      </c>
      <c r="CP414" s="199" t="n">
        <v>3.95</v>
      </c>
      <c r="CR414" s="199" t="n">
        <v>5.31</v>
      </c>
      <c r="CS414" s="970" t="n">
        <v>0.81052</v>
      </c>
    </row>
    <row r="415">
      <c r="B415" s="204">
        <f>+C415-1</f>
        <v/>
      </c>
      <c r="C415" s="204">
        <f>IF('bands_A-H_Avg'!$D$9+1&gt;MONTH(G415),YEAR(G415),YEAR(G415)+1)</f>
        <v/>
      </c>
      <c r="D415" s="204">
        <f>+C415+1</f>
        <v/>
      </c>
      <c r="E415" s="203">
        <f>IF(C415&gt;C414,1,E414+1)</f>
        <v/>
      </c>
      <c r="F415" s="203">
        <f>COUNTIF(C:C,C415)</f>
        <v/>
      </c>
      <c r="G415" s="198">
        <f>+G414+7</f>
        <v/>
      </c>
      <c r="H415" s="361">
        <f>IF(ISBLANK(CO415),CP415,SUMPRODUCT(CO$32:CP$32,CO415:CP415))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6.648772439606984</v>
      </c>
      <c r="CP415" s="199" t="n">
        <v>3.94</v>
      </c>
      <c r="CR415" s="199" t="n">
        <v>5.4</v>
      </c>
      <c r="CS415" s="970" t="n">
        <v>0.81218</v>
      </c>
    </row>
    <row r="416">
      <c r="B416" s="204">
        <f>+C416-1</f>
        <v/>
      </c>
      <c r="C416" s="204">
        <f>IF('bands_A-H_Avg'!$D$9+1&gt;MONTH(G416),YEAR(G416),YEAR(G416)+1)</f>
        <v/>
      </c>
      <c r="D416" s="204">
        <f>+C416+1</f>
        <v/>
      </c>
      <c r="E416" s="203">
        <f>IF(C416&gt;C415,1,E415+1)</f>
        <v/>
      </c>
      <c r="F416" s="203">
        <f>COUNTIF(C:C,C416)</f>
        <v/>
      </c>
      <c r="G416" s="198">
        <f>+G415+7</f>
        <v/>
      </c>
      <c r="H416" s="361">
        <f>IF(ISBLANK(CO416),CP416,SUMPRODUCT(CO$32:CP$32,CO416:CP416))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6.702313776704531</v>
      </c>
      <c r="CP416" s="199" t="n">
        <v>4.17</v>
      </c>
      <c r="CR416" s="199" t="n">
        <v>5.44</v>
      </c>
      <c r="CS416" s="970" t="n">
        <v>0.81166</v>
      </c>
    </row>
    <row r="417">
      <c r="B417" s="204">
        <f>+C417-1</f>
        <v/>
      </c>
      <c r="C417" s="204">
        <f>IF('bands_A-H_Avg'!$D$9+1&gt;MONTH(G417),YEAR(G417),YEAR(G417)+1)</f>
        <v/>
      </c>
      <c r="D417" s="204">
        <f>+C417+1</f>
        <v/>
      </c>
      <c r="E417" s="203">
        <f>IF(C417&gt;C416,1,E416+1)</f>
        <v/>
      </c>
      <c r="F417" s="203">
        <f>COUNTIF(C:C,C417)</f>
        <v/>
      </c>
      <c r="G417" s="198">
        <f>+G416+7</f>
        <v/>
      </c>
      <c r="H417" s="361">
        <f>IF(ISBLANK(CO417),CP417,SUMPRODUCT(CO$32:CP$32,CO417:CP417))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6.883303985913238</v>
      </c>
      <c r="CP417" s="199" t="n">
        <v>4.14</v>
      </c>
      <c r="CR417" s="199" t="n">
        <v>5.59</v>
      </c>
      <c r="CS417" s="970" t="n">
        <v>0.81211</v>
      </c>
    </row>
    <row r="418">
      <c r="B418" s="204">
        <f>+C418-1</f>
        <v/>
      </c>
      <c r="C418" s="204">
        <f>IF('bands_A-H_Avg'!$D$9+1&gt;MONTH(G418),YEAR(G418),YEAR(G418)+1)</f>
        <v/>
      </c>
      <c r="D418" s="204">
        <f>+C418+1</f>
        <v/>
      </c>
      <c r="E418" s="203">
        <f>IF(C418&gt;C417,1,E417+1)</f>
        <v/>
      </c>
      <c r="F418" s="203">
        <f>COUNTIF(C:C,C418)</f>
        <v/>
      </c>
      <c r="G418" s="198">
        <f>+G417+7</f>
        <v/>
      </c>
      <c r="H418" s="361">
        <f>IF(ISBLANK(CO418),CP418,SUMPRODUCT(CO$32:CP$32,CO418:CP418))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7.093951602936452</v>
      </c>
      <c r="CP418" s="199" t="n">
        <v>3.94</v>
      </c>
      <c r="CR418" s="199" t="n">
        <v>5.74</v>
      </c>
      <c r="CS418" s="970" t="n">
        <v>0.80914</v>
      </c>
    </row>
    <row r="419">
      <c r="B419" s="204">
        <f>+C419-1</f>
        <v/>
      </c>
      <c r="C419" s="204">
        <f>IF('bands_A-H_Avg'!$D$9+1&gt;MONTH(G419),YEAR(G419),YEAR(G419)+1)</f>
        <v/>
      </c>
      <c r="D419" s="204">
        <f>+C419+1</f>
        <v/>
      </c>
      <c r="E419" s="203">
        <f>IF(C419&gt;C418,1,E418+1)</f>
        <v/>
      </c>
      <c r="F419" s="203">
        <f>COUNTIF(C:C,C419)</f>
        <v/>
      </c>
      <c r="G419" s="198">
        <f>+G418+7</f>
        <v/>
      </c>
      <c r="H419" s="361">
        <f>IF(ISBLANK(CO419),CP419,SUMPRODUCT(CO$32:CP$32,CO419:CP419))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7.28882749774922</v>
      </c>
      <c r="CP419" s="199" t="n">
        <v>3.95</v>
      </c>
      <c r="CR419" s="199" t="n">
        <v>5.91</v>
      </c>
      <c r="CS419" s="970" t="n">
        <v>0.8108300000000001</v>
      </c>
    </row>
    <row r="420">
      <c r="B420" s="204">
        <f>+C420-1</f>
        <v/>
      </c>
      <c r="C420" s="204">
        <f>IF('bands_A-H_Avg'!$D$9+1&gt;MONTH(G420),YEAR(G420),YEAR(G420)+1)</f>
        <v/>
      </c>
      <c r="D420" s="204">
        <f>+C420+1</f>
        <v/>
      </c>
      <c r="E420" s="203">
        <f>IF(C420&gt;C419,1,E419+1)</f>
        <v/>
      </c>
      <c r="F420" s="203">
        <f>COUNTIF(C:C,C420)</f>
        <v/>
      </c>
      <c r="G420" s="198">
        <f>+G419+7</f>
        <v/>
      </c>
      <c r="H420" s="361">
        <f>IF(ISBLANK(CO420),CP420,SUMPRODUCT(CO$32:CP$32,CO420:CP420))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6.865833251304262</v>
      </c>
      <c r="CP420" s="199" t="n">
        <v>3.49</v>
      </c>
      <c r="CR420" s="199" t="n">
        <v>5.58</v>
      </c>
      <c r="CS420" s="970" t="n">
        <v>0.81272</v>
      </c>
    </row>
    <row r="421">
      <c r="B421" s="204">
        <f>+C421-1</f>
        <v/>
      </c>
      <c r="C421" s="204">
        <f>IF('bands_A-H_Avg'!$D$9+1&gt;MONTH(G421),YEAR(G421),YEAR(G421)+1)</f>
        <v/>
      </c>
      <c r="D421" s="204">
        <f>+C421+1</f>
        <v/>
      </c>
      <c r="E421" s="203">
        <f>IF(C421&gt;C420,1,E420+1)</f>
        <v/>
      </c>
      <c r="F421" s="203">
        <f>COUNTIF(C:C,C421)</f>
        <v/>
      </c>
      <c r="G421" s="198">
        <f>+G420+7</f>
        <v/>
      </c>
      <c r="H421" s="361">
        <f>IF(ISBLANK(CO421),CP421,SUMPRODUCT(CO$32:CP$32,CO421:CP421))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6.704075242807853</v>
      </c>
      <c r="CP421" s="199" t="n">
        <v>3.27</v>
      </c>
      <c r="CR421" s="199" t="n">
        <v>5.46</v>
      </c>
      <c r="CS421" s="970" t="n">
        <v>0.81443</v>
      </c>
    </row>
    <row r="422">
      <c r="B422" s="204">
        <f>+C422-1</f>
        <v/>
      </c>
      <c r="C422" s="204">
        <f>IF('bands_A-H_Avg'!$D$9+1&gt;MONTH(G422),YEAR(G422),YEAR(G422)+1)</f>
        <v/>
      </c>
      <c r="D422" s="204">
        <f>+C422+1</f>
        <v/>
      </c>
      <c r="E422" s="203">
        <f>IF(C422&gt;C421,1,E421+1)</f>
        <v/>
      </c>
      <c r="F422" s="203">
        <f>COUNTIF(C:C,C422)</f>
        <v/>
      </c>
      <c r="G422" s="198">
        <f>+G421+7</f>
        <v/>
      </c>
      <c r="H422" s="361">
        <f>IF(ISBLANK(CO422),CP422,SUMPRODUCT(CO$32:CP$32,CO422:CP422))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6.801887370549666</v>
      </c>
      <c r="CP422" s="199" t="n">
        <v>3.2</v>
      </c>
      <c r="CR422" s="199" t="n">
        <v>5.55</v>
      </c>
      <c r="CS422" s="970" t="n">
        <v>0.81595</v>
      </c>
    </row>
    <row r="423">
      <c r="B423" s="204">
        <f>+C423-1</f>
        <v/>
      </c>
      <c r="C423" s="204">
        <f>IF('bands_A-H_Avg'!$D$9+1&gt;MONTH(G423),YEAR(G423),YEAR(G423)+1)</f>
        <v/>
      </c>
      <c r="D423" s="204">
        <f>+C423+1</f>
        <v/>
      </c>
      <c r="E423" s="203">
        <f>IF(C423&gt;C422,1,E422+1)</f>
        <v/>
      </c>
      <c r="F423" s="203">
        <f>COUNTIF(C:C,C423)</f>
        <v/>
      </c>
      <c r="G423" s="198">
        <f>+G422+7</f>
        <v/>
      </c>
      <c r="H423" s="361">
        <f>IF(ISBLANK(CO423),CP423,SUMPRODUCT(CO$32:CP$32,CO423:CP423))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6.967792233104322</v>
      </c>
      <c r="CP423" s="199" t="n">
        <v>3.4</v>
      </c>
      <c r="CR423" s="199" t="n">
        <v>5.72</v>
      </c>
      <c r="CS423" s="970" t="n">
        <v>0.82092</v>
      </c>
    </row>
    <row r="424">
      <c r="B424" s="204">
        <f>+C424-1</f>
        <v/>
      </c>
      <c r="C424" s="204">
        <f>IF('bands_A-H_Avg'!$D$9+1&gt;MONTH(G424),YEAR(G424),YEAR(G424)+1)</f>
        <v/>
      </c>
      <c r="D424" s="204">
        <f>+C424+1</f>
        <v/>
      </c>
      <c r="E424" s="203">
        <f>IF(C424&gt;C423,1,E423+1)</f>
        <v/>
      </c>
      <c r="F424" s="203">
        <f>COUNTIF(C:C,C424)</f>
        <v/>
      </c>
      <c r="G424" s="198">
        <f>+G423+7</f>
        <v/>
      </c>
      <c r="H424" s="361">
        <f>IF(ISBLANK(CO424),CP424,SUMPRODUCT(CO$32:CP$32,CO424:CP424))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6.413454868505919</v>
      </c>
      <c r="CP424" s="199" t="n">
        <v>3.26</v>
      </c>
      <c r="CR424" s="199" t="n">
        <v>5.27</v>
      </c>
      <c r="CS424" s="970" t="n">
        <v>0.8217100000000001</v>
      </c>
    </row>
    <row r="425">
      <c r="B425" s="204">
        <f>+C425-1</f>
        <v/>
      </c>
      <c r="C425" s="204">
        <f>IF('bands_A-H_Avg'!$D$9+1&gt;MONTH(G425),YEAR(G425),YEAR(G425)+1)</f>
        <v/>
      </c>
      <c r="D425" s="204">
        <f>+C425+1</f>
        <v/>
      </c>
      <c r="E425" s="203">
        <f>IF(C425&gt;C424,1,E424+1)</f>
        <v/>
      </c>
      <c r="F425" s="203">
        <f>COUNTIF(C:C,C425)</f>
        <v/>
      </c>
      <c r="G425" s="198">
        <f>+G424+7</f>
        <v/>
      </c>
      <c r="H425" s="361">
        <f>IF(ISBLANK(CO425),CP425,SUMPRODUCT(CO$32:CP$32,CO425:CP425))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6.214964660004874</v>
      </c>
      <c r="CP425" s="199" t="n">
        <v>3.2</v>
      </c>
      <c r="CR425" s="199" t="n">
        <v>5.1</v>
      </c>
      <c r="CS425" s="970" t="n">
        <v>0.8206</v>
      </c>
    </row>
    <row r="426">
      <c r="B426" s="204">
        <f>+C426-1</f>
        <v/>
      </c>
      <c r="C426" s="204">
        <f>IF('bands_A-H_Avg'!$D$9+1&gt;MONTH(G426),YEAR(G426),YEAR(G426)+1)</f>
        <v/>
      </c>
      <c r="D426" s="204">
        <f>+C426+1</f>
        <v/>
      </c>
      <c r="E426" s="203">
        <f>IF(C426&gt;C425,1,E425+1)</f>
        <v/>
      </c>
      <c r="F426" s="203">
        <f>COUNTIF(C:C,C426)</f>
        <v/>
      </c>
      <c r="G426" s="198">
        <f>+G425+7</f>
        <v/>
      </c>
      <c r="H426" s="361">
        <f>IF(ISBLANK(CO426),CP426,SUMPRODUCT(CO$32:CP$32,CO426:CP426))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6.19232785206675</v>
      </c>
      <c r="CP426" s="199" t="n">
        <v>3.21</v>
      </c>
      <c r="CR426" s="199" t="n">
        <v>5.08</v>
      </c>
      <c r="CS426" s="970" t="n">
        <v>0.82037</v>
      </c>
    </row>
    <row r="427">
      <c r="B427" s="204">
        <f>+C427-1</f>
        <v/>
      </c>
      <c r="C427" s="204">
        <f>IF('bands_A-H_Avg'!$D$9+1&gt;MONTH(G427),YEAR(G427),YEAR(G427)+1)</f>
        <v/>
      </c>
      <c r="D427" s="204">
        <f>+C427+1</f>
        <v/>
      </c>
      <c r="E427" s="203">
        <f>IF(C427&gt;C426,1,E426+1)</f>
        <v/>
      </c>
      <c r="F427" s="203">
        <f>COUNTIF(C:C,C427)</f>
        <v/>
      </c>
      <c r="G427" s="198">
        <f>+G426+7</f>
        <v/>
      </c>
      <c r="H427" s="361">
        <f>IF(ISBLANK(CO427),CP427,SUMPRODUCT(CO$32:CP$32,CO427:CP427))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5.566202409579728</v>
      </c>
      <c r="CP427" s="199" t="n">
        <v>3.13</v>
      </c>
      <c r="CR427" s="199" t="n">
        <v>4.56</v>
      </c>
      <c r="CS427" s="970" t="n">
        <v>0.81923</v>
      </c>
    </row>
    <row r="428">
      <c r="B428" s="204">
        <f>+C428-1</f>
        <v/>
      </c>
      <c r="C428" s="204">
        <f>IF('bands_A-H_Avg'!$D$9+1&gt;MONTH(G428),YEAR(G428),YEAR(G428)+1)</f>
        <v/>
      </c>
      <c r="D428" s="204">
        <f>+C428+1</f>
        <v/>
      </c>
      <c r="E428" s="203">
        <f>IF(C428&gt;C427,1,E427+1)</f>
        <v/>
      </c>
      <c r="F428" s="203">
        <f>COUNTIF(C:C,C428)</f>
        <v/>
      </c>
      <c r="G428" s="198">
        <f>+G427+7</f>
        <v/>
      </c>
      <c r="H428" s="361">
        <f>IF(ISBLANK(CO428),CP428,SUMPRODUCT(CO$32:CP$32,CO428:CP428))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5.651437828093979</v>
      </c>
      <c r="CP428" s="199" t="n">
        <v>3.17</v>
      </c>
      <c r="CR428" s="199" t="n">
        <v>4.64</v>
      </c>
      <c r="CS428" s="970" t="n">
        <v>0.82103</v>
      </c>
    </row>
    <row r="429">
      <c r="B429" s="204">
        <f>+C429-1</f>
        <v/>
      </c>
      <c r="C429" s="204">
        <f>IF('bands_A-H_Avg'!$D$9+1&gt;MONTH(G429),YEAR(G429),YEAR(G429)+1)</f>
        <v/>
      </c>
      <c r="D429" s="204">
        <f>+C429+1</f>
        <v/>
      </c>
      <c r="E429" s="203">
        <f>IF(C429&gt;C428,1,E428+1)</f>
        <v/>
      </c>
      <c r="F429" s="203">
        <f>COUNTIF(C:C,C429)</f>
        <v/>
      </c>
      <c r="G429" s="198">
        <f>+G428+7</f>
        <v/>
      </c>
      <c r="H429" s="361">
        <f>IF(ISBLANK(CO429),CP429,SUMPRODUCT(CO$32:CP$32,CO429:CP429))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5.362385655011768</v>
      </c>
      <c r="CP429" s="199" t="n">
        <v>2.76</v>
      </c>
      <c r="CR429" s="199" t="n">
        <v>4.42</v>
      </c>
      <c r="CS429" s="970" t="n">
        <v>0.82426</v>
      </c>
    </row>
    <row r="430">
      <c r="B430" s="204">
        <f>+C430-1</f>
        <v/>
      </c>
      <c r="C430" s="204">
        <f>IF('bands_A-H_Avg'!$D$9+1&gt;MONTH(G430),YEAR(G430),YEAR(G430)+1)</f>
        <v/>
      </c>
      <c r="D430" s="204">
        <f>+C430+1</f>
        <v/>
      </c>
      <c r="E430" s="203">
        <f>IF(C430&gt;C429,1,E429+1)</f>
        <v/>
      </c>
      <c r="F430" s="203">
        <f>COUNTIF(C:C,C430)</f>
        <v/>
      </c>
      <c r="G430" s="198">
        <f>+G429+7</f>
        <v/>
      </c>
      <c r="H430" s="361">
        <f>IF(ISBLANK(CO430),CP430,SUMPRODUCT(CO$32:CP$32,CO430:CP430))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5.256305741783981</v>
      </c>
      <c r="CP430" s="199" t="n">
        <v>2.79</v>
      </c>
      <c r="CR430" s="199" t="n">
        <v>4.32</v>
      </c>
      <c r="CS430" s="970" t="n">
        <v>0.82187</v>
      </c>
    </row>
    <row r="431">
      <c r="B431" s="204">
        <f>+C431-1</f>
        <v/>
      </c>
      <c r="C431" s="204">
        <f>IF('bands_A-H_Avg'!$D$9+1&gt;MONTH(G431),YEAR(G431),YEAR(G431)+1)</f>
        <v/>
      </c>
      <c r="D431" s="204">
        <f>+C431+1</f>
        <v/>
      </c>
      <c r="E431" s="203">
        <f>IF(C431&gt;C430,1,E430+1)</f>
        <v/>
      </c>
      <c r="F431" s="203">
        <f>COUNTIF(C:C,C431)</f>
        <v/>
      </c>
      <c r="G431" s="198">
        <f>+G430+7</f>
        <v/>
      </c>
      <c r="H431" s="361">
        <f>IF(ISBLANK(CO431),CP431,SUMPRODUCT(CO$32:CP$32,CO431:CP431))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5.202635353609025</v>
      </c>
      <c r="CP431" s="199" t="n">
        <v>2.73</v>
      </c>
      <c r="CR431" s="199" t="n">
        <v>4.28</v>
      </c>
      <c r="CS431" s="970" t="n">
        <v>0.8226599999999999</v>
      </c>
    </row>
    <row r="432">
      <c r="B432" s="204">
        <f>+C432-1</f>
        <v/>
      </c>
      <c r="C432" s="204">
        <f>IF('bands_A-H_Avg'!$D$9+1&gt;MONTH(G432),YEAR(G432),YEAR(G432)+1)</f>
        <v/>
      </c>
      <c r="D432" s="204">
        <f>+C432+1</f>
        <v/>
      </c>
      <c r="E432" s="203">
        <f>IF(C432&gt;C431,1,E431+1)</f>
        <v/>
      </c>
      <c r="F432" s="203">
        <f>COUNTIF(C:C,C432)</f>
        <v/>
      </c>
      <c r="G432" s="198">
        <f>+G431+7</f>
        <v/>
      </c>
      <c r="H432" s="361">
        <f>IF(ISBLANK(CO432),CP432,SUMPRODUCT(CO$32:CP$32,CO432:CP432))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5.257009345794392</v>
      </c>
      <c r="CP432" s="199" t="n">
        <v>3.01</v>
      </c>
      <c r="CR432" s="199" t="n">
        <v>4.32</v>
      </c>
      <c r="CS432" s="970" t="n">
        <v>0.82176</v>
      </c>
    </row>
    <row r="433">
      <c r="B433" s="204">
        <f>+C433-1</f>
        <v/>
      </c>
      <c r="C433" s="204">
        <f>IF('bands_A-H_Avg'!$D$9+1&gt;MONTH(G433),YEAR(G433),YEAR(G433)+1)</f>
        <v/>
      </c>
      <c r="D433" s="204">
        <f>+C433+1</f>
        <v/>
      </c>
      <c r="E433" s="203">
        <f>IF(C433&gt;C432,1,E432+1)</f>
        <v/>
      </c>
      <c r="F433" s="203">
        <f>COUNTIF(C:C,C433)</f>
        <v/>
      </c>
      <c r="G433" s="198">
        <f>+G432+7</f>
        <v/>
      </c>
      <c r="H433" s="361">
        <f>IF(ISBLANK(CO433),CP433,SUMPRODUCT(CO$32:CP$32,CO433:CP433))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5.368930972630655</v>
      </c>
      <c r="CP433" s="199" t="n">
        <v>3.27</v>
      </c>
      <c r="CR433" s="199" t="n">
        <v>4.4</v>
      </c>
      <c r="CS433" s="970" t="n">
        <v>0.81953</v>
      </c>
    </row>
    <row r="434">
      <c r="B434" s="204">
        <f>+C434-1</f>
        <v/>
      </c>
      <c r="C434" s="204">
        <f>IF('bands_A-H_Avg'!$D$9+1&gt;MONTH(G434),YEAR(G434),YEAR(G434)+1)</f>
        <v/>
      </c>
      <c r="D434" s="204">
        <f>+C434+1</f>
        <v/>
      </c>
      <c r="E434" s="203">
        <f>IF(C434&gt;C433,1,E433+1)</f>
        <v/>
      </c>
      <c r="F434" s="203">
        <f>COUNTIF(C:C,C434)</f>
        <v/>
      </c>
      <c r="G434" s="198">
        <f>+G433+7</f>
        <v/>
      </c>
      <c r="H434" s="361">
        <f>IF(ISBLANK(CO434),CP434,SUMPRODUCT(CO$32:CP$32,CO434:CP434))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5.220403483521577</v>
      </c>
      <c r="CP434" s="199" t="n">
        <v>3.26</v>
      </c>
      <c r="CR434" s="199" t="n">
        <v>4.28</v>
      </c>
      <c r="CS434" s="970" t="n">
        <v>0.81986</v>
      </c>
    </row>
    <row r="435">
      <c r="B435" s="204">
        <f>+C435-1</f>
        <v/>
      </c>
      <c r="C435" s="204">
        <f>IF('bands_A-H_Avg'!$D$9+1&gt;MONTH(G435),YEAR(G435),YEAR(G435)+1)</f>
        <v/>
      </c>
      <c r="D435" s="204">
        <f>+C435+1</f>
        <v/>
      </c>
      <c r="E435" s="203">
        <f>IF(C435&gt;C434,1,E434+1)</f>
        <v/>
      </c>
      <c r="F435" s="203">
        <f>COUNTIF(C:C,C435)</f>
        <v/>
      </c>
      <c r="G435" s="198">
        <f>+G434+7</f>
        <v/>
      </c>
      <c r="H435" s="361">
        <f>IF(ISBLANK(CO435),CP435,SUMPRODUCT(CO$32:CP$32,CO435:CP435))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5.150424116677854</v>
      </c>
      <c r="CP435" s="199" t="n">
        <v>3.18</v>
      </c>
      <c r="CR435" s="199" t="n">
        <v>4.22</v>
      </c>
      <c r="CS435" s="970" t="n">
        <v>0.81935</v>
      </c>
    </row>
    <row r="436">
      <c r="B436" s="204">
        <f>+C436-1</f>
        <v/>
      </c>
      <c r="C436" s="204">
        <f>IF('bands_A-H_Avg'!$D$9+1&gt;MONTH(G436),YEAR(G436),YEAR(G436)+1)</f>
        <v/>
      </c>
      <c r="D436" s="204">
        <f>+C436+1</f>
        <v/>
      </c>
      <c r="E436" s="203">
        <f>IF(C436&gt;C435,1,E435+1)</f>
        <v/>
      </c>
      <c r="F436" s="203">
        <f>COUNTIF(C:C,C436)</f>
        <v/>
      </c>
      <c r="G436" s="198">
        <f>+G435+7</f>
        <v/>
      </c>
      <c r="H436" s="361">
        <f>IF(ISBLANK(CO436),CP436,SUMPRODUCT(CO$32:CP$32,CO436:CP436))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4.934351145038169</v>
      </c>
      <c r="CP436" s="199" t="n">
        <v>3.11</v>
      </c>
      <c r="CR436" s="199" t="n">
        <v>4.04</v>
      </c>
      <c r="CS436" s="970" t="n">
        <v>0.81875</v>
      </c>
    </row>
    <row r="437">
      <c r="B437" s="204">
        <f>+C437-1</f>
        <v/>
      </c>
      <c r="C437" s="204">
        <f>IF('bands_A-H_Avg'!$D$9+1&gt;MONTH(G437),YEAR(G437),YEAR(G437)+1)</f>
        <v/>
      </c>
      <c r="D437" s="204">
        <f>+C437+1</f>
        <v/>
      </c>
      <c r="E437" s="203">
        <f>IF(C437&gt;C436,1,E436+1)</f>
        <v/>
      </c>
      <c r="F437" s="203">
        <f>COUNTIF(C:C,C437)</f>
        <v/>
      </c>
      <c r="G437" s="198">
        <f>+G436+7</f>
        <v/>
      </c>
      <c r="H437" s="361">
        <f>IF(ISBLANK(CO437),CP437,SUMPRODUCT(CO$32:CP$32,CO437:CP437))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5.159365715892558</v>
      </c>
      <c r="CP437" s="199" t="n">
        <v>3.26</v>
      </c>
      <c r="CR437" s="199" t="n">
        <v>4.22</v>
      </c>
      <c r="CS437" s="970" t="n">
        <v>0.81793</v>
      </c>
    </row>
    <row r="438">
      <c r="B438" s="204">
        <f>+C438-1</f>
        <v/>
      </c>
      <c r="C438" s="204">
        <f>IF('bands_A-H_Avg'!$D$9+1&gt;MONTH(G438),YEAR(G438),YEAR(G438)+1)</f>
        <v/>
      </c>
      <c r="D438" s="204">
        <f>+C438+1</f>
        <v/>
      </c>
      <c r="E438" s="203">
        <f>IF(C438&gt;C437,1,E437+1)</f>
        <v/>
      </c>
      <c r="F438" s="203">
        <f>COUNTIF(C:C,C438)</f>
        <v/>
      </c>
      <c r="G438" s="198">
        <f>+G437+7</f>
        <v/>
      </c>
      <c r="H438" s="361">
        <f>IF(ISBLANK(CO438),CP438,SUMPRODUCT(CO$32:CP$32,CO438:CP438))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5.216067943887382</v>
      </c>
      <c r="CP438" s="199" t="n">
        <v>3.3</v>
      </c>
      <c r="CR438" s="199" t="n">
        <v>4.25</v>
      </c>
      <c r="CS438" s="970" t="n">
        <v>0.81479</v>
      </c>
    </row>
    <row r="439">
      <c r="B439" s="204">
        <f>+C439-1</f>
        <v/>
      </c>
      <c r="C439" s="204">
        <f>IF('bands_A-H_Avg'!$D$9+1&gt;MONTH(G439),YEAR(G439),YEAR(G439)+1)</f>
        <v/>
      </c>
      <c r="D439" s="204">
        <f>+C439+1</f>
        <v/>
      </c>
      <c r="E439" s="203">
        <f>IF(C439&gt;C438,1,E438+1)</f>
        <v/>
      </c>
      <c r="F439" s="203">
        <f>COUNTIF(C:C,C439)</f>
        <v/>
      </c>
      <c r="G439" s="198">
        <f>+G438+7</f>
        <v/>
      </c>
      <c r="H439" s="361">
        <f>IF(ISBLANK(CO439),CP439,SUMPRODUCT(CO$32:CP$32,CO439:CP439))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4.919020622993962</v>
      </c>
      <c r="CP439" s="199" t="n">
        <v>3.05</v>
      </c>
      <c r="CR439" s="199" t="n">
        <v>4</v>
      </c>
      <c r="CS439" s="970" t="n">
        <v>0.8131699999999999</v>
      </c>
    </row>
    <row r="440">
      <c r="B440" s="204">
        <f>+C440-1</f>
        <v/>
      </c>
      <c r="C440" s="204">
        <f>IF('bands_A-H_Avg'!$D$9+1&gt;MONTH(G440),YEAR(G440),YEAR(G440)+1)</f>
        <v/>
      </c>
      <c r="D440" s="204">
        <f>+C440+1</f>
        <v/>
      </c>
      <c r="E440" s="203">
        <f>IF(C440&gt;C439,1,E439+1)</f>
        <v/>
      </c>
      <c r="F440" s="203">
        <f>COUNTIF(C:C,C440)</f>
        <v/>
      </c>
      <c r="G440" s="198">
        <f>+G439+7</f>
        <v/>
      </c>
      <c r="H440" s="361">
        <f>IF(ISBLANK(CO440),CP440,SUMPRODUCT(CO$32:CP$32,CO440:CP440))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4.983901012817507</v>
      </c>
      <c r="CP440" s="199" t="n">
        <v>2.76</v>
      </c>
      <c r="CR440" s="199" t="n">
        <v>4.04</v>
      </c>
      <c r="CS440" s="970" t="n">
        <v>0.8106100000000001</v>
      </c>
    </row>
    <row r="441">
      <c r="B441" s="204">
        <f>+C441-1</f>
        <v/>
      </c>
      <c r="C441" s="204">
        <f>IF('bands_A-H_Avg'!$D$9+1&gt;MONTH(G441),YEAR(G441),YEAR(G441)+1)</f>
        <v/>
      </c>
      <c r="D441" s="204">
        <f>+C441+1</f>
        <v/>
      </c>
      <c r="E441" s="203">
        <f>IF(C441&gt;C440,1,E440+1)</f>
        <v/>
      </c>
      <c r="F441" s="203">
        <f>COUNTIF(C:C,C441)</f>
        <v/>
      </c>
      <c r="G441" s="198">
        <f>+G440+7</f>
        <v/>
      </c>
      <c r="H441" s="361">
        <f>IF(ISBLANK(CO441),CP441,SUMPRODUCT(CO$32:CP$32,CO441:CP441))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4.947463812486223</v>
      </c>
      <c r="CP441" s="199" t="n">
        <v>2.79</v>
      </c>
      <c r="CR441" s="199" t="n">
        <v>4.04</v>
      </c>
      <c r="CS441" s="970" t="n">
        <v>0.81658</v>
      </c>
    </row>
    <row r="442">
      <c r="B442" s="204">
        <f>+C442-1</f>
        <v/>
      </c>
      <c r="C442" s="204">
        <f>IF('bands_A-H_Avg'!$D$9+1&gt;MONTH(G442),YEAR(G442),YEAR(G442)+1)</f>
        <v/>
      </c>
      <c r="D442" s="204">
        <f>+C442+1</f>
        <v/>
      </c>
      <c r="E442" s="203">
        <f>IF(C442&gt;C441,1,E441+1)</f>
        <v/>
      </c>
      <c r="F442" s="203">
        <f>COUNTIF(C:C,C442)</f>
        <v/>
      </c>
      <c r="G442" s="198">
        <f>+G441+7</f>
        <v/>
      </c>
      <c r="H442" s="361">
        <f>IF(ISBLANK(CO442),CP442,SUMPRODUCT(CO$32:CP$32,CO442:CP442))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5.03382682151559</v>
      </c>
      <c r="CP442" s="199" t="n">
        <v>2.84</v>
      </c>
      <c r="CR442" s="199" t="n">
        <v>4.07</v>
      </c>
      <c r="CS442" s="970" t="n">
        <v>0.80853</v>
      </c>
    </row>
    <row r="443">
      <c r="B443" s="204">
        <f>+C443-1</f>
        <v/>
      </c>
      <c r="C443" s="204">
        <f>IF('bands_A-H_Avg'!$D$9+1&gt;MONTH(G443),YEAR(G443),YEAR(G443)+1)</f>
        <v/>
      </c>
      <c r="D443" s="204">
        <f>+C443+1</f>
        <v/>
      </c>
      <c r="E443" s="203">
        <f>IF(C443&gt;C442,1,E442+1)</f>
        <v/>
      </c>
      <c r="F443" s="203">
        <f>COUNTIF(C:C,C443)</f>
        <v/>
      </c>
      <c r="G443" s="198">
        <f>+G442+7</f>
        <v/>
      </c>
      <c r="H443" s="361">
        <f>IF(ISBLANK(CO443),CP443,SUMPRODUCT(CO$32:CP$32,CO443:CP443))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5.167670458770169</v>
      </c>
      <c r="CP443" s="199" t="n">
        <v>3.31</v>
      </c>
      <c r="CR443" s="199" t="n">
        <v>4.17</v>
      </c>
      <c r="CS443" s="970" t="n">
        <v>0.80694</v>
      </c>
    </row>
    <row r="444">
      <c r="B444" s="204">
        <f>+C444-1</f>
        <v/>
      </c>
      <c r="C444" s="204">
        <f>IF('bands_A-H_Avg'!$D$9+1&gt;MONTH(G444),YEAR(G444),YEAR(G444)+1)</f>
        <v/>
      </c>
      <c r="D444" s="204">
        <f>+C444+1</f>
        <v/>
      </c>
      <c r="E444" s="203">
        <f>IF(C444&gt;C443,1,E443+1)</f>
        <v/>
      </c>
      <c r="F444" s="203">
        <f>COUNTIF(C:C,C444)</f>
        <v/>
      </c>
      <c r="G444" s="198">
        <f>+G443+7</f>
        <v/>
      </c>
      <c r="H444" s="361">
        <f>IF(ISBLANK(CO444),CP444,SUMPRODUCT(CO$32:CP$32,CO444:CP444))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5.122353554020365</v>
      </c>
      <c r="CP444" s="199" t="n">
        <v>3.21</v>
      </c>
      <c r="CR444" s="199" t="n">
        <v>4.13</v>
      </c>
      <c r="CS444" s="970" t="n">
        <v>0.80627</v>
      </c>
    </row>
    <row r="445">
      <c r="B445" s="204">
        <f>+C445-1</f>
        <v/>
      </c>
      <c r="C445" s="204">
        <f>IF('bands_A-H_Avg'!$D$9+1&gt;MONTH(G445),YEAR(G445),YEAR(G445)+1)</f>
        <v/>
      </c>
      <c r="D445" s="204">
        <f>+C445+1</f>
        <v/>
      </c>
      <c r="E445" s="203">
        <f>IF(C445&gt;C444,1,E444+1)</f>
        <v/>
      </c>
      <c r="F445" s="203">
        <f>COUNTIF(C:C,C445)</f>
        <v/>
      </c>
      <c r="G445" s="198">
        <f>+G444+7</f>
        <v/>
      </c>
      <c r="H445" s="361">
        <f>IF(ISBLANK(CO445),CP445,SUMPRODUCT(CO$32:CP$32,CO445:CP445))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5.240022847492984</v>
      </c>
      <c r="CP445" s="199" t="n">
        <v>3.22</v>
      </c>
      <c r="CR445" s="199" t="n">
        <v>4.22</v>
      </c>
      <c r="CS445" s="970" t="n">
        <v>0.8053399999999999</v>
      </c>
    </row>
    <row r="446">
      <c r="B446" s="204">
        <f>+C446-1</f>
        <v/>
      </c>
      <c r="C446" s="204">
        <f>IF('bands_A-H_Avg'!$D$9+1&gt;MONTH(G446),YEAR(G446),YEAR(G446)+1)</f>
        <v/>
      </c>
      <c r="D446" s="204">
        <f>+C446+1</f>
        <v/>
      </c>
      <c r="E446" s="203">
        <f>IF(C446&gt;C445,1,E445+1)</f>
        <v/>
      </c>
      <c r="F446" s="203">
        <f>COUNTIF(C:C,C446)</f>
        <v/>
      </c>
      <c r="G446" s="198">
        <f>+G445+7</f>
        <v/>
      </c>
      <c r="H446" s="361">
        <f>IF(ISBLANK(CO446),CP446,SUMPRODUCT(CO$32:CP$32,CO446:CP446))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5.068260021614639</v>
      </c>
      <c r="CP446" s="199" t="n">
        <v>3.13</v>
      </c>
      <c r="CR446" s="199" t="n">
        <v>4.08</v>
      </c>
      <c r="CS446" s="970" t="n">
        <v>0.80501</v>
      </c>
    </row>
    <row r="447">
      <c r="B447" s="204">
        <f>+C447-1</f>
        <v/>
      </c>
      <c r="C447" s="204">
        <f>IF('bands_A-H_Avg'!$D$9+1&gt;MONTH(G447),YEAR(G447),YEAR(G447)+1)</f>
        <v/>
      </c>
      <c r="D447" s="204">
        <f>+C447+1</f>
        <v/>
      </c>
      <c r="E447" s="203">
        <f>IF(C447&gt;C446,1,E446+1)</f>
        <v/>
      </c>
      <c r="F447" s="203">
        <f>COUNTIF(C:C,C447)</f>
        <v/>
      </c>
      <c r="G447" s="198">
        <f>+G446+7</f>
        <v/>
      </c>
      <c r="H447" s="361">
        <f>IF(ISBLANK(CO447),CP447,SUMPRODUCT(CO$32:CP$32,CO447:CP447))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4.811338347734195</v>
      </c>
      <c r="CP447" s="199" t="n">
        <v>3.1</v>
      </c>
      <c r="CR447" s="199" t="n">
        <v>3.87</v>
      </c>
      <c r="CS447" s="970" t="n">
        <v>0.80435</v>
      </c>
    </row>
    <row r="448">
      <c r="B448" s="204">
        <f>+C448-1</f>
        <v/>
      </c>
      <c r="C448" s="204">
        <f>IF('bands_A-H_Avg'!$D$9+1&gt;MONTH(G448),YEAR(G448),YEAR(G448)+1)</f>
        <v/>
      </c>
      <c r="D448" s="204">
        <f>+C448+1</f>
        <v/>
      </c>
      <c r="E448" s="203">
        <f>IF(C448&gt;C447,1,E447+1)</f>
        <v/>
      </c>
      <c r="F448" s="203">
        <f>COUNTIF(C:C,C448)</f>
        <v/>
      </c>
      <c r="G448" s="198">
        <f>+G447+7</f>
        <v/>
      </c>
      <c r="H448" s="361">
        <f>IF(ISBLANK(CO448),CP448,SUMPRODUCT(CO$32:CP$32,CO448:CP448))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4.881328916892885</v>
      </c>
      <c r="CP448" s="199" t="n">
        <v>3.19</v>
      </c>
      <c r="CR448" s="199" t="n">
        <v>3.92</v>
      </c>
      <c r="CS448" s="970" t="n">
        <v>0.80306</v>
      </c>
    </row>
    <row r="449">
      <c r="B449" s="204">
        <f>+C449-1</f>
        <v/>
      </c>
      <c r="C449" s="204">
        <f>IF('bands_A-H_Avg'!$D$9+1&gt;MONTH(G449),YEAR(G449),YEAR(G449)+1)</f>
        <v/>
      </c>
      <c r="D449" s="204">
        <f>+C449+1</f>
        <v/>
      </c>
      <c r="E449" s="203">
        <f>IF(C449&gt;C448,1,E448+1)</f>
        <v/>
      </c>
      <c r="F449" s="203">
        <f>COUNTIF(C:C,C449)</f>
        <v/>
      </c>
      <c r="G449" s="198">
        <f>+G448+7</f>
        <v/>
      </c>
      <c r="H449" s="361">
        <f>IF(ISBLANK(CO449),CP449,SUMPRODUCT(CO$32:CP$32,CO449:CP449))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4.555525130068955</v>
      </c>
      <c r="CP449" s="199" t="n">
        <v>3.05</v>
      </c>
      <c r="CR449" s="199" t="n">
        <v>3.66</v>
      </c>
      <c r="CS449" s="970" t="n">
        <v>0.80342</v>
      </c>
    </row>
    <row r="450">
      <c r="B450" s="204">
        <f>+C450-1</f>
        <v/>
      </c>
      <c r="C450" s="204">
        <f>IF('bands_A-H_Avg'!$D$9+1&gt;MONTH(G450),YEAR(G450),YEAR(G450)+1)</f>
        <v/>
      </c>
      <c r="D450" s="204">
        <f>+C450+1</f>
        <v/>
      </c>
      <c r="E450" s="203">
        <f>IF(C450&gt;C449,1,E449+1)</f>
        <v/>
      </c>
      <c r="F450" s="203">
        <f>COUNTIF(C:C,C450)</f>
        <v/>
      </c>
      <c r="G450" s="198">
        <f>+G449+7</f>
        <v/>
      </c>
      <c r="H450" s="361">
        <f>IF(ISBLANK(CO450),CP450,SUMPRODUCT(CO$32:CP$32,CO450:CP450))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4.723724283672074</v>
      </c>
      <c r="CP450" s="199" t="n">
        <v>3.13</v>
      </c>
      <c r="CR450" s="199" t="n">
        <v>3.8</v>
      </c>
      <c r="CS450" s="970" t="n">
        <v>0.80445</v>
      </c>
    </row>
    <row r="451">
      <c r="B451" s="204">
        <f>+C451-1</f>
        <v/>
      </c>
      <c r="C451" s="204">
        <f>IF('bands_A-H_Avg'!$D$9+1&gt;MONTH(G451),YEAR(G451),YEAR(G451)+1)</f>
        <v/>
      </c>
      <c r="D451" s="204">
        <f>+C451+1</f>
        <v/>
      </c>
      <c r="E451" s="203">
        <f>IF(C451&gt;C450,1,E450+1)</f>
        <v/>
      </c>
      <c r="F451" s="203">
        <f>COUNTIF(C:C,C451)</f>
        <v/>
      </c>
      <c r="G451" s="198">
        <f>+G450+7</f>
        <v/>
      </c>
      <c r="H451" s="361">
        <f>IF(ISBLANK(CO451),CP451,SUMPRODUCT(CO$32:CP$32,CO451:CP451))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4.80178671133445</v>
      </c>
      <c r="CP451" s="199" t="n">
        <v>3.39</v>
      </c>
      <c r="CR451" s="199" t="n">
        <v>3.87</v>
      </c>
      <c r="CS451" s="970" t="n">
        <v>0.8059500000000001</v>
      </c>
    </row>
    <row r="452">
      <c r="B452" s="204">
        <f>+C452-1</f>
        <v/>
      </c>
      <c r="C452" s="204">
        <f>IF('bands_A-H_Avg'!$D$9+1&gt;MONTH(G452),YEAR(G452),YEAR(G452)+1)</f>
        <v/>
      </c>
      <c r="D452" s="204">
        <f>+C452+1</f>
        <v/>
      </c>
      <c r="E452" s="203">
        <f>IF(C452&gt;C451,1,E451+1)</f>
        <v/>
      </c>
      <c r="F452" s="203">
        <f>COUNTIF(C:C,C452)</f>
        <v/>
      </c>
      <c r="G452" s="198">
        <f>+G451+7</f>
        <v/>
      </c>
      <c r="H452" s="361">
        <f>IF(ISBLANK(CO452),CP452,SUMPRODUCT(CO$32:CP$32,CO452:CP452))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4.810261892036345</v>
      </c>
      <c r="CP452" s="199" t="n">
        <v>3.44</v>
      </c>
      <c r="CR452" s="199" t="n">
        <v>3.87</v>
      </c>
      <c r="CS452" s="970" t="n">
        <v>0.80453</v>
      </c>
    </row>
    <row r="453">
      <c r="B453" s="204">
        <f>+C453-1</f>
        <v/>
      </c>
      <c r="C453" s="204">
        <f>IF('bands_A-H_Avg'!$D$9+1&gt;MONTH(G453),YEAR(G453),YEAR(G453)+1)</f>
        <v/>
      </c>
      <c r="D453" s="204">
        <f>+C453+1</f>
        <v/>
      </c>
      <c r="E453" s="203">
        <f>IF(C453&gt;C452,1,E452+1)</f>
        <v/>
      </c>
      <c r="F453" s="203">
        <f>COUNTIF(C:C,C453)</f>
        <v/>
      </c>
      <c r="G453" s="198">
        <f>+G452+7</f>
        <v/>
      </c>
      <c r="H453" s="361">
        <f>IF(ISBLANK(CO453),CP453,SUMPRODUCT(CO$32:CP$32,CO453:CP453))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5.009633911368016</v>
      </c>
      <c r="CP453" s="199" t="n">
        <v>3.35</v>
      </c>
      <c r="CR453" s="199" t="n">
        <v>4.03</v>
      </c>
      <c r="CS453" s="970" t="n">
        <v>0.80445</v>
      </c>
    </row>
    <row r="454">
      <c r="B454" s="204">
        <f>+C454-1</f>
        <v/>
      </c>
      <c r="C454" s="204">
        <f>IF('bands_A-H_Avg'!$D$9+1&gt;MONTH(G454),YEAR(G454),YEAR(G454)+1)</f>
        <v/>
      </c>
      <c r="D454" s="204">
        <f>+C454+1</f>
        <v/>
      </c>
      <c r="E454" s="203">
        <f>IF(C454&gt;C453,1,E453+1)</f>
        <v/>
      </c>
      <c r="F454" s="203">
        <f>COUNTIF(C:C,C454)</f>
        <v/>
      </c>
      <c r="G454" s="198">
        <f>+G453+7</f>
        <v/>
      </c>
      <c r="H454" s="361">
        <f>IF(ISBLANK(CO454),CP454,SUMPRODUCT(CO$32:CP$32,CO454:CP454))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5.050567877890703</v>
      </c>
      <c r="CP454" s="199" t="n">
        <v>3.55</v>
      </c>
      <c r="CR454" s="199" t="n">
        <v>4.06</v>
      </c>
      <c r="CS454" s="970" t="n">
        <v>0.80387</v>
      </c>
    </row>
    <row r="455">
      <c r="B455" s="204">
        <f>+C455-1</f>
        <v/>
      </c>
      <c r="C455" s="204">
        <f>IF('bands_A-H_Avg'!$D$9+1&gt;MONTH(G455),YEAR(G455),YEAR(G455)+1)</f>
        <v/>
      </c>
      <c r="D455" s="204">
        <f>+C455+1</f>
        <v/>
      </c>
      <c r="E455" s="203">
        <f>IF(C455&gt;C454,1,E454+1)</f>
        <v/>
      </c>
      <c r="F455" s="203">
        <f>COUNTIF(C:C,C455)</f>
        <v/>
      </c>
      <c r="G455" s="198">
        <f>+G454+7</f>
        <v/>
      </c>
      <c r="H455" s="361">
        <f>IF(ISBLANK(CO455),CP455,SUMPRODUCT(CO$32:CP$32,CO455:CP455))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5.124816080201501</v>
      </c>
      <c r="CP455" s="199" t="n">
        <v>3.81</v>
      </c>
      <c r="CR455" s="199" t="n">
        <v>4.11</v>
      </c>
      <c r="CS455" s="970" t="n">
        <v>0.80198</v>
      </c>
    </row>
    <row r="456">
      <c r="B456" s="204">
        <f>+C456-1</f>
        <v/>
      </c>
      <c r="C456" s="204">
        <f>IF('bands_A-H_Avg'!$D$9+1&gt;MONTH(G456),YEAR(G456),YEAR(G456)+1)</f>
        <v/>
      </c>
      <c r="D456" s="204">
        <f>+C456+1</f>
        <v/>
      </c>
      <c r="E456" s="203">
        <f>IF(C456&gt;C455,1,E455+1)</f>
        <v/>
      </c>
      <c r="F456" s="203">
        <f>COUNTIF(C:C,C456)</f>
        <v/>
      </c>
      <c r="G456" s="198">
        <f>+G455+7</f>
        <v/>
      </c>
      <c r="H456" s="361">
        <f>IF(ISBLANK(CO456),CP456,SUMPRODUCT(CO$32:CP$32,CO456:CP456))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5.260599109936549</v>
      </c>
      <c r="CP456" s="199" t="n">
        <v>3.5</v>
      </c>
      <c r="CR456" s="199" t="n">
        <v>4.22</v>
      </c>
      <c r="CS456" s="970" t="n">
        <v>0.80219</v>
      </c>
    </row>
    <row r="457">
      <c r="B457" s="204">
        <f>+C457-1</f>
        <v/>
      </c>
      <c r="C457" s="204">
        <f>IF('bands_A-H_Avg'!$D$9+1&gt;MONTH(G457),YEAR(G457),YEAR(G457)+1)</f>
        <v/>
      </c>
      <c r="D457" s="204">
        <f>+C457+1</f>
        <v/>
      </c>
      <c r="E457" s="203">
        <f>IF(C457&gt;C456,1,E456+1)</f>
        <v/>
      </c>
      <c r="F457" s="203">
        <f>COUNTIF(C:C,C457)</f>
        <v/>
      </c>
      <c r="G457" s="198">
        <f>+G456+7</f>
        <v/>
      </c>
      <c r="H457" s="361">
        <f>IF(ISBLANK(CO457),CP457,SUMPRODUCT(CO$32:CP$32,CO457:CP457))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5.046791860334708</v>
      </c>
      <c r="CP457" s="199" t="n">
        <v>3.22</v>
      </c>
      <c r="CR457" s="199" t="n">
        <v>4.05</v>
      </c>
      <c r="CS457" s="970" t="n">
        <v>0.80249</v>
      </c>
    </row>
    <row r="458">
      <c r="B458" s="204">
        <f>+C458-1</f>
        <v/>
      </c>
      <c r="C458" s="204">
        <f>IF('bands_A-H_Avg'!$D$9+1&gt;MONTH(G458),YEAR(G458),YEAR(G458)+1)</f>
        <v/>
      </c>
      <c r="D458" s="204">
        <f>+C458+1</f>
        <v/>
      </c>
      <c r="E458" s="203">
        <f>IF(C458&gt;C457,1,E457+1)</f>
        <v/>
      </c>
      <c r="F458" s="203">
        <f>COUNTIF(C:C,C458)</f>
        <v/>
      </c>
      <c r="G458" s="198">
        <f>+G457+7</f>
        <v/>
      </c>
      <c r="H458" s="361">
        <f>IF(ISBLANK(CO458),CP458,SUMPRODUCT(CO$32:CP$32,CO458:CP458))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5.227977146271332</v>
      </c>
      <c r="CP458" s="199" t="n">
        <v>3.16</v>
      </c>
      <c r="CR458" s="199" t="n">
        <v>4.2</v>
      </c>
      <c r="CS458" s="970" t="n">
        <v>0.80337</v>
      </c>
    </row>
    <row r="459">
      <c r="B459" s="204">
        <f>+C459-1</f>
        <v/>
      </c>
      <c r="C459" s="204">
        <f>IF('bands_A-H_Avg'!$D$9+1&gt;MONTH(G459),YEAR(G459),YEAR(G459)+1)</f>
        <v/>
      </c>
      <c r="D459" s="204">
        <f>+C459+1</f>
        <v/>
      </c>
      <c r="E459" s="203">
        <f>IF(C459&gt;C458,1,E458+1)</f>
        <v/>
      </c>
      <c r="F459" s="203">
        <f>COUNTIF(C:C,C459)</f>
        <v/>
      </c>
      <c r="G459" s="198">
        <f>+G458+7</f>
        <v/>
      </c>
      <c r="H459" s="361">
        <f>IF(ISBLANK(CO459),CP459,SUMPRODUCT(CO$32:CP$32,CO459:CP459))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5.276650820120965</v>
      </c>
      <c r="CP459" s="199" t="n">
        <v>3.25</v>
      </c>
      <c r="CR459" s="199" t="n">
        <v>4.24</v>
      </c>
      <c r="CS459" s="970" t="n">
        <v>0.80354</v>
      </c>
    </row>
    <row r="460">
      <c r="B460" s="204">
        <f>+C460-1</f>
        <v/>
      </c>
      <c r="C460" s="204">
        <f>IF('bands_A-H_Avg'!$D$9+1&gt;MONTH(G460),YEAR(G460),YEAR(G460)+1)</f>
        <v/>
      </c>
      <c r="D460" s="204">
        <f>+C460+1</f>
        <v/>
      </c>
      <c r="E460" s="203">
        <f>IF(C460&gt;C459,1,E459+1)</f>
        <v/>
      </c>
      <c r="F460" s="203">
        <f>COUNTIF(C:C,C460)</f>
        <v/>
      </c>
      <c r="G460" s="198">
        <f>+G459+7</f>
        <v/>
      </c>
      <c r="H460" s="361">
        <f>IF(ISBLANK(CO460),CP460,SUMPRODUCT(CO$32:CP$32,CO460:CP460))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5.275272161741835</v>
      </c>
      <c r="CP460" s="199" t="n">
        <v>3.26</v>
      </c>
      <c r="CR460" s="199" t="n">
        <v>4.24</v>
      </c>
      <c r="CS460" s="970" t="n">
        <v>0.80375</v>
      </c>
    </row>
    <row r="461">
      <c r="B461" s="204">
        <f>+C461-1</f>
        <v/>
      </c>
      <c r="C461" s="204">
        <f>IF('bands_A-H_Avg'!$D$9+1&gt;MONTH(G461),YEAR(G461),YEAR(G461)+1)</f>
        <v/>
      </c>
      <c r="D461" s="204">
        <f>+C461+1</f>
        <v/>
      </c>
      <c r="E461" s="203">
        <f>IF(C461&gt;C460,1,E460+1)</f>
        <v/>
      </c>
      <c r="F461" s="203">
        <f>COUNTIF(C:C,C461)</f>
        <v/>
      </c>
      <c r="G461" s="198">
        <f>+G460+7</f>
        <v/>
      </c>
      <c r="H461" s="361">
        <f>IF(ISBLANK(CO461),CP461,SUMPRODUCT(CO$32:CP$32,CO461:CP461))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5.050944875032656</v>
      </c>
      <c r="CP461" s="199" t="n">
        <v>3.08</v>
      </c>
      <c r="CR461" s="199" t="n">
        <v>4.06</v>
      </c>
      <c r="CS461" s="970" t="n">
        <v>0.80381</v>
      </c>
    </row>
    <row r="462">
      <c r="B462" s="204">
        <f>+C462-1</f>
        <v/>
      </c>
      <c r="C462" s="204">
        <f>IF('bands_A-H_Avg'!$D$9+1&gt;MONTH(G462),YEAR(G462),YEAR(G462)+1)</f>
        <v/>
      </c>
      <c r="D462" s="204">
        <f>+C462+1</f>
        <v/>
      </c>
      <c r="E462" s="203">
        <f>IF(C462&gt;C461,1,E461+1)</f>
        <v/>
      </c>
      <c r="F462" s="203">
        <f>COUNTIF(C:C,C462)</f>
        <v/>
      </c>
      <c r="G462" s="198">
        <f>+G461+7</f>
        <v/>
      </c>
      <c r="H462" s="361">
        <f>IF(ISBLANK(CO462),CP462,SUMPRODUCT(CO$32:CP$32,CO462:CP462))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5.109034267912772</v>
      </c>
      <c r="CP462" s="199" t="n">
        <v>3.2</v>
      </c>
      <c r="CR462" s="199" t="n">
        <v>4.1</v>
      </c>
      <c r="CS462" s="970" t="n">
        <v>0.8025</v>
      </c>
    </row>
    <row r="463">
      <c r="B463" s="204">
        <f>+C463-1</f>
        <v/>
      </c>
      <c r="C463" s="204">
        <f>IF('bands_A-H_Avg'!$D$9+1&gt;MONTH(G463),YEAR(G463),YEAR(G463)+1)</f>
        <v/>
      </c>
      <c r="D463" s="204">
        <f>+C463+1</f>
        <v/>
      </c>
      <c r="E463" s="203">
        <f>IF(C463&gt;C462,1,E462+1)</f>
        <v/>
      </c>
      <c r="F463" s="203">
        <f>COUNTIF(C:C,C463)</f>
        <v/>
      </c>
      <c r="G463" s="198">
        <f>+G462+7</f>
        <v/>
      </c>
      <c r="H463" s="361">
        <f>IF(ISBLANK(CO463),CP463,SUMPRODUCT(CO$32:CP$32,CO463:CP463))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5.079373003194888</v>
      </c>
      <c r="CP463" s="199" t="n">
        <v>3.26</v>
      </c>
      <c r="CR463" s="199" t="n">
        <v>4.07</v>
      </c>
      <c r="CS463" s="970" t="n">
        <v>0.80128</v>
      </c>
    </row>
    <row r="464">
      <c r="B464" s="204">
        <f>+C464-1</f>
        <v/>
      </c>
      <c r="C464" s="204">
        <f>IF('bands_A-H_Avg'!$D$9+1&gt;MONTH(G464),YEAR(G464),YEAR(G464)+1)</f>
        <v/>
      </c>
      <c r="D464" s="204">
        <f>+C464+1</f>
        <v/>
      </c>
      <c r="E464" s="203">
        <f>IF(C464&gt;C463,1,E463+1)</f>
        <v/>
      </c>
      <c r="F464" s="203">
        <f>COUNTIF(C:C,C464)</f>
        <v/>
      </c>
      <c r="G464" s="198">
        <f>+G463+7</f>
        <v/>
      </c>
      <c r="H464" s="361">
        <f>IF(ISBLANK(CO464),CP464,SUMPRODUCT(CO$32:CP$32,CO464:CP464))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5.347459956520654</v>
      </c>
      <c r="CP464" s="199" t="n">
        <v>3.06</v>
      </c>
      <c r="CR464" s="199" t="n">
        <v>4.28</v>
      </c>
      <c r="CS464" s="970" t="n">
        <v>0.80038</v>
      </c>
    </row>
    <row r="465">
      <c r="B465" s="204">
        <f>+C465-1</f>
        <v/>
      </c>
      <c r="C465" s="204">
        <f>IF('bands_A-H_Avg'!$D$9+1&gt;MONTH(G465),YEAR(G465),YEAR(G465)+1)</f>
        <v/>
      </c>
      <c r="D465" s="204">
        <f>+C465+1</f>
        <v/>
      </c>
      <c r="E465" s="203">
        <f>IF(C465&gt;C464,1,E464+1)</f>
        <v/>
      </c>
      <c r="F465" s="203">
        <f>COUNTIF(C:C,C465)</f>
        <v/>
      </c>
      <c r="G465" s="198">
        <f>+G464+7</f>
        <v/>
      </c>
      <c r="H465" s="361">
        <f>IF(ISBLANK(CO465),CP465,SUMPRODUCT(CO$32:CP$32,CO465:CP465))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5.249868753281168</v>
      </c>
      <c r="CP465" s="199" t="n">
        <v>3.19</v>
      </c>
      <c r="CR465" s="199" t="n">
        <v>4.2</v>
      </c>
      <c r="CS465" s="970" t="n">
        <v>0.80002</v>
      </c>
    </row>
    <row r="466">
      <c r="B466" s="204">
        <f>+C466-1</f>
        <v/>
      </c>
      <c r="C466" s="204">
        <f>IF('bands_A-H_Avg'!$D$9+1&gt;MONTH(G466),YEAR(G466),YEAR(G466)+1)</f>
        <v/>
      </c>
      <c r="D466" s="204">
        <f>+C466+1</f>
        <v/>
      </c>
      <c r="E466" s="203">
        <f>IF(C466&gt;C465,1,E465+1)</f>
        <v/>
      </c>
      <c r="F466" s="203">
        <f>COUNTIF(C:C,C466)</f>
        <v/>
      </c>
      <c r="G466" s="198">
        <f>+G465+7</f>
        <v/>
      </c>
      <c r="H466" s="361">
        <f>IF(ISBLANK(CO466),CP466,SUMPRODUCT(CO$32:CP$32,CO466:CP466))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4.962686100728777</v>
      </c>
      <c r="CP466" s="199" t="n">
        <v>3.02</v>
      </c>
      <c r="CR466" s="199" t="n">
        <v>3.97</v>
      </c>
      <c r="CS466" s="970" t="n">
        <v>0.79997</v>
      </c>
    </row>
    <row r="467">
      <c r="B467" s="204">
        <f>+C467-1</f>
        <v/>
      </c>
      <c r="C467" s="204">
        <f>IF('bands_A-H_Avg'!$D$9+1&gt;MONTH(G467),YEAR(G467),YEAR(G467)+1)</f>
        <v/>
      </c>
      <c r="D467" s="204">
        <f>+C467+1</f>
        <v/>
      </c>
      <c r="E467" s="203">
        <f>IF(C467&gt;C466,1,E466+1)</f>
        <v/>
      </c>
      <c r="F467" s="203">
        <f>COUNTIF(C:C,C467)</f>
        <v/>
      </c>
      <c r="G467" s="198">
        <f>+G466+7</f>
        <v/>
      </c>
      <c r="H467" s="361">
        <f>IF(ISBLANK(CO467),CP467,SUMPRODUCT(CO$32:CP$32,CO467:CP467))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4.883423906238261</v>
      </c>
      <c r="CP467" s="199" t="n">
        <v>2.76</v>
      </c>
      <c r="CR467" s="199" t="n">
        <v>3.9</v>
      </c>
      <c r="CS467" s="970" t="n">
        <v>0.79862</v>
      </c>
    </row>
    <row r="468">
      <c r="B468" s="204">
        <f>+C468-1</f>
        <v/>
      </c>
      <c r="C468" s="204">
        <f>IF('bands_A-H_Avg'!$D$9+1&gt;MONTH(G468),YEAR(G468),YEAR(G468)+1)</f>
        <v/>
      </c>
      <c r="D468" s="204">
        <f>+C468+1</f>
        <v/>
      </c>
      <c r="E468" s="203">
        <f>IF(C468&gt;C467,1,E467+1)</f>
        <v/>
      </c>
      <c r="F468" s="203">
        <f>COUNTIF(C:C,C468)</f>
        <v/>
      </c>
      <c r="G468" s="198">
        <f>+G467+7</f>
        <v/>
      </c>
      <c r="H468" s="361">
        <f>IF(ISBLANK(CO468),CP468,SUMPRODUCT(CO$32:CP$32,CO468:CP468))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4.860206433510371</v>
      </c>
      <c r="CP468" s="199" t="n">
        <v>2.74</v>
      </c>
      <c r="CR468" s="199" t="n">
        <v>3.88</v>
      </c>
      <c r="CS468" s="970" t="n">
        <v>0.79832</v>
      </c>
    </row>
    <row r="469">
      <c r="B469" s="204">
        <f>+C469-1</f>
        <v/>
      </c>
      <c r="C469" s="204">
        <f>IF('bands_A-H_Avg'!$D$9+1&gt;MONTH(G469),YEAR(G469),YEAR(G469)+1)</f>
        <v/>
      </c>
      <c r="D469" s="204">
        <f>+C469+1</f>
        <v/>
      </c>
      <c r="E469" s="203">
        <f>IF(C469&gt;C468,1,E468+1)</f>
        <v/>
      </c>
      <c r="F469" s="203">
        <f>COUNTIF(C:C,C469)</f>
        <v/>
      </c>
      <c r="G469" s="198">
        <f>+G468+7</f>
        <v/>
      </c>
      <c r="H469" s="361">
        <f>IF(ISBLANK(CO469),CP469,SUMPRODUCT(CO$32:CP$32,CO469:CP469))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4.905105082443497</v>
      </c>
      <c r="CP469" s="199" t="n">
        <v>2.67</v>
      </c>
      <c r="CR469" s="199" t="n">
        <v>3.9</v>
      </c>
      <c r="CS469" s="970" t="n">
        <v>0.79509</v>
      </c>
    </row>
    <row r="470">
      <c r="B470" s="204">
        <f>+C470-1</f>
        <v/>
      </c>
      <c r="C470" s="204">
        <f>IF('bands_A-H_Avg'!$D$9+1&gt;MONTH(G470),YEAR(G470),YEAR(G470)+1)</f>
        <v/>
      </c>
      <c r="D470" s="204">
        <f>+C470+1</f>
        <v/>
      </c>
      <c r="E470" s="203">
        <f>IF(C470&gt;C469,1,E469+1)</f>
        <v/>
      </c>
      <c r="F470" s="203">
        <f>COUNTIF(C:C,C470)</f>
        <v/>
      </c>
      <c r="G470" s="198">
        <f>+G469+7</f>
        <v/>
      </c>
      <c r="H470" s="361">
        <f>IF(ISBLANK(CO470),CP470,SUMPRODUCT(CO$32:CP$32,CO470:CP470))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4.700456183683242</v>
      </c>
      <c r="CP470" s="199" t="n">
        <v>2.82</v>
      </c>
      <c r="CR470" s="199" t="n">
        <v>3.73</v>
      </c>
      <c r="CS470" s="970" t="n">
        <v>0.79354</v>
      </c>
    </row>
    <row r="471">
      <c r="B471" s="204">
        <f>+C471-1</f>
        <v/>
      </c>
      <c r="C471" s="204">
        <f>IF('bands_A-H_Avg'!$D$9+1&gt;MONTH(G471),YEAR(G471),YEAR(G471)+1)</f>
        <v/>
      </c>
      <c r="D471" s="204">
        <f>+C471+1</f>
        <v/>
      </c>
      <c r="E471" s="203">
        <f>IF(C471&gt;C470,1,E470+1)</f>
        <v/>
      </c>
      <c r="F471" s="203">
        <f>COUNTIF(C:C,C471)</f>
        <v/>
      </c>
      <c r="G471" s="198">
        <f>+G470+7</f>
        <v/>
      </c>
      <c r="H471" s="361">
        <f>IF(ISBLANK(CO471),CP471,SUMPRODUCT(CO$32:CP$32,CO471:CP471))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4.726731874558839</v>
      </c>
      <c r="CP471" s="199" t="n">
        <v>2.83</v>
      </c>
      <c r="CR471" s="199" t="n">
        <v>3.75</v>
      </c>
      <c r="CS471" s="970" t="n">
        <v>0.79336</v>
      </c>
    </row>
    <row r="472">
      <c r="B472" s="204">
        <f>+C472-1</f>
        <v/>
      </c>
      <c r="C472" s="204">
        <f>IF('bands_A-H_Avg'!$D$9+1&gt;MONTH(G472),YEAR(G472),YEAR(G472)+1)</f>
        <v/>
      </c>
      <c r="D472" s="204">
        <f>+C472+1</f>
        <v/>
      </c>
      <c r="E472" s="203">
        <f>IF(C472&gt;C471,1,E471+1)</f>
        <v/>
      </c>
      <c r="F472" s="203">
        <f>COUNTIF(C:C,C472)</f>
        <v/>
      </c>
      <c r="G472" s="198">
        <f>+G471+7</f>
        <v/>
      </c>
      <c r="H472" s="361">
        <f>IF(ISBLANK(CO472),CP472,SUMPRODUCT(CO$32:CP$32,CO472:CP472))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4.903075795486137</v>
      </c>
      <c r="CP472" s="199" t="n">
        <v>3.05</v>
      </c>
      <c r="CR472" s="199" t="n">
        <v>3.88</v>
      </c>
      <c r="CS472" s="970" t="n">
        <v>0.79134</v>
      </c>
    </row>
    <row r="473">
      <c r="B473" s="204">
        <f>+C473-1</f>
        <v/>
      </c>
      <c r="C473" s="204">
        <f>IF('bands_A-H_Avg'!$D$9+1&gt;MONTH(G473),YEAR(G473),YEAR(G473)+1)</f>
        <v/>
      </c>
      <c r="D473" s="204">
        <f>+C473+1</f>
        <v/>
      </c>
      <c r="E473" s="203">
        <f>IF(C473&gt;C472,1,E472+1)</f>
        <v/>
      </c>
      <c r="F473" s="203">
        <f>COUNTIF(C:C,C473)</f>
        <v/>
      </c>
      <c r="G473" s="198">
        <f>+G472+7</f>
        <v/>
      </c>
      <c r="H473" s="361">
        <f>IF(ISBLANK(CO473),CP473,SUMPRODUCT(CO$32:CP$32,CO473:CP473))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4.954875243319766</v>
      </c>
      <c r="CP473" s="199" t="n">
        <v>2.98</v>
      </c>
      <c r="CR473" s="199" t="n">
        <v>3.92</v>
      </c>
      <c r="CS473" s="970" t="n">
        <v>0.79114</v>
      </c>
    </row>
    <row r="474">
      <c r="B474" s="204">
        <f>+C474-1</f>
        <v/>
      </c>
      <c r="C474" s="204">
        <f>IF('bands_A-H_Avg'!$D$9+1&gt;MONTH(G474),YEAR(G474),YEAR(G474)+1)</f>
        <v/>
      </c>
      <c r="D474" s="204">
        <f>+C474+1</f>
        <v/>
      </c>
      <c r="E474" s="203">
        <f>IF(C474&gt;C473,1,E473+1)</f>
        <v/>
      </c>
      <c r="F474" s="203">
        <f>COUNTIF(C:C,C474)</f>
        <v/>
      </c>
      <c r="G474" s="198">
        <f>+G473+7</f>
        <v/>
      </c>
      <c r="H474" s="361">
        <f>IF(ISBLANK(CO474),CP474,SUMPRODUCT(CO$32:CP$32,CO474:CP474))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4.963156162163531</v>
      </c>
      <c r="CP474" s="199" t="n">
        <v>2.98</v>
      </c>
      <c r="CR474" s="199" t="n">
        <v>3.92</v>
      </c>
      <c r="CS474" s="970" t="n">
        <v>0.78982</v>
      </c>
    </row>
    <row r="475">
      <c r="B475" s="204">
        <f>+C475-1</f>
        <v/>
      </c>
      <c r="C475" s="204">
        <f>IF('bands_A-H_Avg'!$D$9+1&gt;MONTH(G475),YEAR(G475),YEAR(G475)+1)</f>
        <v/>
      </c>
      <c r="D475" s="204">
        <f>+C475+1</f>
        <v/>
      </c>
      <c r="E475" s="203">
        <f>IF(C475&gt;C474,1,E474+1)</f>
        <v/>
      </c>
      <c r="F475" s="203">
        <f>COUNTIF(C:C,C475)</f>
        <v/>
      </c>
      <c r="G475" s="198">
        <f>+G474+7</f>
        <v/>
      </c>
      <c r="H475" s="361">
        <f>IF(ISBLANK(CO475),CP475,SUMPRODUCT(CO$32:CP$32,CO475:CP475))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4.922430592463241</v>
      </c>
      <c r="CP475" s="199" t="n">
        <v>2.89</v>
      </c>
      <c r="CR475" s="199" t="n">
        <v>3.89</v>
      </c>
      <c r="CS475" s="970" t="n">
        <v>0.79026</v>
      </c>
    </row>
    <row r="476">
      <c r="B476" s="204">
        <f>+C476-1</f>
        <v/>
      </c>
      <c r="C476" s="204">
        <f>IF('bands_A-H_Avg'!$D$9+1&gt;MONTH(G476),YEAR(G476),YEAR(G476)+1)</f>
        <v/>
      </c>
      <c r="D476" s="204">
        <f>+C476+1</f>
        <v/>
      </c>
      <c r="E476" s="203">
        <f>IF(C476&gt;C475,1,E475+1)</f>
        <v/>
      </c>
      <c r="F476" s="203">
        <f>COUNTIF(C:C,C476)</f>
        <v/>
      </c>
      <c r="G476" s="198">
        <f>+G475+7</f>
        <v/>
      </c>
      <c r="H476" s="361">
        <f>IF(ISBLANK(CO476),CP476,SUMPRODUCT(CO$32:CP$32,CO476:CP476))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4.948239641600648</v>
      </c>
      <c r="CP476" s="199" t="n">
        <v>2.93</v>
      </c>
      <c r="CR476" s="199" t="n">
        <v>3.91</v>
      </c>
      <c r="CS476" s="970" t="n">
        <v>0.79018</v>
      </c>
    </row>
    <row r="477">
      <c r="B477" s="204">
        <f>+C477-1</f>
        <v/>
      </c>
      <c r="C477" s="204">
        <f>IF('bands_A-H_Avg'!$D$9+1&gt;MONTH(G477),YEAR(G477),YEAR(G477)+1)</f>
        <v/>
      </c>
      <c r="D477" s="204">
        <f>+C477+1</f>
        <v/>
      </c>
      <c r="E477" s="203">
        <f>IF(C477&gt;C476,1,E476+1)</f>
        <v/>
      </c>
      <c r="F477" s="203">
        <f>COUNTIF(C:C,C477)</f>
        <v/>
      </c>
      <c r="G477" s="198">
        <f>+G476+7</f>
        <v/>
      </c>
      <c r="H477" s="361">
        <f>IF(ISBLANK(CO477),CP477,SUMPRODUCT(CO$32:CP$32,CO477:CP477))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4.734536800263312</v>
      </c>
      <c r="CP477" s="199" t="n">
        <v>2.73</v>
      </c>
      <c r="CR477" s="199" t="n">
        <v>3.74</v>
      </c>
      <c r="CS477" s="970" t="n">
        <v>0.78994</v>
      </c>
    </row>
    <row r="478">
      <c r="B478" s="204">
        <f>+C478-1</f>
        <v/>
      </c>
      <c r="C478" s="204">
        <f>IF('bands_A-H_Avg'!$D$9+1&gt;MONTH(G478),YEAR(G478),YEAR(G478)+1)</f>
        <v/>
      </c>
      <c r="D478" s="204">
        <f>+C478+1</f>
        <v/>
      </c>
      <c r="E478" s="203">
        <f>IF(C478&gt;C477,1,E477+1)</f>
        <v/>
      </c>
      <c r="F478" s="203">
        <f>COUNTIF(C:C,C478)</f>
        <v/>
      </c>
      <c r="G478" s="198">
        <f>+G477+7</f>
        <v/>
      </c>
      <c r="H478" s="361">
        <f>IF(ISBLANK(CO478),CP478,SUMPRODUCT(CO$32:CP$32,CO478:CP478))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4.565863530006957</v>
      </c>
      <c r="CP478" s="199" t="n">
        <v>2.64</v>
      </c>
      <c r="CR478" s="199" t="n">
        <v>3.61</v>
      </c>
      <c r="CS478" s="970" t="n">
        <v>0.79065</v>
      </c>
    </row>
    <row r="479">
      <c r="B479" s="204">
        <f>+C479-1</f>
        <v/>
      </c>
      <c r="C479" s="204">
        <f>IF('bands_A-H_Avg'!$D$9+1&gt;MONTH(G479),YEAR(G479),YEAR(G479)+1)</f>
        <v/>
      </c>
      <c r="D479" s="204">
        <f>+C479+1</f>
        <v/>
      </c>
      <c r="E479" s="203">
        <f>IF(C479&gt;C478,1,E478+1)</f>
        <v/>
      </c>
      <c r="F479" s="203">
        <f>COUNTIF(C:C,C479)</f>
        <v/>
      </c>
      <c r="G479" s="198">
        <f>+G478+7</f>
        <v/>
      </c>
      <c r="H479" s="361">
        <f>IF(ISBLANK(CO479),CP479,SUMPRODUCT(CO$32:CP$32,CO479:CP479))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4.221008998079061</v>
      </c>
      <c r="CP479" s="199" t="n">
        <v>2.6</v>
      </c>
      <c r="CR479" s="199" t="n">
        <v>3.34</v>
      </c>
      <c r="CS479" s="970" t="n">
        <v>0.79128</v>
      </c>
    </row>
    <row r="480">
      <c r="B480" s="204">
        <f>+C480-1</f>
        <v/>
      </c>
      <c r="C480" s="204">
        <f>IF('bands_A-H_Avg'!$D$9+1&gt;MONTH(G480),YEAR(G480),YEAR(G480)+1)</f>
        <v/>
      </c>
      <c r="D480" s="204">
        <f>+C480+1</f>
        <v/>
      </c>
      <c r="E480" s="203">
        <f>IF(C480&gt;C479,1,E479+1)</f>
        <v/>
      </c>
      <c r="F480" s="203">
        <f>COUNTIF(C:C,C480)</f>
        <v/>
      </c>
      <c r="G480" s="198">
        <f>+G479+7</f>
        <v/>
      </c>
      <c r="H480" s="361">
        <f>IF(ISBLANK(CO480),CP480,SUMPRODUCT(CO$32:CP$32,CO480:CP480))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4.248700732142179</v>
      </c>
      <c r="CP480" s="199" t="n">
        <v>2.5</v>
      </c>
      <c r="CR480" s="199" t="n">
        <v>3.36</v>
      </c>
      <c r="CS480" s="970" t="n">
        <v>0.79083</v>
      </c>
    </row>
    <row r="481">
      <c r="B481" s="204">
        <f>+C481-1</f>
        <v/>
      </c>
      <c r="C481" s="204">
        <f>IF('bands_A-H_Avg'!$D$9+1&gt;MONTH(G481),YEAR(G481),YEAR(G481)+1)</f>
        <v/>
      </c>
      <c r="D481" s="204">
        <f>+C481+1</f>
        <v/>
      </c>
      <c r="E481" s="203">
        <f>IF(C481&gt;C480,1,E480+1)</f>
        <v/>
      </c>
      <c r="F481" s="203">
        <f>COUNTIF(C:C,C481)</f>
        <v/>
      </c>
      <c r="G481" s="198">
        <f>+G480+7</f>
        <v/>
      </c>
      <c r="H481" s="361">
        <f>IF(ISBLANK(CO481),CP481,SUMPRODUCT(CO$32:CP$32,CO481:CP481))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4.209701275552129</v>
      </c>
      <c r="CP481" s="199" t="n">
        <v>2.58</v>
      </c>
      <c r="CR481" s="199" t="n">
        <v>3.33</v>
      </c>
      <c r="CS481" s="970" t="n">
        <v>0.79103</v>
      </c>
    </row>
    <row r="482">
      <c r="B482" s="204">
        <f>+C482-1</f>
        <v/>
      </c>
      <c r="C482" s="204">
        <f>IF('bands_A-H_Avg'!$D$9+1&gt;MONTH(G482),YEAR(G482),YEAR(G482)+1)</f>
        <v/>
      </c>
      <c r="D482" s="204">
        <f>+C482+1</f>
        <v/>
      </c>
      <c r="E482" s="203">
        <f>IF(C482&gt;C481,1,E481+1)</f>
        <v/>
      </c>
      <c r="F482" s="203">
        <f>COUNTIF(C:C,C482)</f>
        <v/>
      </c>
      <c r="G482" s="198">
        <f>+G481+7</f>
        <v/>
      </c>
      <c r="H482" s="361">
        <f>IF(ISBLANK(CO482),CP482,SUMPRODUCT(CO$32:CP$32,CO482:CP482))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4.107840287169634</v>
      </c>
      <c r="CP482" s="199" t="n">
        <v>2.59</v>
      </c>
      <c r="CR482" s="199" t="n">
        <v>3.25</v>
      </c>
      <c r="CS482" s="970" t="n">
        <v>0.79117</v>
      </c>
    </row>
    <row r="483">
      <c r="B483" s="204">
        <f>+C483-1</f>
        <v/>
      </c>
      <c r="C483" s="204">
        <f>IF('bands_A-H_Avg'!$D$9+1&gt;MONTH(G483),YEAR(G483),YEAR(G483)+1)</f>
        <v/>
      </c>
      <c r="D483" s="204">
        <f>+C483+1</f>
        <v/>
      </c>
      <c r="E483" s="203">
        <f>IF(C483&gt;C482,1,E482+1)</f>
        <v/>
      </c>
      <c r="F483" s="203">
        <f>COUNTIF(C:C,C483)</f>
        <v/>
      </c>
      <c r="G483" s="198">
        <f>+G482+7</f>
        <v/>
      </c>
      <c r="H483" s="361">
        <f>IF(ISBLANK(CO483),CP483,SUMPRODUCT(CO$32:CP$32,CO483:CP483))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4.08633166337736</v>
      </c>
      <c r="CP483" s="199" t="n">
        <v>2.69</v>
      </c>
      <c r="CR483" s="199" t="n">
        <v>3.23</v>
      </c>
      <c r="CS483" s="970" t="n">
        <v>0.79044</v>
      </c>
    </row>
    <row r="484">
      <c r="B484" s="204">
        <f>+C484-1</f>
        <v/>
      </c>
      <c r="C484" s="204">
        <f>IF('bands_A-H_Avg'!$D$9+1&gt;MONTH(G484),YEAR(G484),YEAR(G484)+1)</f>
        <v/>
      </c>
      <c r="D484" s="204">
        <f>+C484+1</f>
        <v/>
      </c>
      <c r="E484" s="203">
        <f>IF(C484&gt;C483,1,E483+1)</f>
        <v/>
      </c>
      <c r="F484" s="203">
        <f>COUNTIF(C:C,C484)</f>
        <v/>
      </c>
      <c r="G484" s="198">
        <f>+G483+7</f>
        <v/>
      </c>
      <c r="H484" s="361">
        <f>IF(ISBLANK(CO484),CP484,SUMPRODUCT(CO$32:CP$32,CO484:CP484))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4.100020247013566</v>
      </c>
      <c r="CP484" s="199" t="n">
        <v>2.71</v>
      </c>
      <c r="CR484" s="199" t="n">
        <v>3.24</v>
      </c>
      <c r="CS484" s="970" t="n">
        <v>0.7902400000000001</v>
      </c>
    </row>
    <row r="485">
      <c r="B485" s="204">
        <f>+C485-1</f>
        <v/>
      </c>
      <c r="C485" s="204">
        <f>IF('bands_A-H_Avg'!$D$9+1&gt;MONTH(G485),YEAR(G485),YEAR(G485)+1)</f>
        <v/>
      </c>
      <c r="D485" s="204">
        <f>+C485+1</f>
        <v/>
      </c>
      <c r="E485" s="203">
        <f>IF(C485&gt;C484,1,E484+1)</f>
        <v/>
      </c>
      <c r="F485" s="203">
        <f>COUNTIF(C:C,C485)</f>
        <v/>
      </c>
      <c r="G485" s="198">
        <f>+G484+7</f>
        <v/>
      </c>
      <c r="H485" s="361">
        <f>IF(ISBLANK(CO485),CP485,SUMPRODUCT(CO$32:CP$32,CO485:CP485))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4.155475599249987</v>
      </c>
      <c r="CP485" s="199" t="n">
        <v>2.78</v>
      </c>
      <c r="CR485" s="199" t="n">
        <v>3.28</v>
      </c>
      <c r="CS485" s="970" t="n">
        <v>0.78932</v>
      </c>
    </row>
    <row r="486">
      <c r="B486" s="204">
        <f>+C486-1</f>
        <v/>
      </c>
      <c r="C486" s="204">
        <f>IF('bands_A-H_Avg'!$D$9+1&gt;MONTH(G486),YEAR(G486),YEAR(G486)+1)</f>
        <v/>
      </c>
      <c r="D486" s="204">
        <f>+C486+1</f>
        <v/>
      </c>
      <c r="E486" s="203">
        <f>IF(C486&gt;C485,1,E485+1)</f>
        <v/>
      </c>
      <c r="F486" s="203">
        <f>COUNTIF(C:C,C486)</f>
        <v/>
      </c>
      <c r="G486" s="198">
        <f>+G485+7</f>
        <v/>
      </c>
      <c r="H486" s="361">
        <f>IF(ISBLANK(CO486),CP486,SUMPRODUCT(CO$32:CP$32,CO486:CP486))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4.159216849900458</v>
      </c>
      <c r="CP486" s="199" t="n">
        <v>2.9</v>
      </c>
      <c r="CR486" s="199" t="n">
        <v>3.28</v>
      </c>
      <c r="CS486" s="970" t="n">
        <v>0.78861</v>
      </c>
    </row>
    <row r="487">
      <c r="B487" s="204">
        <f>+C487-1</f>
        <v/>
      </c>
      <c r="C487" s="204">
        <f>IF('bands_A-H_Avg'!$D$9+1&gt;MONTH(G487),YEAR(G487),YEAR(G487)+1)</f>
        <v/>
      </c>
      <c r="D487" s="204">
        <f>+C487+1</f>
        <v/>
      </c>
      <c r="E487" s="203">
        <f>IF(C487&gt;C486,1,E486+1)</f>
        <v/>
      </c>
      <c r="F487" s="203">
        <f>COUNTIF(C:C,C487)</f>
        <v/>
      </c>
      <c r="G487" s="198">
        <f>+G486+7</f>
        <v/>
      </c>
      <c r="H487" s="361">
        <f>IF(ISBLANK(CO487),CP487,SUMPRODUCT(CO$32:CP$32,CO487:CP487))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4.142911440516913</v>
      </c>
      <c r="CP487" s="199" t="n">
        <v>2.8</v>
      </c>
      <c r="CR487" s="199" t="n">
        <v>3.27</v>
      </c>
      <c r="CS487" s="970" t="n">
        <v>0.7893</v>
      </c>
    </row>
    <row r="488">
      <c r="B488" s="204">
        <f>+C488-1</f>
        <v/>
      </c>
      <c r="C488" s="204">
        <f>IF('bands_A-H_Avg'!$D$9+1&gt;MONTH(G488),YEAR(G488),YEAR(G488)+1)</f>
        <v/>
      </c>
      <c r="D488" s="204">
        <f>+C488+1</f>
        <v/>
      </c>
      <c r="E488" s="203">
        <f>IF(C488&gt;C487,1,E487+1)</f>
        <v/>
      </c>
      <c r="F488" s="203">
        <f>COUNTIF(C:C,C488)</f>
        <v/>
      </c>
      <c r="G488" s="198">
        <f>+G487+7</f>
        <v/>
      </c>
      <c r="H488" s="361">
        <f>IF(ISBLANK(CO488),CP488,SUMPRODUCT(CO$32:CP$32,CO488:CP488))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4.840958053478646</v>
      </c>
      <c r="CP488" s="199" t="n">
        <v>2.87</v>
      </c>
      <c r="CR488" s="199" t="n">
        <v>3.82</v>
      </c>
      <c r="CS488" s="970" t="n">
        <v>0.7891</v>
      </c>
    </row>
    <row r="489">
      <c r="B489" s="204">
        <f>+C489-1</f>
        <v/>
      </c>
      <c r="C489" s="204">
        <f>IF('bands_A-H_Avg'!$D$9+1&gt;MONTH(G489),YEAR(G489),YEAR(G489)+1)</f>
        <v/>
      </c>
      <c r="D489" s="204">
        <f>+C489+1</f>
        <v/>
      </c>
      <c r="E489" s="203">
        <f>IF(C489&gt;C488,1,E488+1)</f>
        <v/>
      </c>
      <c r="F489" s="203">
        <f>COUNTIF(C:C,C489)</f>
        <v/>
      </c>
      <c r="G489" s="198">
        <f>+G488+7</f>
        <v/>
      </c>
      <c r="H489" s="361">
        <f>IF(ISBLANK(CO489),CP489,SUMPRODUCT(CO$32:CP$32,CO489:CP489))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4.662772575801731</v>
      </c>
      <c r="CP489" s="199" t="n">
        <v>2.8</v>
      </c>
      <c r="CR489" s="199" t="n">
        <v>3.68</v>
      </c>
      <c r="CS489" s="970" t="n">
        <v>0.78923</v>
      </c>
    </row>
    <row r="490">
      <c r="B490" s="204">
        <f>+C490-1</f>
        <v/>
      </c>
      <c r="C490" s="204">
        <f>IF('bands_A-H_Avg'!$D$9+1&gt;MONTH(G490),YEAR(G490),YEAR(G490)+1)</f>
        <v/>
      </c>
      <c r="D490" s="204">
        <f>+C490+1</f>
        <v/>
      </c>
      <c r="E490" s="203">
        <f>IF(C490&gt;C489,1,E489+1)</f>
        <v/>
      </c>
      <c r="F490" s="203">
        <f>COUNTIF(C:C,C490)</f>
        <v/>
      </c>
      <c r="G490" s="198">
        <f>+G489+7</f>
        <v/>
      </c>
      <c r="H490" s="361">
        <f>IF(ISBLANK(CO490),CP490,SUMPRODUCT(CO$32:CP$32,CO490:CP490))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5.043912453901428</v>
      </c>
      <c r="CP490" s="199" t="n">
        <v>2.81</v>
      </c>
      <c r="CR490" s="199" t="n">
        <v>3.98</v>
      </c>
      <c r="CS490" s="970" t="n">
        <v>0.78907</v>
      </c>
    </row>
    <row r="491">
      <c r="B491" s="204">
        <f>+C491-1</f>
        <v/>
      </c>
      <c r="C491" s="204">
        <f>IF('bands_A-H_Avg'!$D$9+1&gt;MONTH(G491),YEAR(G491),YEAR(G491)+1)</f>
        <v/>
      </c>
      <c r="D491" s="204">
        <f>+C491+1</f>
        <v/>
      </c>
      <c r="E491" s="203">
        <f>IF(C491&gt;C490,1,E490+1)</f>
        <v/>
      </c>
      <c r="F491" s="203">
        <f>COUNTIF(C:C,C491)</f>
        <v/>
      </c>
      <c r="G491" s="198">
        <f>+G490+7</f>
        <v/>
      </c>
      <c r="H491" s="361">
        <f>IF(ISBLANK(CO491),CP491,SUMPRODUCT(CO$32:CP$32,CO491:CP491))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4.977834072197593</v>
      </c>
      <c r="CP491" s="199" t="n">
        <v>2.8</v>
      </c>
      <c r="CR491" s="199" t="n">
        <v>3.93</v>
      </c>
      <c r="CS491" s="970" t="n">
        <v>0.7895</v>
      </c>
    </row>
    <row r="492">
      <c r="B492" s="204">
        <f>+C492-1</f>
        <v/>
      </c>
      <c r="C492" s="204">
        <f>IF('bands_A-H_Avg'!$D$9+1&gt;MONTH(G492),YEAR(G492),YEAR(G492)+1)</f>
        <v/>
      </c>
      <c r="D492" s="204">
        <f>+C492+1</f>
        <v/>
      </c>
      <c r="E492" s="203">
        <f>IF(C492&gt;C491,1,E491+1)</f>
        <v/>
      </c>
      <c r="F492" s="203">
        <f>COUNTIF(C:C,C492)</f>
        <v/>
      </c>
      <c r="G492" s="198">
        <f>+G491+7</f>
        <v/>
      </c>
      <c r="H492" s="361">
        <f>IF(ISBLANK(CO492),CP492,SUMPRODUCT(CO$32:CP$32,CO492:CP492))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4.676035634179413</v>
      </c>
      <c r="CP492" s="199" t="n">
        <v>2.77</v>
      </c>
      <c r="CR492" s="199" t="n">
        <v>3.69</v>
      </c>
      <c r="CS492" s="970" t="n">
        <v>0.78913</v>
      </c>
    </row>
    <row r="493">
      <c r="B493" s="204">
        <f>+C493-1</f>
        <v/>
      </c>
      <c r="C493" s="204">
        <f>IF('bands_A-H_Avg'!$D$9+1&gt;MONTH(G493),YEAR(G493),YEAR(G493)+1)</f>
        <v/>
      </c>
      <c r="D493" s="204">
        <f>+C493+1</f>
        <v/>
      </c>
      <c r="E493" s="203">
        <f>IF(C493&gt;C492,1,E492+1)</f>
        <v/>
      </c>
      <c r="F493" s="203">
        <f>COUNTIF(C:C,C493)</f>
        <v/>
      </c>
      <c r="G493" s="198">
        <f>+G492+7</f>
        <v/>
      </c>
      <c r="H493" s="361">
        <f>IF(ISBLANK(CO493),CP493,SUMPRODUCT(CO$32:CP$32,CO493:CP493))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4.774690341700651</v>
      </c>
      <c r="CP493" s="199" t="n">
        <v>2.72</v>
      </c>
      <c r="CR493" s="199" t="n">
        <v>3.77</v>
      </c>
      <c r="CS493" s="970" t="n">
        <v>0.7895799999999999</v>
      </c>
    </row>
    <row r="494">
      <c r="B494" s="204">
        <f>+C494-1</f>
        <v/>
      </c>
      <c r="C494" s="204">
        <f>IF('bands_A-H_Avg'!$D$9+1&gt;MONTH(G494),YEAR(G494),YEAR(G494)+1)</f>
        <v/>
      </c>
      <c r="D494" s="204">
        <f>+C494+1</f>
        <v/>
      </c>
      <c r="E494" s="203">
        <f>IF(C494&gt;C493,1,E493+1)</f>
        <v/>
      </c>
      <c r="F494" s="203">
        <f>COUNTIF(C:C,C494)</f>
        <v/>
      </c>
      <c r="G494" s="198">
        <f>+G493+7</f>
        <v/>
      </c>
      <c r="H494" s="361">
        <f>IF(ISBLANK(CO494),CP494,SUMPRODUCT(CO$32:CP$32,CO494:CP494))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4.940586282905572</v>
      </c>
      <c r="CP494" s="199" t="n">
        <v>2.76</v>
      </c>
      <c r="CR494" s="199" t="n">
        <v>3.9</v>
      </c>
      <c r="CS494" s="970" t="n">
        <v>0.78938</v>
      </c>
    </row>
    <row r="495">
      <c r="B495" s="204">
        <f>+C495-1</f>
        <v/>
      </c>
      <c r="C495" s="204">
        <f>IF('bands_A-H_Avg'!$D$9+1&gt;MONTH(G495),YEAR(G495),YEAR(G495)+1)</f>
        <v/>
      </c>
      <c r="D495" s="204">
        <f>+C495+1</f>
        <v/>
      </c>
      <c r="E495" s="203">
        <f>IF(C495&gt;C494,1,E494+1)</f>
        <v/>
      </c>
      <c r="F495" s="203">
        <f>COUNTIF(C:C,C495)</f>
        <v/>
      </c>
      <c r="G495" s="198">
        <f>+G494+7</f>
        <v/>
      </c>
      <c r="H495" s="361">
        <f>IF(ISBLANK(CO495),CP495,SUMPRODUCT(CO$32:CP$32,CO495:CP495))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5.047807954429865</v>
      </c>
      <c r="CP495" s="199" t="n">
        <v>2.92</v>
      </c>
      <c r="CR495" s="199" t="n">
        <v>3.97</v>
      </c>
      <c r="CS495" s="970" t="n">
        <v>0.78648</v>
      </c>
    </row>
    <row r="496">
      <c r="B496" s="204">
        <f>+C496-1</f>
        <v/>
      </c>
      <c r="C496" s="204">
        <f>IF('bands_A-H_Avg'!$D$9+1&gt;MONTH(G496),YEAR(G496),YEAR(G496)+1)</f>
        <v/>
      </c>
      <c r="D496" s="204">
        <f>+C496+1</f>
        <v/>
      </c>
      <c r="E496" s="203">
        <f>IF(C496&gt;C495,1,E495+1)</f>
        <v/>
      </c>
      <c r="F496" s="203">
        <f>COUNTIF(C:C,C496)</f>
        <v/>
      </c>
      <c r="G496" s="198">
        <f>+G495+7</f>
        <v/>
      </c>
      <c r="H496" s="361">
        <f>IF(ISBLANK(CO496),CP496,SUMPRODUCT(CO$32:CP$32,CO496:CP496))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4.729006271350634</v>
      </c>
      <c r="CP496" s="199" t="n">
        <v>2.81</v>
      </c>
      <c r="CR496" s="199" t="n">
        <v>3.71</v>
      </c>
      <c r="CS496" s="970" t="n">
        <v>0.78452</v>
      </c>
    </row>
    <row r="497">
      <c r="B497" s="204">
        <f>+C497-1</f>
        <v/>
      </c>
      <c r="C497" s="204">
        <f>IF('bands_A-H_Avg'!$D$9+1&gt;MONTH(G497),YEAR(G497),YEAR(G497)+1)</f>
        <v/>
      </c>
      <c r="D497" s="204">
        <f>+C497+1</f>
        <v/>
      </c>
      <c r="E497" s="203">
        <f>IF(C497&gt;C496,1,E496+1)</f>
        <v/>
      </c>
      <c r="F497" s="203">
        <f>COUNTIF(C:C,C497)</f>
        <v/>
      </c>
      <c r="G497" s="198">
        <f>+G496+7</f>
        <v/>
      </c>
      <c r="H497" s="361">
        <f>IF(ISBLANK(CO497),CP497,SUMPRODUCT(CO$32:CP$32,CO497:CP497))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4.727711762089343</v>
      </c>
      <c r="CP497" s="199" t="n">
        <v>2.72</v>
      </c>
      <c r="CR497" s="199" t="n">
        <v>3.72</v>
      </c>
      <c r="CS497" s="970" t="n">
        <v>0.78685</v>
      </c>
    </row>
    <row r="498">
      <c r="B498" s="204">
        <f>+C498-1</f>
        <v/>
      </c>
      <c r="C498" s="204">
        <f>IF('bands_A-H_Avg'!$D$9+1&gt;MONTH(G498),YEAR(G498),YEAR(G498)+1)</f>
        <v/>
      </c>
      <c r="D498" s="204">
        <f>+C498+1</f>
        <v/>
      </c>
      <c r="E498" s="203">
        <f>IF(C498&gt;C497,1,E497+1)</f>
        <v/>
      </c>
      <c r="F498" s="203">
        <f>COUNTIF(C:C,C498)</f>
        <v/>
      </c>
      <c r="G498" s="198">
        <f>+G497+7</f>
        <v/>
      </c>
      <c r="H498" s="361">
        <f>IF(ISBLANK(CO498),CP498,SUMPRODUCT(CO$32:CP$32,CO498:CP498))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4.594570515839177</v>
      </c>
      <c r="CP498" s="199" t="n">
        <v>2.72</v>
      </c>
      <c r="CR498" s="199" t="n">
        <v>3.61</v>
      </c>
      <c r="CS498" s="970" t="n">
        <v>0.78571</v>
      </c>
    </row>
    <row r="499">
      <c r="B499" s="204">
        <f>+C499-1</f>
        <v/>
      </c>
      <c r="C499" s="204">
        <f>IF('bands_A-H_Avg'!$D$9+1&gt;MONTH(G499),YEAR(G499),YEAR(G499)+1)</f>
        <v/>
      </c>
      <c r="D499" s="204">
        <f>+C499+1</f>
        <v/>
      </c>
      <c r="E499" s="203">
        <f>IF(C499&gt;C498,1,E498+1)</f>
        <v/>
      </c>
      <c r="F499" s="203">
        <f>COUNTIF(C:C,C499)</f>
        <v/>
      </c>
      <c r="G499" s="198">
        <f>+G498+7</f>
        <v/>
      </c>
      <c r="H499" s="361">
        <f>IF(ISBLANK(CO499),CP499,SUMPRODUCT(CO$32:CP$32,CO499:CP499))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4.670637344736306</v>
      </c>
      <c r="CP499" s="199" t="n">
        <v>2.73</v>
      </c>
      <c r="CR499" s="199" t="n">
        <v>3.67</v>
      </c>
      <c r="CS499" s="970" t="n">
        <v>0.78576</v>
      </c>
    </row>
    <row r="500">
      <c r="B500" s="204">
        <f>+C500-1</f>
        <v/>
      </c>
      <c r="C500" s="204">
        <f>IF('bands_A-H_Avg'!$D$9+1&gt;MONTH(G500),YEAR(G500),YEAR(G500)+1)</f>
        <v/>
      </c>
      <c r="D500" s="204">
        <f>+C500+1</f>
        <v/>
      </c>
      <c r="E500" s="203">
        <f>IF(C500&gt;C499,1,E499+1)</f>
        <v/>
      </c>
      <c r="F500" s="203">
        <f>COUNTIF(C:C,C500)</f>
        <v/>
      </c>
      <c r="G500" s="198">
        <f>+G499+7</f>
        <v/>
      </c>
      <c r="H500" s="361">
        <f>IF(ISBLANK(CO500),CP500,SUMPRODUCT(CO$32:CP$32,CO500:CP500))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4.733848287797615</v>
      </c>
      <c r="CP500" s="199" t="n">
        <v>2.82</v>
      </c>
      <c r="CR500" s="199" t="n">
        <v>3.72</v>
      </c>
      <c r="CS500" s="970" t="n">
        <v>0.78583</v>
      </c>
    </row>
    <row r="501">
      <c r="B501" s="204">
        <f>+C501-1</f>
        <v/>
      </c>
      <c r="C501" s="204">
        <f>IF('bands_A-H_Avg'!$D$9+1&gt;MONTH(G501),YEAR(G501),YEAR(G501)+1)</f>
        <v/>
      </c>
      <c r="D501" s="204">
        <f>+C501+1</f>
        <v/>
      </c>
      <c r="E501" s="203">
        <f>IF(C501&gt;C500,1,E500+1)</f>
        <v/>
      </c>
      <c r="F501" s="203">
        <f>COUNTIF(C:C,C501)</f>
        <v/>
      </c>
      <c r="G501" s="198">
        <f>+G500+7</f>
        <v/>
      </c>
      <c r="H501" s="361">
        <f>IF(ISBLANK(CO501),CP501,SUMPRODUCT(CO$32:CP$32,CO501:CP501))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4.886801817279426</v>
      </c>
      <c r="CP501" s="199" t="n">
        <v>2.8</v>
      </c>
      <c r="CR501" s="199" t="n">
        <v>3.84</v>
      </c>
      <c r="CS501" s="970" t="n">
        <v>0.78579</v>
      </c>
    </row>
    <row r="502">
      <c r="B502" s="204">
        <f>+C502-1</f>
        <v/>
      </c>
      <c r="C502" s="204">
        <f>IF('bands_A-H_Avg'!$D$9+1&gt;MONTH(G502),YEAR(G502),YEAR(G502)+1)</f>
        <v/>
      </c>
      <c r="D502" s="204">
        <f>+C502+1</f>
        <v/>
      </c>
      <c r="E502" s="203">
        <f>IF(C502&gt;C501,1,E501+1)</f>
        <v/>
      </c>
      <c r="F502" s="203">
        <f>COUNTIF(C:C,C502)</f>
        <v/>
      </c>
      <c r="G502" s="198">
        <f>+G501+7</f>
        <v/>
      </c>
      <c r="H502" s="361">
        <f>IF(ISBLANK(CO502),CP502,SUMPRODUCT(CO$32:CP$32,CO502:CP502))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5.037430017981713</v>
      </c>
      <c r="CP502" s="199" t="n">
        <v>2.9</v>
      </c>
      <c r="CR502" s="199" t="n">
        <v>3.95</v>
      </c>
      <c r="CS502" s="970" t="n">
        <v>0.78413</v>
      </c>
    </row>
    <row r="503">
      <c r="B503" s="204">
        <f>+C503-1</f>
        <v/>
      </c>
      <c r="C503" s="204">
        <f>IF('bands_A-H_Avg'!$D$9+1&gt;MONTH(G503),YEAR(G503),YEAR(G503)+1)</f>
        <v/>
      </c>
      <c r="D503" s="204">
        <f>+C503+1</f>
        <v/>
      </c>
      <c r="E503" s="203">
        <f>IF(C503&gt;C502,1,E502+1)</f>
        <v/>
      </c>
      <c r="F503" s="203">
        <f>COUNTIF(C:C,C503)</f>
        <v/>
      </c>
      <c r="G503" s="198">
        <f>+G502+7</f>
        <v/>
      </c>
      <c r="H503" s="361">
        <f>IF(ISBLANK(CO503),CP503,SUMPRODUCT(CO$32:CP$32,CO503:CP503))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5.02011879670435</v>
      </c>
      <c r="CP503" s="199" t="n">
        <v>2.89</v>
      </c>
      <c r="CR503" s="199" t="n">
        <v>3.93</v>
      </c>
      <c r="CS503" s="970" t="n">
        <v>0.78285</v>
      </c>
    </row>
    <row r="504">
      <c r="B504" s="204">
        <f>+C504-1</f>
        <v/>
      </c>
      <c r="C504" s="204">
        <f>IF('bands_A-H_Avg'!$D$9+1&gt;MONTH(G504),YEAR(G504),YEAR(G504)+1)</f>
        <v/>
      </c>
      <c r="D504" s="204">
        <f>+C504+1</f>
        <v/>
      </c>
      <c r="E504" s="203">
        <f>IF(C504&gt;C503,1,E503+1)</f>
        <v/>
      </c>
      <c r="F504" s="203">
        <f>COUNTIF(C:C,C504)</f>
        <v/>
      </c>
      <c r="G504" s="198">
        <f>+G503+7</f>
        <v/>
      </c>
      <c r="H504" s="361">
        <f>IF(ISBLANK(CO504),CP504,SUMPRODUCT(CO$32:CP$32,CO504:CP504))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4.712162231189661</v>
      </c>
      <c r="CP504" s="199" t="n">
        <v>2.81</v>
      </c>
      <c r="CR504" s="199" t="n">
        <v>3.69</v>
      </c>
      <c r="CS504" s="970" t="n">
        <v>0.78308</v>
      </c>
    </row>
    <row r="505">
      <c r="B505" s="204">
        <f>+C505-1</f>
        <v/>
      </c>
      <c r="C505" s="204">
        <f>IF('bands_A-H_Avg'!$D$9+1&gt;MONTH(G505),YEAR(G505),YEAR(G505)+1)</f>
        <v/>
      </c>
      <c r="D505" s="204">
        <f>+C505+1</f>
        <v/>
      </c>
      <c r="E505" s="203">
        <f>IF(C505&gt;C504,1,E504+1)</f>
        <v/>
      </c>
      <c r="F505" s="203">
        <f>COUNTIF(C:C,C505)</f>
        <v/>
      </c>
      <c r="G505" s="198">
        <f>+G504+7</f>
        <v/>
      </c>
      <c r="H505" s="361">
        <f>IF(ISBLANK(CO505),CP505,SUMPRODUCT(CO$32:CP$32,CO505:CP505))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4.703296141507867</v>
      </c>
      <c r="CP505" s="199" t="n">
        <v>2.84</v>
      </c>
      <c r="CR505" s="199" t="n">
        <v>3.68</v>
      </c>
      <c r="CS505" s="970" t="n">
        <v>0.78243</v>
      </c>
    </row>
    <row r="506">
      <c r="B506" s="204">
        <f>+C506-1</f>
        <v/>
      </c>
      <c r="C506" s="204">
        <f>IF('bands_A-H_Avg'!$D$9+1&gt;MONTH(G506),YEAR(G506),YEAR(G506)+1)</f>
        <v/>
      </c>
      <c r="D506" s="204">
        <f>+C506+1</f>
        <v/>
      </c>
      <c r="E506" s="203">
        <f>IF(C506&gt;C505,1,E505+1)</f>
        <v/>
      </c>
      <c r="F506" s="203">
        <f>COUNTIF(C:C,C506)</f>
        <v/>
      </c>
      <c r="G506" s="198">
        <f>+G505+7</f>
        <v/>
      </c>
      <c r="H506" s="361">
        <f>IF(ISBLANK(CO506),CP506,SUMPRODUCT(CO$32:CP$32,CO506:CP506))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4.638290239089767</v>
      </c>
      <c r="CP506" s="199" t="n">
        <v>2.77</v>
      </c>
      <c r="CR506" s="199" t="n">
        <v>3.62</v>
      </c>
      <c r="CS506" s="970" t="n">
        <v>0.78046</v>
      </c>
    </row>
    <row r="507">
      <c r="B507" s="204">
        <f>+C507-1</f>
        <v/>
      </c>
      <c r="C507" s="204">
        <f>IF('bands_A-H_Avg'!$D$9+1&gt;MONTH(G507),YEAR(G507),YEAR(G507)+1)</f>
        <v/>
      </c>
      <c r="D507" s="204">
        <f>+C507+1</f>
        <v/>
      </c>
      <c r="E507" s="203">
        <f>IF(C507&gt;C506,1,E506+1)</f>
        <v/>
      </c>
      <c r="F507" s="203">
        <f>COUNTIF(C:C,C507)</f>
        <v/>
      </c>
      <c r="G507" s="198">
        <f>+G506+7</f>
        <v/>
      </c>
      <c r="H507" s="361">
        <f>IF(ISBLANK(CO507),CP507,SUMPRODUCT(CO$32:CP$32,CO507:CP507))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4.497578227108479</v>
      </c>
      <c r="CP507" s="199" t="n">
        <v>2.61</v>
      </c>
      <c r="CR507" s="199" t="n">
        <v>3.51</v>
      </c>
      <c r="CS507" s="970" t="n">
        <v>0.78042</v>
      </c>
    </row>
    <row r="508">
      <c r="B508" s="204">
        <f>+C508-1</f>
        <v/>
      </c>
      <c r="C508" s="204">
        <f>IF('bands_A-H_Avg'!$D$9+1&gt;MONTH(G508),YEAR(G508),YEAR(G508)+1)</f>
        <v/>
      </c>
      <c r="D508" s="204">
        <f>+C508+1</f>
        <v/>
      </c>
      <c r="E508" s="203">
        <f>IF(C508&gt;C507,1,E507+1)</f>
        <v/>
      </c>
      <c r="F508" s="203">
        <f>COUNTIF(C:C,C508)</f>
        <v/>
      </c>
      <c r="G508" s="198">
        <f>+G507+7</f>
        <v/>
      </c>
      <c r="H508" s="361">
        <f>IF(ISBLANK(CO508),CP508,SUMPRODUCT(CO$32:CP$32,CO508:CP508))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4.499134781772736</v>
      </c>
      <c r="CP508" s="199" t="n">
        <v>2.54</v>
      </c>
      <c r="CR508" s="199" t="n">
        <v>3.51</v>
      </c>
      <c r="CS508" s="970" t="n">
        <v>0.78015</v>
      </c>
    </row>
    <row r="509">
      <c r="B509" s="204">
        <f>+C509-1</f>
        <v/>
      </c>
      <c r="C509" s="204">
        <f>IF('bands_A-H_Avg'!$D$9+1&gt;MONTH(G509),YEAR(G509),YEAR(G509)+1)</f>
        <v/>
      </c>
      <c r="D509" s="204">
        <f>+C509+1</f>
        <v/>
      </c>
      <c r="E509" s="203">
        <f>IF(C509&gt;C508,1,E508+1)</f>
        <v/>
      </c>
      <c r="F509" s="203">
        <f>COUNTIF(C:C,C509)</f>
        <v/>
      </c>
      <c r="G509" s="198">
        <f>+G508+7</f>
        <v/>
      </c>
      <c r="H509" s="361">
        <f>IF(ISBLANK(CO509),CP509,SUMPRODUCT(CO$32:CP$32,CO509:CP509))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4.59604842540408</v>
      </c>
      <c r="CP509" s="199" t="n">
        <v>2.51</v>
      </c>
      <c r="CR509" s="199" t="n">
        <v>3.58</v>
      </c>
      <c r="CS509" s="970" t="n">
        <v>0.77893</v>
      </c>
    </row>
    <row r="510">
      <c r="B510" s="204">
        <f>+C510-1</f>
        <v/>
      </c>
      <c r="C510" s="204">
        <f>IF('bands_A-H_Avg'!$D$9+1&gt;MONTH(G510),YEAR(G510),YEAR(G510)+1)</f>
        <v/>
      </c>
      <c r="D510" s="204">
        <f>+C510+1</f>
        <v/>
      </c>
      <c r="E510" s="203">
        <f>IF(C510&gt;C509,1,E509+1)</f>
        <v/>
      </c>
      <c r="F510" s="203">
        <f>COUNTIF(C:C,C510)</f>
        <v/>
      </c>
      <c r="G510" s="198">
        <f>+G509+7</f>
        <v/>
      </c>
      <c r="H510" s="361">
        <f>IF(ISBLANK(CO510),CP510,SUMPRODUCT(CO$32:CP$32,CO510:CP510))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4.522625941679906</v>
      </c>
      <c r="CP510" s="199" t="n">
        <v>2.48</v>
      </c>
      <c r="CR510" s="199" t="n">
        <v>3.53</v>
      </c>
      <c r="CS510" s="970" t="n">
        <v>0.78052</v>
      </c>
    </row>
    <row r="511">
      <c r="B511" s="204">
        <f>+C511-1</f>
        <v/>
      </c>
      <c r="C511" s="204">
        <f>IF('bands_A-H_Avg'!$D$9+1&gt;MONTH(G511),YEAR(G511),YEAR(G511)+1)</f>
        <v/>
      </c>
      <c r="D511" s="204">
        <f>+C511+1</f>
        <v/>
      </c>
      <c r="E511" s="203">
        <f>IF(C511&gt;C510,1,E510+1)</f>
        <v/>
      </c>
      <c r="F511" s="203">
        <f>COUNTIF(C:C,C511)</f>
        <v/>
      </c>
      <c r="G511" s="198">
        <f>+G510+7</f>
        <v/>
      </c>
      <c r="H511" s="361">
        <f>IF(ISBLANK(CO511),CP511,SUMPRODUCT(CO$32:CP$32,CO511:CP511))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4.54254638515675</v>
      </c>
      <c r="CP511" s="199" t="n">
        <v>2.45</v>
      </c>
      <c r="CR511" s="199" t="n">
        <v>3.55</v>
      </c>
      <c r="CS511" s="970" t="n">
        <v>0.7815</v>
      </c>
    </row>
    <row r="512">
      <c r="B512" s="204">
        <f>+C512-1</f>
        <v/>
      </c>
      <c r="C512" s="204">
        <f>IF('bands_A-H_Avg'!$D$9+1&gt;MONTH(G512),YEAR(G512),YEAR(G512)+1)</f>
        <v/>
      </c>
      <c r="D512" s="204">
        <f>+C512+1</f>
        <v/>
      </c>
      <c r="E512" s="203">
        <f>IF(C512&gt;C511,1,E511+1)</f>
        <v/>
      </c>
      <c r="F512" s="203">
        <f>COUNTIF(C:C,C512)</f>
        <v/>
      </c>
      <c r="G512" s="198">
        <f>+G511+7</f>
        <v/>
      </c>
      <c r="H512" s="361">
        <f>IF(ISBLANK(CO512),CP512,SUMPRODUCT(CO$32:CP$32,CO512:CP512))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4.716920834984468</v>
      </c>
      <c r="CP512" s="199" t="n">
        <v>2.49</v>
      </c>
      <c r="CR512" s="199" t="n">
        <v>3.69</v>
      </c>
      <c r="CS512" s="970" t="n">
        <v>0.78229</v>
      </c>
    </row>
    <row r="513">
      <c r="B513" s="204">
        <f>+C513-1</f>
        <v/>
      </c>
      <c r="C513" s="204">
        <f>IF('bands_A-H_Avg'!$D$9+1&gt;MONTH(G513),YEAR(G513),YEAR(G513)+1)</f>
        <v/>
      </c>
      <c r="D513" s="204">
        <f>+C513+1</f>
        <v/>
      </c>
      <c r="E513" s="203">
        <f>IF(C513&gt;C512,1,E512+1)</f>
        <v/>
      </c>
      <c r="F513" s="203">
        <f>COUNTIF(C:C,C513)</f>
        <v/>
      </c>
      <c r="G513" s="198">
        <f>+G512+7</f>
        <v/>
      </c>
      <c r="H513" s="361">
        <f>IF(ISBLANK(CO513),CP513,SUMPRODUCT(CO$32:CP$32,CO513:CP513))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4.672540232226522</v>
      </c>
      <c r="CP513" s="199" t="n">
        <v>2.56</v>
      </c>
      <c r="CR513" s="199" t="n">
        <v>3.67</v>
      </c>
      <c r="CS513" s="970" t="n">
        <v>0.78544</v>
      </c>
    </row>
    <row r="514">
      <c r="B514" s="204">
        <f>+C514-1</f>
        <v/>
      </c>
      <c r="C514" s="204">
        <f>IF('bands_A-H_Avg'!$D$9+1&gt;MONTH(G514),YEAR(G514),YEAR(G514)+1)</f>
        <v/>
      </c>
      <c r="D514" s="204">
        <f>+C514+1</f>
        <v/>
      </c>
      <c r="E514" s="203">
        <f>IF(C514&gt;C513,1,E513+1)</f>
        <v/>
      </c>
      <c r="F514" s="203">
        <f>COUNTIF(C:C,C514)</f>
        <v/>
      </c>
      <c r="G514" s="198">
        <f>+G513+7</f>
        <v/>
      </c>
      <c r="H514" s="361">
        <f>IF(ISBLANK(CO514),CP514,SUMPRODUCT(CO$32:CP$32,CO514:CP514))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4.721804890981858</v>
      </c>
      <c r="CP514" s="199" t="n">
        <v>2.65</v>
      </c>
      <c r="CR514" s="199" t="n">
        <v>3.74</v>
      </c>
      <c r="CS514" s="970" t="n">
        <v>0.7920700000000001</v>
      </c>
    </row>
    <row r="515">
      <c r="B515" s="204">
        <f>+C515-1</f>
        <v/>
      </c>
      <c r="C515" s="204">
        <f>IF('bands_A-H_Avg'!$D$9+1&gt;MONTH(G515),YEAR(G515),YEAR(G515)+1)</f>
        <v/>
      </c>
      <c r="D515" s="204">
        <f>+C515+1</f>
        <v/>
      </c>
      <c r="E515" s="203">
        <f>IF(C515&gt;C514,1,E514+1)</f>
        <v/>
      </c>
      <c r="F515" s="203">
        <f>COUNTIF(C:C,C515)</f>
        <v/>
      </c>
      <c r="G515" s="198">
        <f>+G514+7</f>
        <v/>
      </c>
      <c r="H515" s="361">
        <f>IF(ISBLANK(CO515),CP515,SUMPRODUCT(CO$32:CP$32,CO515:CP515))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4.852216436724818</v>
      </c>
      <c r="CP515" s="199" t="n">
        <v>2.86</v>
      </c>
      <c r="CR515" s="199" t="n">
        <v>3.83</v>
      </c>
      <c r="CS515" s="970" t="n">
        <v>0.78933</v>
      </c>
    </row>
    <row r="516">
      <c r="B516" s="204">
        <f>+C516-1</f>
        <v/>
      </c>
      <c r="C516" s="204">
        <f>IF('bands_A-H_Avg'!$D$9+1&gt;MONTH(G516),YEAR(G516),YEAR(G516)+1)</f>
        <v/>
      </c>
      <c r="D516" s="204">
        <f>+C516+1</f>
        <v/>
      </c>
      <c r="E516" s="203">
        <f>IF(C516&gt;C515,1,E515+1)</f>
        <v/>
      </c>
      <c r="F516" s="203">
        <f>COUNTIF(C:C,C516)</f>
        <v/>
      </c>
      <c r="G516" s="198">
        <f>+G515+7</f>
        <v/>
      </c>
      <c r="H516" s="361">
        <f>IF(ISBLANK(CO516),CP516,SUMPRODUCT(CO$32:CP$32,CO516:CP516))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4.811638861876918</v>
      </c>
      <c r="CP516" s="199" t="n">
        <v>2.8</v>
      </c>
      <c r="CR516" s="199" t="n">
        <v>3.81</v>
      </c>
      <c r="CS516" s="970" t="n">
        <v>0.79183</v>
      </c>
    </row>
    <row r="517">
      <c r="B517" s="204">
        <f>+C517-1</f>
        <v/>
      </c>
      <c r="C517" s="204">
        <f>IF('bands_A-H_Avg'!$D$9+1&gt;MONTH(G517),YEAR(G517),YEAR(G517)+1)</f>
        <v/>
      </c>
      <c r="D517" s="204">
        <f>+C517+1</f>
        <v/>
      </c>
      <c r="E517" s="203">
        <f>IF(C517&gt;C516,1,E516+1)</f>
        <v/>
      </c>
      <c r="F517" s="203">
        <f>COUNTIF(C:C,C517)</f>
        <v/>
      </c>
      <c r="G517" s="198">
        <f>+G516+7</f>
        <v/>
      </c>
      <c r="H517" s="361">
        <f>IF(ISBLANK(CO517),CP517,SUMPRODUCT(CO$32:CP$32,CO517:CP517))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4.77347790864336</v>
      </c>
      <c r="CP517" s="199" t="n">
        <v>2.8</v>
      </c>
      <c r="CR517" s="199" t="n">
        <v>3.83</v>
      </c>
      <c r="CS517" s="970" t="n">
        <v>0.80235</v>
      </c>
    </row>
    <row r="518">
      <c r="B518" s="204">
        <f>+C518-1</f>
        <v/>
      </c>
      <c r="C518" s="204">
        <f>IF('bands_A-H_Avg'!$D$9+1&gt;MONTH(G518),YEAR(G518),YEAR(G518)+1)</f>
        <v/>
      </c>
      <c r="D518" s="204">
        <f>+C518+1</f>
        <v/>
      </c>
      <c r="E518" s="203">
        <f>IF(C518&gt;C517,1,E517+1)</f>
        <v/>
      </c>
      <c r="F518" s="203">
        <f>COUNTIF(C:C,C518)</f>
        <v/>
      </c>
      <c r="G518" s="198">
        <f>+G517+7</f>
        <v/>
      </c>
      <c r="H518" s="361">
        <f>IF(ISBLANK(CO518),CP518,SUMPRODUCT(CO$32:CP$32,CO518:CP518))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4.970216166939321</v>
      </c>
      <c r="CP518" s="199" t="n">
        <v>2.86</v>
      </c>
      <c r="CR518" s="199" t="n">
        <v>3.98</v>
      </c>
      <c r="CS518" s="970" t="n">
        <v>0.80077</v>
      </c>
    </row>
    <row r="519">
      <c r="B519" s="204">
        <f>+C519-1</f>
        <v/>
      </c>
      <c r="C519" s="204">
        <f>IF('bands_A-H_Avg'!$D$9+1&gt;MONTH(G519),YEAR(G519),YEAR(G519)+1)</f>
        <v/>
      </c>
      <c r="D519" s="204">
        <f>+C519+1</f>
        <v/>
      </c>
      <c r="E519" s="203">
        <f>IF(C519&gt;C518,1,E518+1)</f>
        <v/>
      </c>
      <c r="F519" s="203">
        <f>COUNTIF(C:C,C519)</f>
        <v/>
      </c>
      <c r="G519" s="198">
        <f>+G518+7</f>
        <v/>
      </c>
      <c r="H519" s="361">
        <f>IF(ISBLANK(CO519),CP519,SUMPRODUCT(CO$32:CP$32,CO519:CP519))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4.83387459405446</v>
      </c>
      <c r="CP519" s="199" t="n">
        <v>2.73</v>
      </c>
      <c r="CR519" s="199" t="n">
        <v>3.87</v>
      </c>
      <c r="CS519" s="970" t="n">
        <v>0.8006</v>
      </c>
    </row>
    <row r="520">
      <c r="B520" s="204">
        <f>+C520-1</f>
        <v/>
      </c>
      <c r="C520" s="204">
        <f>IF('bands_A-H_Avg'!$D$9+1&gt;MONTH(G520),YEAR(G520),YEAR(G520)+1)</f>
        <v/>
      </c>
      <c r="D520" s="204">
        <f>+C520+1</f>
        <v/>
      </c>
      <c r="E520" s="203">
        <f>IF(C520&gt;C519,1,E519+1)</f>
        <v/>
      </c>
      <c r="F520" s="203">
        <f>COUNTIF(C:C,C520)</f>
        <v/>
      </c>
      <c r="G520" s="198">
        <f>+G519+7</f>
        <v/>
      </c>
      <c r="H520" s="361">
        <f>IF(ISBLANK(CO520),CP520,SUMPRODUCT(CO$32:CP$32,CO520:CP520))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4.91762356465302</v>
      </c>
      <c r="CP520" s="199" t="n">
        <v>3.15</v>
      </c>
      <c r="CR520" s="199" t="n">
        <v>3.94</v>
      </c>
      <c r="CS520" s="970" t="n">
        <v>0.8012</v>
      </c>
    </row>
    <row r="521">
      <c r="B521" s="204">
        <f>+C521-1</f>
        <v/>
      </c>
      <c r="C521" s="204">
        <f>IF('bands_A-H_Avg'!$D$9+1&gt;MONTH(G521),YEAR(G521),YEAR(G521)+1)</f>
        <v/>
      </c>
      <c r="D521" s="204">
        <f>+C521+1</f>
        <v/>
      </c>
      <c r="E521" s="203">
        <f>IF(C521&gt;C520,1,E520+1)</f>
        <v/>
      </c>
      <c r="F521" s="203">
        <f>COUNTIF(C:C,C521)</f>
        <v/>
      </c>
      <c r="G521" s="198">
        <f>+G520+7</f>
        <v/>
      </c>
      <c r="H521" s="361">
        <f>IF(ISBLANK(CO521),CP521,SUMPRODUCT(CO$32:CP$32,CO521:CP521))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4.796372198482603</v>
      </c>
      <c r="CP521" s="199" t="n">
        <v>3.02</v>
      </c>
      <c r="CR521" s="199" t="n">
        <v>3.85</v>
      </c>
      <c r="CS521" s="970" t="n">
        <v>0.80269</v>
      </c>
    </row>
    <row r="522">
      <c r="B522" s="204">
        <f>+C522-1</f>
        <v/>
      </c>
      <c r="C522" s="204">
        <f>IF('bands_A-H_Avg'!$D$9+1&gt;MONTH(G522),YEAR(G522),YEAR(G522)+1)</f>
        <v/>
      </c>
      <c r="D522" s="204">
        <f>+C522+1</f>
        <v/>
      </c>
      <c r="E522" s="203">
        <f>IF(C522&gt;C521,1,E521+1)</f>
        <v/>
      </c>
      <c r="F522" s="203">
        <f>COUNTIF(C:C,C522)</f>
        <v/>
      </c>
      <c r="G522" s="198">
        <f>+G521+7</f>
        <v/>
      </c>
      <c r="H522" s="361">
        <f>IF(ISBLANK(CO522),CP522,SUMPRODUCT(CO$32:CP$32,CO522:CP522))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4.673882049565465</v>
      </c>
      <c r="CP522" s="199" t="n">
        <v>3.06</v>
      </c>
      <c r="CR522" s="199" t="n">
        <v>3.77</v>
      </c>
      <c r="CS522" s="970" t="n">
        <v>0.80661</v>
      </c>
    </row>
    <row r="523">
      <c r="B523" s="204">
        <f>+C523-1</f>
        <v/>
      </c>
      <c r="C523" s="204">
        <f>IF('bands_A-H_Avg'!$D$9+1&gt;MONTH(G523),YEAR(G523),YEAR(G523)+1)</f>
        <v/>
      </c>
      <c r="D523" s="204">
        <f>+C523+1</f>
        <v/>
      </c>
      <c r="E523" s="203">
        <f>IF(C523&gt;C522,1,E522+1)</f>
        <v/>
      </c>
      <c r="F523" s="203">
        <f>COUNTIF(C:C,C523)</f>
        <v/>
      </c>
      <c r="G523" s="198">
        <f>+G522+7</f>
        <v/>
      </c>
      <c r="H523" s="361">
        <f>IF(ISBLANK(CO523),CP523,SUMPRODUCT(CO$32:CP$32,CO523:CP523))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4.582270329180393</v>
      </c>
      <c r="CP523" s="199" t="n">
        <v>3.17</v>
      </c>
      <c r="CR523" s="199" t="n">
        <v>3.7</v>
      </c>
      <c r="CS523" s="970" t="n">
        <v>0.80746</v>
      </c>
    </row>
    <row r="524">
      <c r="B524" s="204">
        <f>+C524-1</f>
        <v/>
      </c>
      <c r="C524" s="204">
        <f>IF('bands_A-H_Avg'!$D$9+1&gt;MONTH(G524),YEAR(G524),YEAR(G524)+1)</f>
        <v/>
      </c>
      <c r="D524" s="204">
        <f>+C524+1</f>
        <v/>
      </c>
      <c r="E524" s="203">
        <f>IF(C524&gt;C523,1,E523+1)</f>
        <v/>
      </c>
      <c r="F524" s="203">
        <f>COUNTIF(C:C,C524)</f>
        <v/>
      </c>
      <c r="G524" s="198">
        <f>+G523+7</f>
        <v/>
      </c>
      <c r="H524" s="361">
        <f>IF(ISBLANK(CO524),CP524,SUMPRODUCT(CO$32:CP$32,CO524:CP524))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4.655099449851884</v>
      </c>
      <c r="CP524" s="199" t="n">
        <v>2.99</v>
      </c>
      <c r="CR524" s="199" t="n">
        <v>3.74</v>
      </c>
      <c r="CS524" s="970" t="n">
        <v>0.80342</v>
      </c>
    </row>
    <row r="525">
      <c r="B525" s="204">
        <f>+C525-1</f>
        <v/>
      </c>
      <c r="C525" s="204">
        <f>IF('bands_A-H_Avg'!$D$9+1&gt;MONTH(G525),YEAR(G525),YEAR(G525)+1)</f>
        <v/>
      </c>
      <c r="D525" s="204">
        <f>+C525+1</f>
        <v/>
      </c>
      <c r="E525" s="203">
        <f>IF(C525&gt;C524,1,E524+1)</f>
        <v/>
      </c>
      <c r="F525" s="203">
        <f>COUNTIF(C:C,C525)</f>
        <v/>
      </c>
      <c r="G525" s="198">
        <f>+G524+7</f>
        <v/>
      </c>
      <c r="H525" s="361">
        <f>IF(ISBLANK(CO525),CP525,SUMPRODUCT(CO$32:CP$32,CO525:CP525))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4.626002611453087</v>
      </c>
      <c r="CP525" s="199" t="n">
        <v>2.85</v>
      </c>
      <c r="CR525" s="199" t="n">
        <v>3.72</v>
      </c>
      <c r="CS525" s="970" t="n">
        <v>0.80415</v>
      </c>
    </row>
    <row r="526">
      <c r="B526" s="204">
        <f>+C526-1</f>
        <v/>
      </c>
      <c r="C526" s="204">
        <f>IF('bands_A-H_Avg'!$D$9+1&gt;MONTH(G526),YEAR(G526),YEAR(G526)+1)</f>
        <v/>
      </c>
      <c r="D526" s="204">
        <f>+C526+1</f>
        <v/>
      </c>
      <c r="E526" s="203">
        <f>IF(C526&gt;C525,1,E525+1)</f>
        <v/>
      </c>
      <c r="F526" s="203">
        <f>COUNTIF(C:C,C526)</f>
        <v/>
      </c>
      <c r="G526" s="198">
        <f>+G525+7</f>
        <v/>
      </c>
      <c r="H526" s="361">
        <f>IF(ISBLANK(CO526),CP526,SUMPRODUCT(CO$32:CP$32,CO526:CP526))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4.637688367235291</v>
      </c>
      <c r="CP526" s="199" t="n">
        <v>2.89</v>
      </c>
      <c r="CR526" s="199" t="n">
        <v>3.73</v>
      </c>
      <c r="CS526" s="970" t="n">
        <v>0.80428</v>
      </c>
    </row>
    <row r="527">
      <c r="B527" s="204">
        <f>+C527-1</f>
        <v/>
      </c>
      <c r="C527" s="204">
        <f>IF('bands_A-H_Avg'!$D$9+1&gt;MONTH(G527),YEAR(G527),YEAR(G527)+1)</f>
        <v/>
      </c>
      <c r="D527" s="204">
        <f>+C527+1</f>
        <v/>
      </c>
      <c r="E527" s="203">
        <f>IF(C527&gt;C526,1,E526+1)</f>
        <v/>
      </c>
      <c r="F527" s="203">
        <f>COUNTIF(C:C,C527)</f>
        <v/>
      </c>
      <c r="G527" s="198">
        <f>+G526+7</f>
        <v/>
      </c>
      <c r="H527" s="361">
        <f>IF(ISBLANK(CO527),CP527,SUMPRODUCT(CO$32:CP$32,CO527:CP527))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4.529322711140892</v>
      </c>
      <c r="CP527" s="199" t="n">
        <v>2.8</v>
      </c>
      <c r="CR527" s="199" t="n">
        <v>3.65</v>
      </c>
      <c r="CS527" s="970" t="n">
        <v>0.80586</v>
      </c>
    </row>
    <row r="528">
      <c r="B528" s="204">
        <f>+C528-1</f>
        <v/>
      </c>
      <c r="C528" s="204">
        <f>IF('bands_A-H_Avg'!$D$9+1&gt;MONTH(G528),YEAR(G528),YEAR(G528)+1)</f>
        <v/>
      </c>
      <c r="D528" s="204">
        <f>+C528+1</f>
        <v/>
      </c>
      <c r="E528" s="203">
        <f>IF(C528&gt;C527,1,E527+1)</f>
        <v/>
      </c>
      <c r="F528" s="203">
        <f>COUNTIF(C:C,C528)</f>
        <v/>
      </c>
      <c r="G528" s="198">
        <f>+G527+7</f>
        <v/>
      </c>
      <c r="H528" s="361">
        <f>IF(ISBLANK(CO528),CP528,SUMPRODUCT(CO$32:CP$32,CO528:CP528))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4.527131782945736</v>
      </c>
      <c r="CP528" s="199" t="n">
        <v>2.87</v>
      </c>
      <c r="CR528" s="199" t="n">
        <v>3.65</v>
      </c>
      <c r="CS528" s="970" t="n">
        <v>0.80625</v>
      </c>
    </row>
    <row r="529">
      <c r="B529" s="204">
        <f>+C529-1</f>
        <v/>
      </c>
      <c r="C529" s="204">
        <f>IF('bands_A-H_Avg'!$D$9+1&gt;MONTH(G529),YEAR(G529),YEAR(G529)+1)</f>
        <v/>
      </c>
      <c r="D529" s="204">
        <f>+C529+1</f>
        <v/>
      </c>
      <c r="E529" s="203">
        <f>IF(C529&gt;C528,1,E528+1)</f>
        <v/>
      </c>
      <c r="F529" s="203">
        <f>COUNTIF(C:C,C529)</f>
        <v/>
      </c>
      <c r="G529" s="198">
        <f>+G528+7</f>
        <v/>
      </c>
      <c r="H529" s="361">
        <f>IF(ISBLANK(CO529),CP529,SUMPRODUCT(CO$32:CP$32,CO529:CP529))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4.768026760862239</v>
      </c>
      <c r="CP529" s="199" t="n">
        <v>3.01</v>
      </c>
      <c r="CR529" s="199" t="n">
        <v>3.82</v>
      </c>
      <c r="CS529" s="970" t="n">
        <v>0.80117</v>
      </c>
    </row>
    <row r="530">
      <c r="B530" s="204">
        <f>+C530-1</f>
        <v/>
      </c>
      <c r="C530" s="204">
        <f>IF('bands_A-H_Avg'!$D$9+1&gt;MONTH(G530),YEAR(G530),YEAR(G530)+1)</f>
        <v/>
      </c>
      <c r="D530" s="204">
        <f>+C530+1</f>
        <v/>
      </c>
      <c r="E530" s="203">
        <f>IF(C530&gt;C529,1,E529+1)</f>
        <v/>
      </c>
      <c r="F530" s="203">
        <f>COUNTIF(C:C,C530)</f>
        <v/>
      </c>
      <c r="G530" s="198">
        <f>+G529+7</f>
        <v/>
      </c>
      <c r="H530" s="361">
        <f>IF(ISBLANK(CO530),CP530,SUMPRODUCT(CO$32:CP$32,CO530:CP530))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4.720447383825929</v>
      </c>
      <c r="CP530" s="199" t="n">
        <v>3.1</v>
      </c>
      <c r="CR530" s="199" t="n">
        <v>3.79</v>
      </c>
      <c r="CS530" s="970" t="n">
        <v>0.80289</v>
      </c>
    </row>
    <row r="531">
      <c r="B531" s="204">
        <f>+C531-1</f>
        <v/>
      </c>
      <c r="C531" s="204">
        <f>IF('bands_A-H_Avg'!$D$9+1&gt;MONTH(G531),YEAR(G531),YEAR(G531)+1)</f>
        <v/>
      </c>
      <c r="D531" s="204">
        <f>+C531+1</f>
        <v/>
      </c>
      <c r="E531" s="203">
        <f>IF(C531&gt;C530,1,E530+1)</f>
        <v/>
      </c>
      <c r="F531" s="203">
        <f>COUNTIF(C:C,C531)</f>
        <v/>
      </c>
      <c r="G531" s="198">
        <f>+G530+7</f>
        <v/>
      </c>
      <c r="H531" s="361">
        <f>IF(ISBLANK(CO531),CP531,SUMPRODUCT(CO$32:CP$32,CO531:CP531))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4.748787875010906</v>
      </c>
      <c r="CP531" s="199" t="n">
        <v>3.1</v>
      </c>
      <c r="CR531" s="199" t="n">
        <v>3.81</v>
      </c>
      <c r="CS531" s="970" t="n">
        <v>0.80231</v>
      </c>
    </row>
    <row r="532">
      <c r="B532" s="204">
        <f>+C532-1</f>
        <v/>
      </c>
      <c r="C532" s="204">
        <f>IF('bands_A-H_Avg'!$D$9+1&gt;MONTH(G532),YEAR(G532),YEAR(G532)+1)</f>
        <v/>
      </c>
      <c r="D532" s="204">
        <f>+C532+1</f>
        <v/>
      </c>
      <c r="E532" s="203">
        <f>IF(C532&gt;C531,1,E531+1)</f>
        <v/>
      </c>
      <c r="F532" s="203">
        <f>COUNTIF(C:C,C532)</f>
        <v/>
      </c>
      <c r="G532" s="198">
        <f>+G531+7</f>
        <v/>
      </c>
      <c r="H532" s="361">
        <f>IF(ISBLANK(CO532),CP532,SUMPRODUCT(CO$32:CP$32,CO532:CP532))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4.797301517896183</v>
      </c>
      <c r="CP532" s="199" t="n">
        <v>3.16</v>
      </c>
      <c r="CR532" s="199" t="n">
        <v>3.84</v>
      </c>
      <c r="CS532" s="970" t="n">
        <v>0.80045</v>
      </c>
    </row>
    <row r="533">
      <c r="B533" s="204">
        <f>+C533-1</f>
        <v/>
      </c>
      <c r="C533" s="204">
        <f>IF('bands_A-H_Avg'!$D$9+1&gt;MONTH(G533),YEAR(G533),YEAR(G533)+1)</f>
        <v/>
      </c>
      <c r="D533" s="204">
        <f>+C533+1</f>
        <v/>
      </c>
      <c r="E533" s="203">
        <f>IF(C533&gt;C532,1,E532+1)</f>
        <v/>
      </c>
      <c r="F533" s="203">
        <f>COUNTIF(C:C,C533)</f>
        <v/>
      </c>
      <c r="G533" s="198">
        <f>+G532+7</f>
        <v/>
      </c>
      <c r="H533" s="361">
        <f>IF(ISBLANK(CO533),CP533,SUMPRODUCT(CO$32:CP$32,CO533:CP533))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4.784748769457562</v>
      </c>
      <c r="CP533" s="199" t="n">
        <v>3.15</v>
      </c>
      <c r="CR533" s="199" t="n">
        <v>3.83</v>
      </c>
      <c r="CS533" s="970" t="n">
        <v>0.8004599999999999</v>
      </c>
    </row>
    <row r="534">
      <c r="B534" s="204">
        <f>+C534-1</f>
        <v/>
      </c>
      <c r="C534" s="204">
        <f>IF('bands_A-H_Avg'!$D$9+1&gt;MONTH(G534),YEAR(G534),YEAR(G534)+1)</f>
        <v/>
      </c>
      <c r="D534" s="204">
        <f>+C534+1</f>
        <v/>
      </c>
      <c r="E534" s="203">
        <f>IF(C534&gt;C533,1,E533+1)</f>
        <v/>
      </c>
      <c r="F534" s="203">
        <f>COUNTIF(C:C,C534)</f>
        <v/>
      </c>
      <c r="G534" s="198">
        <f>+G533+7</f>
        <v/>
      </c>
      <c r="H534" s="361">
        <f>IF(ISBLANK(CO534),CP534,SUMPRODUCT(CO$32:CP$32,CO534:CP534))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4.890707655454636</v>
      </c>
      <c r="CP534" s="199" t="n">
        <v>3.28</v>
      </c>
      <c r="CR534" s="199" t="n">
        <v>3.92</v>
      </c>
      <c r="CS534" s="970" t="n">
        <v>0.80152</v>
      </c>
    </row>
    <row r="535">
      <c r="B535" s="204">
        <f>+C535-1</f>
        <v/>
      </c>
      <c r="C535" s="204">
        <f>IF('bands_A-H_Avg'!$D$9+1&gt;MONTH(G535),YEAR(G535),YEAR(G535)+1)</f>
        <v/>
      </c>
      <c r="D535" s="204">
        <f>+C535+1</f>
        <v/>
      </c>
      <c r="E535" s="203">
        <f>IF(C535&gt;C534,1,E534+1)</f>
        <v/>
      </c>
      <c r="F535" s="203">
        <f>COUNTIF(C:C,C535)</f>
        <v/>
      </c>
      <c r="G535" s="198">
        <f>+G534+7</f>
        <v/>
      </c>
      <c r="H535" s="361">
        <f>IF(ISBLANK(CO535),CP535,SUMPRODUCT(CO$32:CP$32,CO535:CP535))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5.006257822277847</v>
      </c>
      <c r="CP535" s="199" t="n">
        <v>3.33</v>
      </c>
      <c r="CR535" s="199" t="n">
        <v>4</v>
      </c>
      <c r="CS535" s="970" t="n">
        <v>0.799</v>
      </c>
    </row>
    <row r="536">
      <c r="B536" s="204">
        <f>+C536-1</f>
        <v/>
      </c>
      <c r="C536" s="204">
        <f>IF('bands_A-H_Avg'!$D$9+1&gt;MONTH(G536),YEAR(G536),YEAR(G536)+1)</f>
        <v/>
      </c>
      <c r="D536" s="204">
        <f>+C536+1</f>
        <v/>
      </c>
      <c r="E536" s="203">
        <f>IF(C536&gt;C535,1,E535+1)</f>
        <v/>
      </c>
      <c r="F536" s="203">
        <f>COUNTIF(C:C,C536)</f>
        <v/>
      </c>
      <c r="G536" s="198">
        <f>+G535+7</f>
        <v/>
      </c>
      <c r="H536" s="361">
        <f>IF(ISBLANK(CO536),CP536,SUMPRODUCT(CO$32:CP$32,CO536:CP536))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5.005143129531599</v>
      </c>
      <c r="CP536" s="199" t="n">
        <v>3.38</v>
      </c>
      <c r="CR536" s="199" t="n">
        <v>3.99</v>
      </c>
      <c r="CS536" s="970" t="n">
        <v>0.79718</v>
      </c>
    </row>
    <row r="537">
      <c r="B537" s="204">
        <f>+C537-1</f>
        <v/>
      </c>
      <c r="C537" s="204">
        <f>IF('bands_A-H_Avg'!$D$9+1&gt;MONTH(G537),YEAR(G537),YEAR(G537)+1)</f>
        <v/>
      </c>
      <c r="D537" s="204">
        <f>+C537+1</f>
        <v/>
      </c>
      <c r="E537" s="203">
        <f>IF(C537&gt;C536,1,E536+1)</f>
        <v/>
      </c>
      <c r="F537" s="203">
        <f>COUNTIF(C:C,C537)</f>
        <v/>
      </c>
      <c r="G537" s="198">
        <f>+G536+7</f>
        <v/>
      </c>
      <c r="H537" s="361">
        <f>IF(ISBLANK(CO537),CP537,SUMPRODUCT(CO$32:CP$32,CO537:CP537))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5.062462220431191</v>
      </c>
      <c r="CP537" s="199" t="n">
        <v>3.46</v>
      </c>
      <c r="CR537" s="199" t="n">
        <v>4.02</v>
      </c>
      <c r="CS537" s="970" t="n">
        <v>0.79408</v>
      </c>
    </row>
    <row r="538">
      <c r="B538" s="204">
        <f>+C538-1</f>
        <v/>
      </c>
      <c r="C538" s="204">
        <f>IF('bands_A-H_Avg'!$D$9+1&gt;MONTH(G538),YEAR(G538),YEAR(G538)+1)</f>
        <v/>
      </c>
      <c r="D538" s="204">
        <f>+C538+1</f>
        <v/>
      </c>
      <c r="E538" s="203">
        <f>IF(C538&gt;C537,1,E537+1)</f>
        <v/>
      </c>
      <c r="F538" s="203">
        <f>COUNTIF(C:C,C538)</f>
        <v/>
      </c>
      <c r="G538" s="198">
        <f>+G537+7</f>
        <v/>
      </c>
      <c r="H538" s="361">
        <f>IF(ISBLANK(CO538),CP538,SUMPRODUCT(CO$32:CP$32,CO538:CP538))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5.037275841225066</v>
      </c>
      <c r="CP538" s="199" t="n">
        <v>3.48</v>
      </c>
      <c r="CR538" s="199" t="n">
        <v>4</v>
      </c>
      <c r="CS538" s="970" t="n">
        <v>0.79408</v>
      </c>
    </row>
    <row r="539">
      <c r="B539" s="204">
        <f>+C539-1</f>
        <v/>
      </c>
      <c r="C539" s="204">
        <f>IF('bands_A-H_Avg'!$D$9+1&gt;MONTH(G539),YEAR(G539),YEAR(G539)+1)</f>
        <v/>
      </c>
      <c r="D539" s="204">
        <f>+C539+1</f>
        <v/>
      </c>
      <c r="E539" s="203">
        <f>IF(C539&gt;C538,1,E538+1)</f>
        <v/>
      </c>
      <c r="F539" s="203">
        <f>COUNTIF(C:C,C539)</f>
        <v/>
      </c>
      <c r="G539" s="198">
        <f>+G538+7</f>
        <v/>
      </c>
      <c r="H539" s="361">
        <f>IF(ISBLANK(CO539),CP539,SUMPRODUCT(CO$32:CP$32,CO539:CP539))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5.059913402477092</v>
      </c>
      <c r="CP539" s="199" t="n">
        <v>3.57</v>
      </c>
      <c r="CR539" s="199" t="n">
        <v>4.02</v>
      </c>
      <c r="CS539" s="970" t="n">
        <v>0.79448</v>
      </c>
    </row>
    <row r="540">
      <c r="B540" s="204">
        <f>+C540-1</f>
        <v/>
      </c>
      <c r="C540" s="204">
        <f>IF('bands_A-H_Avg'!$D$9+1&gt;MONTH(G540),YEAR(G540),YEAR(G540)+1)</f>
        <v/>
      </c>
      <c r="D540" s="204">
        <f>+C540+1</f>
        <v/>
      </c>
      <c r="E540" s="203">
        <f>IF(C540&gt;C539,1,E539+1)</f>
        <v/>
      </c>
      <c r="F540" s="203">
        <f>COUNTIF(C:C,C540)</f>
        <v/>
      </c>
      <c r="G540" s="198">
        <f>+G539+7</f>
        <v/>
      </c>
      <c r="H540" s="361">
        <f>IF(ISBLANK(CO540),CP540,SUMPRODUCT(CO$32:CP$32,CO540:CP540))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5.007252317588446</v>
      </c>
      <c r="CP540" s="199" t="n">
        <v>3.4</v>
      </c>
      <c r="CR540" s="199" t="n">
        <v>3.97</v>
      </c>
      <c r="CS540" s="970" t="n">
        <v>0.7928500000000001</v>
      </c>
    </row>
    <row r="541">
      <c r="B541" s="204">
        <f>+C541-1</f>
        <v/>
      </c>
      <c r="C541" s="204">
        <f>IF('bands_A-H_Avg'!$D$9+1&gt;MONTH(G541),YEAR(G541),YEAR(G541)+1)</f>
        <v/>
      </c>
      <c r="D541" s="204">
        <f>+C541+1</f>
        <v/>
      </c>
      <c r="E541" s="203">
        <f>IF(C541&gt;C540,1,E540+1)</f>
        <v/>
      </c>
      <c r="F541" s="203">
        <f>COUNTIF(C:C,C541)</f>
        <v/>
      </c>
      <c r="G541" s="198">
        <f>+G540+7</f>
        <v/>
      </c>
      <c r="H541" s="361">
        <f>IF(ISBLANK(CO541),CP541,SUMPRODUCT(CO$32:CP$32,CO541:CP541))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5.439789981194229</v>
      </c>
      <c r="CP541" s="199" t="n">
        <v>3.64</v>
      </c>
      <c r="CR541" s="199" t="n">
        <v>4.31</v>
      </c>
      <c r="CS541" s="970" t="n">
        <v>0.79231</v>
      </c>
    </row>
    <row r="542">
      <c r="B542" s="204">
        <f>+C542-1</f>
        <v/>
      </c>
      <c r="C542" s="204">
        <f>IF('bands_A-H_Avg'!$D$9+1&gt;MONTH(G542),YEAR(G542),YEAR(G542)+1)</f>
        <v/>
      </c>
      <c r="D542" s="204">
        <f>+C542+1</f>
        <v/>
      </c>
      <c r="E542" s="203">
        <f>IF(C542&gt;C541,1,E541+1)</f>
        <v/>
      </c>
      <c r="F542" s="203">
        <f>COUNTIF(C:C,C542)</f>
        <v/>
      </c>
      <c r="G542" s="198">
        <f>+G541+7</f>
        <v/>
      </c>
      <c r="H542" s="361">
        <f>IF(ISBLANK(CO542),CP542,SUMPRODUCT(CO$32:CP$32,CO542:CP542))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5.534915459852908</v>
      </c>
      <c r="CP542" s="199" t="n">
        <v>3.82</v>
      </c>
      <c r="CR542" s="199" t="n">
        <v>4.38</v>
      </c>
      <c r="CS542" s="970" t="n">
        <v>0.79134</v>
      </c>
    </row>
    <row r="543">
      <c r="B543" s="204">
        <f>+C543-1</f>
        <v/>
      </c>
      <c r="C543" s="204">
        <f>IF('bands_A-H_Avg'!$D$9+1&gt;MONTH(G543),YEAR(G543),YEAR(G543)+1)</f>
        <v/>
      </c>
      <c r="D543" s="204">
        <f>+C543+1</f>
        <v/>
      </c>
      <c r="E543" s="203">
        <f>IF(C543&gt;C542,1,E542+1)</f>
        <v/>
      </c>
      <c r="F543" s="203">
        <f>COUNTIF(C:C,C543)</f>
        <v/>
      </c>
      <c r="G543" s="198">
        <f>+G542+7</f>
        <v/>
      </c>
      <c r="H543" s="361">
        <f>IF(ISBLANK(CO543),CP543,SUMPRODUCT(CO$32:CP$32,CO543:CP543))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5.490691069738087</v>
      </c>
      <c r="CP543" s="199" t="n">
        <v>3.77</v>
      </c>
      <c r="CR543" s="199" t="n">
        <v>4.35</v>
      </c>
      <c r="CS543" s="970" t="n">
        <v>0.79225</v>
      </c>
    </row>
    <row r="544">
      <c r="B544" s="204">
        <f>+C544-1</f>
        <v/>
      </c>
      <c r="C544" s="204">
        <f>IF('bands_A-H_Avg'!$D$9+1&gt;MONTH(G544),YEAR(G544),YEAR(G544)+1)</f>
        <v/>
      </c>
      <c r="D544" s="204">
        <f>+C544+1</f>
        <v/>
      </c>
      <c r="E544" s="203">
        <f>IF(C544&gt;C543,1,E543+1)</f>
        <v/>
      </c>
      <c r="F544" s="203">
        <f>COUNTIF(C:C,C544)</f>
        <v/>
      </c>
      <c r="G544" s="198">
        <f>+G543+7</f>
        <v/>
      </c>
      <c r="H544" s="361">
        <f>IF(ISBLANK(CO544),CP544,SUMPRODUCT(CO$32:CP$32,CO544:CP544))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6.925716311517959</v>
      </c>
      <c r="CP544" s="199" t="n">
        <v>4.33</v>
      </c>
      <c r="CR544" s="199" t="n">
        <v>5.47</v>
      </c>
      <c r="CS544" s="970" t="n">
        <v>0.78981</v>
      </c>
    </row>
    <row r="545">
      <c r="B545" s="204">
        <f>+C545-1</f>
        <v/>
      </c>
      <c r="C545" s="204">
        <f>IF('bands_A-H_Avg'!$D$9+1&gt;MONTH(G545),YEAR(G545),YEAR(G545)+1)</f>
        <v/>
      </c>
      <c r="D545" s="204">
        <f>+C545+1</f>
        <v/>
      </c>
      <c r="E545" s="203">
        <f>IF(C545&gt;C544,1,E544+1)</f>
        <v/>
      </c>
      <c r="F545" s="203">
        <f>COUNTIF(C:C,C545)</f>
        <v/>
      </c>
      <c r="G545" s="198">
        <f>+G544+7</f>
        <v/>
      </c>
      <c r="H545" s="361">
        <f>IF(ISBLANK(CO545),CP545,SUMPRODUCT(CO$32:CP$32,CO545:CP545))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6.853732249212833</v>
      </c>
      <c r="CP545" s="199" t="n">
        <v>4.2</v>
      </c>
      <c r="CR545" s="199" t="n">
        <v>5.42</v>
      </c>
      <c r="CS545" s="970" t="n">
        <v>0.79081</v>
      </c>
    </row>
    <row r="546">
      <c r="B546" s="204">
        <f>+C546-1</f>
        <v/>
      </c>
      <c r="C546" s="204">
        <f>IF('bands_A-H_Avg'!$D$9+1&gt;MONTH(G546),YEAR(G546),YEAR(G546)+1)</f>
        <v/>
      </c>
      <c r="D546" s="204">
        <f>+C546+1</f>
        <v/>
      </c>
      <c r="E546" s="203">
        <f>IF(C546&gt;C545,1,E545+1)</f>
        <v/>
      </c>
      <c r="F546" s="203">
        <f>COUNTIF(C:C,C546)</f>
        <v/>
      </c>
      <c r="G546" s="198">
        <f>+G545+7</f>
        <v/>
      </c>
      <c r="H546" s="361">
        <f>IF(ISBLANK(CO546),CP546,SUMPRODUCT(CO$32:CP$32,CO546:CP546))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7.37890620055943</v>
      </c>
      <c r="CP546" s="199" t="n">
        <v>4.18</v>
      </c>
      <c r="CR546" s="199" t="n">
        <v>5.83</v>
      </c>
      <c r="CS546" s="970" t="n">
        <v>0.79009</v>
      </c>
    </row>
    <row r="547">
      <c r="B547" s="204">
        <f>+C547-1</f>
        <v/>
      </c>
      <c r="C547" s="204">
        <f>IF('bands_A-H_Avg'!$D$9+1&gt;MONTH(G547),YEAR(G547),YEAR(G547)+1)</f>
        <v/>
      </c>
      <c r="D547" s="204">
        <f>+C547+1</f>
        <v/>
      </c>
      <c r="E547" s="203">
        <f>IF(C547&gt;C546,1,E546+1)</f>
        <v/>
      </c>
      <c r="F547" s="203">
        <f>COUNTIF(C:C,C547)</f>
        <v/>
      </c>
      <c r="G547" s="198">
        <f>+G546+7</f>
        <v/>
      </c>
      <c r="H547" s="361">
        <f>IF(ISBLANK(CO547),CP547,SUMPRODUCT(CO$32:CP$32,CO547:CP547))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6.966787424315354</v>
      </c>
      <c r="CP547" s="199" t="n">
        <v>3.97</v>
      </c>
      <c r="CR547" s="199" t="n">
        <v>5.5</v>
      </c>
      <c r="CS547" s="970" t="n">
        <v>0.7894600000000001</v>
      </c>
    </row>
    <row r="548">
      <c r="B548" s="204">
        <f>+C548-1</f>
        <v/>
      </c>
      <c r="C548" s="204">
        <f>IF('bands_A-H_Avg'!$D$9+1&gt;MONTH(G548),YEAR(G548),YEAR(G548)+1)</f>
        <v/>
      </c>
      <c r="D548" s="204">
        <f>+C548+1</f>
        <v/>
      </c>
      <c r="E548" s="203">
        <f>IF(C548&gt;C547,1,E547+1)</f>
        <v/>
      </c>
      <c r="F548" s="203">
        <f>COUNTIF(C:C,C548)</f>
        <v/>
      </c>
      <c r="G548" s="198">
        <f>+G547+7</f>
        <v/>
      </c>
      <c r="H548" s="361">
        <f>IF(ISBLANK(CO548),CP548,SUMPRODUCT(CO$32:CP$32,CO548:CP548))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6.669540739989348</v>
      </c>
      <c r="CP548" s="372" t="n">
        <v>3.64</v>
      </c>
      <c r="CQ548" s="360" t="n"/>
      <c r="CR548" s="372" t="n">
        <v>5.26</v>
      </c>
      <c r="CS548" s="971" t="n">
        <v>0.78866</v>
      </c>
    </row>
    <row r="549">
      <c r="B549" s="204">
        <f>+C549-1</f>
        <v/>
      </c>
      <c r="C549" s="204">
        <f>IF('bands_A-H_Avg'!$D$9+1&gt;MONTH(G549),YEAR(G549),YEAR(G549)+1)</f>
        <v/>
      </c>
      <c r="D549" s="204">
        <f>+C549+1</f>
        <v/>
      </c>
      <c r="E549" s="203">
        <f>IF(C549&gt;C548,1,E548+1)</f>
        <v/>
      </c>
      <c r="F549" s="203">
        <f>COUNTIF(C:C,C549)</f>
        <v/>
      </c>
      <c r="G549" s="198">
        <f>+G548+7</f>
        <v/>
      </c>
      <c r="H549" s="361">
        <f>IF(ISBLANK(CO549),CP549,SUMPRODUCT(CO$32:CP$32,CO549:CP549))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7.395943014449363</v>
      </c>
      <c r="CP549" s="372" t="n">
        <v>3.88</v>
      </c>
      <c r="CQ549" s="360" t="n"/>
      <c r="CR549" s="372" t="n">
        <v>5.83</v>
      </c>
      <c r="CS549" s="971" t="n">
        <v>0.78827</v>
      </c>
    </row>
    <row r="550">
      <c r="B550" s="204">
        <f>+C550-1</f>
        <v/>
      </c>
      <c r="C550" s="204">
        <f>IF('bands_A-H_Avg'!$D$9+1&gt;MONTH(G550),YEAR(G550),YEAR(G550)+1)</f>
        <v/>
      </c>
      <c r="D550" s="204">
        <f>+C550+1</f>
        <v/>
      </c>
      <c r="E550" s="203">
        <f>IF(C550&gt;C549,1,E549+1)</f>
        <v/>
      </c>
      <c r="F550" s="203">
        <f>COUNTIF(C:C,C550)</f>
        <v/>
      </c>
      <c r="G550" s="198">
        <f>+G549+7</f>
        <v/>
      </c>
      <c r="H550" s="361">
        <f>IF(ISBLANK(CO550),CP550,SUMPRODUCT(CO$32:CP$32,CO550:CP550))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8.014788741310982</v>
      </c>
      <c r="CP550" s="372" t="n">
        <v>3.76</v>
      </c>
      <c r="CQ550" s="360" t="n"/>
      <c r="CR550" s="372" t="n">
        <v>6.33</v>
      </c>
      <c r="CS550" s="971" t="n">
        <v>0.78979</v>
      </c>
    </row>
    <row r="551">
      <c r="B551" s="204">
        <f>+C551-1</f>
        <v/>
      </c>
      <c r="C551" s="204">
        <f>IF('bands_A-H_Avg'!$D$9+1&gt;MONTH(G551),YEAR(G551),YEAR(G551)+1)</f>
        <v/>
      </c>
      <c r="D551" s="204">
        <f>+C551+1</f>
        <v/>
      </c>
      <c r="E551" s="203">
        <f>IF(C551&gt;C550,1,E550+1)</f>
        <v/>
      </c>
      <c r="F551" s="203">
        <f>COUNTIF(C:C,C551)</f>
        <v/>
      </c>
      <c r="G551" s="198">
        <f>+G550+7</f>
        <v/>
      </c>
      <c r="H551" s="361">
        <f>IF(ISBLANK(CO551),CP551,SUMPRODUCT(CO$32:CP$32,CO551:CP551))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7.688805705903182</v>
      </c>
      <c r="CP551" s="372" t="n">
        <v>4.65</v>
      </c>
      <c r="CQ551" s="360" t="n"/>
      <c r="CR551" s="372" t="n">
        <v>6.08</v>
      </c>
      <c r="CS551" s="971" t="n">
        <v>0.79076</v>
      </c>
    </row>
    <row r="552">
      <c r="B552" s="204">
        <f>+C552-1</f>
        <v/>
      </c>
      <c r="C552" s="204">
        <f>IF('bands_A-H_Avg'!$D$9+1&gt;MONTH(G552),YEAR(G552),YEAR(G552)+1)</f>
        <v/>
      </c>
      <c r="D552" s="204">
        <f>+C552+1</f>
        <v/>
      </c>
      <c r="E552" s="203">
        <f>IF(C552&gt;C551,1,E551+1)</f>
        <v/>
      </c>
      <c r="F552" s="203">
        <f>COUNTIF(C:C,C552)</f>
        <v/>
      </c>
      <c r="G552" s="198">
        <f>+G551+7</f>
        <v/>
      </c>
      <c r="H552" s="361">
        <f>IF(ISBLANK(CO552),CP552,SUMPRODUCT(CO$32:CP$32,CO552:CP552))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7.818241719252895</v>
      </c>
      <c r="CP552" s="372" t="n">
        <v>4.36</v>
      </c>
      <c r="CQ552" s="360" t="n"/>
      <c r="CR552" s="372" t="n">
        <v>6.17</v>
      </c>
      <c r="CS552" s="971" t="n">
        <v>0.78918</v>
      </c>
    </row>
    <row r="553">
      <c r="B553" s="204">
        <f>+C553-1</f>
        <v/>
      </c>
      <c r="C553" s="204">
        <f>IF('bands_A-H_Avg'!$D$9+1&gt;MONTH(G553),YEAR(G553),YEAR(G553)+1)</f>
        <v/>
      </c>
      <c r="D553" s="204">
        <f>+C553+1</f>
        <v/>
      </c>
      <c r="E553" s="203">
        <f>IF(C553&gt;C552,1,E552+1)</f>
        <v/>
      </c>
      <c r="F553" s="203">
        <f>COUNTIF(C:C,C553)</f>
        <v/>
      </c>
      <c r="G553" s="198">
        <f>+G552+7</f>
        <v/>
      </c>
      <c r="H553" s="361">
        <f>IF(ISBLANK(CO553),CP553,SUMPRODUCT(CO$32:CP$32,CO553:CP553))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8.003433649767723</v>
      </c>
      <c r="CP553" s="372" t="n">
        <v>4.65</v>
      </c>
      <c r="CQ553" s="360" t="n"/>
      <c r="CR553" s="372" t="n">
        <v>6.34</v>
      </c>
      <c r="CS553" s="971" t="n">
        <v>0.79216</v>
      </c>
    </row>
    <row r="554">
      <c r="B554" s="204">
        <f>+C554-1</f>
        <v/>
      </c>
      <c r="C554" s="204">
        <f>IF('bands_A-H_Avg'!$D$9+1&gt;MONTH(G554),YEAR(G554),YEAR(G554)+1)</f>
        <v/>
      </c>
      <c r="D554" s="204">
        <f>+C554+1</f>
        <v/>
      </c>
      <c r="E554" s="203">
        <f>IF(C554&gt;C553,1,E553+1)</f>
        <v/>
      </c>
      <c r="F554" s="203">
        <f>COUNTIF(C:C,C554)</f>
        <v/>
      </c>
      <c r="G554" s="198">
        <f>+G553+7</f>
        <v/>
      </c>
      <c r="H554" s="361">
        <f>IF(ISBLANK(CO554),CP554,SUMPRODUCT(CO$32:CP$32,CO554:CP554))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8.784090336240359</v>
      </c>
      <c r="CP554" s="372" t="n">
        <v>4.42</v>
      </c>
      <c r="CQ554" s="360" t="n"/>
      <c r="CR554" s="372" t="n">
        <v>6.97</v>
      </c>
      <c r="CS554" s="971" t="n">
        <v>0.79348</v>
      </c>
    </row>
    <row r="555">
      <c r="B555" s="204">
        <f>+C555-1</f>
        <v/>
      </c>
      <c r="C555" s="204">
        <f>IF('bands_A-H_Avg'!$D$9+1&gt;MONTH(G555),YEAR(G555),YEAR(G555)+1)</f>
        <v/>
      </c>
      <c r="D555" s="204">
        <f>+C555+1</f>
        <v/>
      </c>
      <c r="E555" s="203">
        <f>IF(C555&gt;C554,1,E554+1)</f>
        <v/>
      </c>
      <c r="F555" s="203">
        <f>COUNTIF(C:C,C555)</f>
        <v/>
      </c>
      <c r="G555" s="198">
        <f>+G554+7</f>
        <v/>
      </c>
      <c r="H555" s="361">
        <f>IF(ISBLANK(CO555),CP555,SUMPRODUCT(CO$32:CP$32,CO555:CP555))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9.046032024456862</v>
      </c>
      <c r="CP555" s="372" t="n">
        <v>4.23</v>
      </c>
      <c r="CQ555" s="360" t="n"/>
      <c r="CR555" s="372" t="n">
        <v>7.22</v>
      </c>
      <c r="CS555" s="971" t="n">
        <v>0.79814</v>
      </c>
    </row>
    <row r="556">
      <c r="B556" s="204">
        <f>+C556-1</f>
        <v/>
      </c>
      <c r="C556" s="204">
        <f>IF('bands_A-H_Avg'!$D$9+1&gt;MONTH(G556),YEAR(G556),YEAR(G556)+1)</f>
        <v/>
      </c>
      <c r="D556" s="204">
        <f>+C556+1</f>
        <v/>
      </c>
      <c r="E556" s="203">
        <f>IF(C556&gt;C555,1,E555+1)</f>
        <v/>
      </c>
      <c r="F556" s="203">
        <f>COUNTIF(C:C,C556)</f>
        <v/>
      </c>
      <c r="G556" s="198">
        <f>+G555+7</f>
        <v/>
      </c>
      <c r="H556" s="361">
        <f>IF(ISBLANK(CO556),CP556,SUMPRODUCT(CO$32:CP$32,CO556:CP556))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10.07999202571706</v>
      </c>
      <c r="CP556" s="372" t="n">
        <v>3.92</v>
      </c>
      <c r="CQ556" s="360" t="n"/>
      <c r="CR556" s="372" t="n">
        <v>8.09</v>
      </c>
      <c r="CS556" s="971" t="n">
        <v>0.80258</v>
      </c>
    </row>
    <row r="557">
      <c r="B557" s="204">
        <f>+C557-1</f>
        <v/>
      </c>
      <c r="C557" s="204">
        <f>IF('bands_A-H_Avg'!$D$9+1&gt;MONTH(G557),YEAR(G557),YEAR(G557)+1)</f>
        <v/>
      </c>
      <c r="D557" s="204">
        <f>+C557+1</f>
        <v/>
      </c>
      <c r="E557" s="203">
        <f>IF(C557&gt;C556,1,E556+1)</f>
        <v/>
      </c>
      <c r="F557" s="203">
        <f>COUNTIF(C:C,C557)</f>
        <v/>
      </c>
      <c r="G557" s="198">
        <f>+G556+7</f>
        <v/>
      </c>
      <c r="H557" s="361">
        <f>IF(ISBLANK(CO557),CP557,SUMPRODUCT(CO$32:CP$32,CO557:CP557))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9.458179643106371</v>
      </c>
      <c r="CP557" s="372" t="n">
        <v>3.77</v>
      </c>
      <c r="CQ557" s="360" t="n"/>
      <c r="CR557" s="372" t="n">
        <v>7.59</v>
      </c>
      <c r="CS557" s="971" t="n">
        <v>0.80248</v>
      </c>
    </row>
    <row r="558">
      <c r="B558" s="204">
        <f>+C558-1</f>
        <v/>
      </c>
      <c r="C558" s="204">
        <f>IF('bands_A-H_Avg'!$D$9+1&gt;MONTH(G558),YEAR(G558),YEAR(G558)+1)</f>
        <v/>
      </c>
      <c r="D558" s="204">
        <f>+C558+1</f>
        <v/>
      </c>
      <c r="E558" s="203">
        <f>IF(C558&gt;C557,1,E557+1)</f>
        <v/>
      </c>
      <c r="F558" s="203">
        <f>COUNTIF(C:C,C558)</f>
        <v/>
      </c>
      <c r="G558" s="198">
        <f>+G557+7</f>
        <v/>
      </c>
      <c r="H558" s="361">
        <f>IF(ISBLANK(CO558),CP558,SUMPRODUCT(CO$32:CP$32,CO558:CP558))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10.31056676873086</v>
      </c>
      <c r="CP558" s="372" t="n">
        <v>4.15</v>
      </c>
      <c r="CQ558" s="360" t="n"/>
      <c r="CR558" s="372" t="n">
        <v>8.25</v>
      </c>
      <c r="CS558" s="971" t="n">
        <v>0.80015</v>
      </c>
    </row>
    <row r="559">
      <c r="B559" s="204">
        <f>+C559-1</f>
        <v/>
      </c>
      <c r="C559" s="204">
        <f>IF('bands_A-H_Avg'!$D$9+1&gt;MONTH(G559),YEAR(G559),YEAR(G559)+1)</f>
        <v/>
      </c>
      <c r="D559" s="204">
        <f>+C559+1</f>
        <v/>
      </c>
      <c r="E559" s="203">
        <f>IF(C559&gt;C558,1,E558+1)</f>
        <v/>
      </c>
      <c r="F559" s="203">
        <f>COUNTIF(C:C,C559)</f>
        <v/>
      </c>
      <c r="G559" s="198">
        <f>+G558+7</f>
        <v/>
      </c>
      <c r="H559" s="361">
        <f>IF(ISBLANK(CO559),CP559,SUMPRODUCT(CO$32:CP$32,CO559:CP559))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11.7466420332551</v>
      </c>
      <c r="CP559" s="372" t="n">
        <v>4.35</v>
      </c>
      <c r="CQ559" s="360" t="n"/>
      <c r="CR559" s="372" t="n">
        <v>9.41</v>
      </c>
      <c r="CS559" s="971" t="n">
        <v>0.80108</v>
      </c>
    </row>
    <row r="560">
      <c r="B560" s="204">
        <f>+C560-1</f>
        <v/>
      </c>
      <c r="C560" s="204">
        <f>IF('bands_A-H_Avg'!$D$9+1&gt;MONTH(G560),YEAR(G560),YEAR(G560)+1)</f>
        <v/>
      </c>
      <c r="D560" s="204">
        <f>+C560+1</f>
        <v/>
      </c>
      <c r="E560" s="203">
        <f>IF(C560&gt;C559,1,E559+1)</f>
        <v/>
      </c>
      <c r="F560" s="203">
        <f>COUNTIF(C:C,C560)</f>
        <v/>
      </c>
      <c r="G560" s="198">
        <f>+G559+7</f>
        <v/>
      </c>
      <c r="H560" s="361">
        <f>IF(ISBLANK(CO560),CP560,SUMPRODUCT(CO$32:CP$32,CO560:CP560))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11.92825560190852</v>
      </c>
      <c r="CP560" s="372" t="n">
        <v>4.52</v>
      </c>
      <c r="CQ560" s="360" t="n"/>
      <c r="CR560" s="372" t="n">
        <v>9.550000000000001</v>
      </c>
      <c r="CS560" s="971" t="n">
        <v>0.80062</v>
      </c>
    </row>
    <row r="561">
      <c r="B561" s="204">
        <f>+C561-1</f>
        <v/>
      </c>
      <c r="C561" s="204">
        <f>IF('bands_A-H_Avg'!$D$9+1&gt;MONTH(G561),YEAR(G561),YEAR(G561)+1)</f>
        <v/>
      </c>
      <c r="D561" s="204">
        <f>+C561+1</f>
        <v/>
      </c>
      <c r="E561" s="203">
        <f>IF(C561&gt;C560,1,E560+1)</f>
        <v/>
      </c>
      <c r="F561" s="203">
        <f>COUNTIF(C:C,C561)</f>
        <v/>
      </c>
      <c r="G561" s="198">
        <f>+G560+7</f>
        <v/>
      </c>
      <c r="H561" s="361">
        <f>IF(ISBLANK(CO561),CP561,SUMPRODUCT(CO$32:CP$32,CO561:CP561))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12.79131982032426</v>
      </c>
      <c r="CP561" s="372" t="n">
        <v>4.72</v>
      </c>
      <c r="CQ561" s="360" t="n"/>
      <c r="CR561" s="372" t="n">
        <v>10.28</v>
      </c>
      <c r="CS561" s="971" t="n">
        <v>0.80367</v>
      </c>
    </row>
    <row r="562">
      <c r="B562" s="204">
        <f>+C562-1</f>
        <v/>
      </c>
      <c r="C562" s="204">
        <f>IF('bands_A-H_Avg'!$D$9+1&gt;MONTH(G562),YEAR(G562),YEAR(G562)+1)</f>
        <v/>
      </c>
      <c r="D562" s="204">
        <f>+C562+1</f>
        <v/>
      </c>
      <c r="E562" s="203">
        <f>IF(C562&gt;C561,1,E561+1)</f>
        <v/>
      </c>
      <c r="F562" s="203">
        <f>COUNTIF(C:C,C562)</f>
        <v/>
      </c>
      <c r="G562" s="198">
        <f>+G561+7</f>
        <v/>
      </c>
      <c r="H562" s="361">
        <f>IF(ISBLANK(CO562),CP562,SUMPRODUCT(CO$32:CP$32,CO562:CP562))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2" t="n">
        <v>13.54667592087651</v>
      </c>
      <c r="CP562" s="372" t="n">
        <v>4.76</v>
      </c>
      <c r="CQ562" s="360" t="n"/>
      <c r="CR562" s="372" t="n">
        <v>10.93</v>
      </c>
      <c r="CS562" s="971" t="n">
        <v>0.80684</v>
      </c>
    </row>
    <row r="563">
      <c r="B563" s="204">
        <f>+C563-1</f>
        <v/>
      </c>
      <c r="C563" s="204">
        <f>IF('bands_A-H_Avg'!$D$9+1&gt;MONTH(G563),YEAR(G563),YEAR(G563)+1)</f>
        <v/>
      </c>
      <c r="D563" s="204">
        <f>+C563+1</f>
        <v/>
      </c>
      <c r="E563" s="203">
        <f>IF(C563&gt;C562,1,E562+1)</f>
        <v/>
      </c>
      <c r="F563" s="203">
        <f>COUNTIF(C:C,C563)</f>
        <v/>
      </c>
      <c r="G563" s="198">
        <f>+G562+7</f>
        <v/>
      </c>
      <c r="H563" s="361">
        <f>IF(ISBLANK(CO563),CP563,SUMPRODUCT(CO$32:CP$32,CO563:CP563))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2" t="n">
        <v>12.73901167121927</v>
      </c>
      <c r="CP563" s="372" t="n">
        <v>4.39</v>
      </c>
      <c r="CQ563" s="360" t="n"/>
      <c r="CR563" s="372" t="n">
        <v>10.26</v>
      </c>
      <c r="CS563" s="971" t="n">
        <v>0.8054</v>
      </c>
    </row>
    <row r="564">
      <c r="B564" s="204">
        <f>+C564-1</f>
        <v/>
      </c>
      <c r="C564" s="204">
        <f>IF('bands_A-H_Avg'!$D$9+1&gt;MONTH(G564),YEAR(G564),YEAR(G564)+1)</f>
        <v/>
      </c>
      <c r="D564" s="204">
        <f>+C564+1</f>
        <v/>
      </c>
      <c r="E564" s="203">
        <f>IF(C564&gt;C563,1,E563+1)</f>
        <v/>
      </c>
      <c r="F564" s="203">
        <f>COUNTIF(C:C,C564)</f>
        <v/>
      </c>
      <c r="G564" s="198">
        <f>+G563+7</f>
        <v/>
      </c>
      <c r="H564" s="361">
        <f>IF(ISBLANK(CO564),CP564,SUMPRODUCT(CO$32:CP$32,CO564:CP564))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f>+CR564/CS564</f>
        <v/>
      </c>
      <c r="CP564" s="370" t="n">
        <v>4.49</v>
      </c>
      <c r="CR564" s="370" t="n">
        <v>9.789999999999999</v>
      </c>
      <c r="CS564" s="972" t="n">
        <v>0.80516</v>
      </c>
    </row>
    <row r="565">
      <c r="B565" s="204">
        <f>+C565-1</f>
        <v/>
      </c>
      <c r="C565" s="204">
        <f>IF('bands_A-H_Avg'!$D$9+1&gt;MONTH(G565),YEAR(G565),YEAR(G565)+1)</f>
        <v/>
      </c>
      <c r="D565" s="204">
        <f>+C565+1</f>
        <v/>
      </c>
      <c r="E565" s="203">
        <f>IF(C565&gt;C564,1,E564+1)</f>
        <v/>
      </c>
      <c r="F565" s="203">
        <f>COUNTIF(C:C,C565)</f>
        <v/>
      </c>
      <c r="G565" s="198">
        <f>+G564+7</f>
        <v/>
      </c>
      <c r="H565" s="202" t="n"/>
      <c r="I565" s="968" t="n"/>
      <c r="J565" s="968" t="n"/>
      <c r="K565" s="968" t="n"/>
      <c r="L565" s="968" t="n"/>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t="n"/>
      <c r="V565" s="969">
        <f>HLOOKUP(B:B,$4:$10,7,FALSE)+((HLOOKUP(C:C,$4:$10,7,FALSE)-HLOOKUP(B:B,$4:$10,7,FALSE))*E565/F565)</f>
        <v/>
      </c>
      <c r="AB565" s="198">
        <f>$G565</f>
        <v/>
      </c>
      <c r="AC565" s="199" t="n"/>
      <c r="AD565" s="199">
        <f>$M565*AD$34</f>
        <v/>
      </c>
      <c r="AE565" s="199">
        <f>$M565*AE$34</f>
        <v/>
      </c>
      <c r="AF565" s="199">
        <f>$M565*AF$34</f>
        <v/>
      </c>
      <c r="AG565" s="199">
        <f>$M565*AG$34</f>
        <v/>
      </c>
      <c r="AH565" s="199">
        <f>$M565*AH$34</f>
        <v/>
      </c>
      <c r="AJ565" s="198">
        <f>$G565</f>
        <v/>
      </c>
      <c r="AK565" s="199" t="n"/>
      <c r="AL565" s="199">
        <f>$N565*AL$34</f>
        <v/>
      </c>
      <c r="AM565" s="199">
        <f>$N565*AM$34</f>
        <v/>
      </c>
      <c r="AN565" s="199">
        <f>$N565*AN$34</f>
        <v/>
      </c>
      <c r="AO565" s="199">
        <f>$N565*AO$34</f>
        <v/>
      </c>
      <c r="AP565" s="199">
        <f>$N565*AP$34</f>
        <v/>
      </c>
      <c r="AR565" s="198">
        <f>$G565</f>
        <v/>
      </c>
      <c r="AS565" s="199" t="n"/>
      <c r="AT565" s="199">
        <f>$O565*AT$34-$Q565</f>
        <v/>
      </c>
      <c r="AU565" s="199">
        <f>$O565*AU$34-$Q565</f>
        <v/>
      </c>
      <c r="AV565" s="199">
        <f>$O565*AV$34-$Q565</f>
        <v/>
      </c>
      <c r="AW565" s="199">
        <f>$O565*AW$34-$Q565</f>
        <v/>
      </c>
      <c r="AX565" s="199">
        <f>$O565*AX$34-$Q565</f>
        <v/>
      </c>
      <c r="AZ565" s="198">
        <f>$G565</f>
        <v/>
      </c>
      <c r="BA565" s="199" t="n"/>
      <c r="BB565" s="199">
        <f>$P565*BB$34-$Q565</f>
        <v/>
      </c>
      <c r="BC565" s="199">
        <f>$P565*BC$34-$Q565</f>
        <v/>
      </c>
      <c r="BD565" s="199">
        <f>$P565*BD$34-$Q565</f>
        <v/>
      </c>
      <c r="BE565" s="199">
        <f>$P565*BE$34-$Q565</f>
        <v/>
      </c>
      <c r="BF565" s="199">
        <f>$P565*BF$34-$Q565</f>
        <v/>
      </c>
      <c r="BH565" s="198" t="n"/>
      <c r="BI565" s="197" t="n"/>
      <c r="BJ565" s="197" t="n"/>
      <c r="BK565" s="197" t="n"/>
      <c r="BL565" s="197" t="n"/>
      <c r="BM565" s="197" t="n"/>
      <c r="BN565" s="197" t="n"/>
      <c r="BP565" s="198" t="n"/>
      <c r="BQ565" s="197" t="n"/>
      <c r="BR565" s="197" t="n"/>
      <c r="BS565" s="197" t="n"/>
      <c r="BT565" s="197" t="n"/>
      <c r="BU565" s="197" t="n"/>
      <c r="BV565" s="197" t="n"/>
      <c r="BX565" s="198" t="n"/>
      <c r="BY565" s="197" t="n"/>
      <c r="BZ565" s="197" t="n"/>
      <c r="CA565" s="197" t="n"/>
      <c r="CB565" s="197" t="n"/>
      <c r="CC565" s="197" t="n"/>
      <c r="CD565" s="197" t="n"/>
      <c r="CF565" s="198" t="n"/>
      <c r="CG565" s="197" t="n"/>
      <c r="CH565" s="197" t="n"/>
      <c r="CI565" s="197" t="n"/>
      <c r="CJ565" s="197" t="n"/>
      <c r="CK565" s="197" t="n"/>
      <c r="CL565" s="197" t="n"/>
    </row>
    <row r="566">
      <c r="B566" s="204">
        <f>+C566-1</f>
        <v/>
      </c>
      <c r="C566" s="204">
        <f>IF('bands_A-H_Avg'!$D$9+1&gt;MONTH(G566),YEAR(G566),YEAR(G566)+1)</f>
        <v/>
      </c>
      <c r="D566" s="204">
        <f>+C566+1</f>
        <v/>
      </c>
      <c r="E566" s="203">
        <f>IF(C566&gt;C565,1,E565+1)</f>
        <v/>
      </c>
      <c r="F566" s="203">
        <f>COUNTIF(C:C,C566)</f>
        <v/>
      </c>
      <c r="G566" s="198">
        <f>+G565+7</f>
        <v/>
      </c>
      <c r="H566" s="202" t="n"/>
      <c r="I566" s="968" t="n"/>
      <c r="J566" s="968" t="n"/>
      <c r="K566" s="968" t="n"/>
      <c r="L566" s="968" t="n"/>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t="n"/>
      <c r="V566" s="969">
        <f>HLOOKUP(B:B,$4:$10,7,FALSE)+((HLOOKUP(C:C,$4:$10,7,FALSE)-HLOOKUP(B:B,$4:$10,7,FALSE))*E566/F566)</f>
        <v/>
      </c>
      <c r="AB566" s="198">
        <f>$G566</f>
        <v/>
      </c>
      <c r="AC566" s="199" t="n"/>
      <c r="AD566" s="199">
        <f>$M566*AD$34</f>
        <v/>
      </c>
      <c r="AE566" s="199">
        <f>$M566*AE$34</f>
        <v/>
      </c>
      <c r="AF566" s="199">
        <f>$M566*AF$34</f>
        <v/>
      </c>
      <c r="AG566" s="199">
        <f>$M566*AG$34</f>
        <v/>
      </c>
      <c r="AH566" s="199">
        <f>$M566*AH$34</f>
        <v/>
      </c>
      <c r="AJ566" s="198">
        <f>$G566</f>
        <v/>
      </c>
      <c r="AK566" s="199" t="n"/>
      <c r="AL566" s="199">
        <f>$N566*AL$34</f>
        <v/>
      </c>
      <c r="AM566" s="199">
        <f>$N566*AM$34</f>
        <v/>
      </c>
      <c r="AN566" s="199">
        <f>$N566*AN$34</f>
        <v/>
      </c>
      <c r="AO566" s="199">
        <f>$N566*AO$34</f>
        <v/>
      </c>
      <c r="AP566" s="199">
        <f>$N566*AP$34</f>
        <v/>
      </c>
      <c r="AR566" s="198">
        <f>$G566</f>
        <v/>
      </c>
      <c r="AS566" s="199" t="n"/>
      <c r="AT566" s="199">
        <f>$O566*AT$34-$Q566</f>
        <v/>
      </c>
      <c r="AU566" s="199">
        <f>$O566*AU$34-$Q566</f>
        <v/>
      </c>
      <c r="AV566" s="199">
        <f>$O566*AV$34-$Q566</f>
        <v/>
      </c>
      <c r="AW566" s="199">
        <f>$O566*AW$34-$Q566</f>
        <v/>
      </c>
      <c r="AX566" s="199">
        <f>$O566*AX$34-$Q566</f>
        <v/>
      </c>
      <c r="AZ566" s="198">
        <f>$G566</f>
        <v/>
      </c>
      <c r="BA566" s="199" t="n"/>
      <c r="BB566" s="199">
        <f>$P566*BB$34-$Q566</f>
        <v/>
      </c>
      <c r="BC566" s="199">
        <f>$P566*BC$34-$Q566</f>
        <v/>
      </c>
      <c r="BD566" s="199">
        <f>$P566*BD$34-$Q566</f>
        <v/>
      </c>
      <c r="BE566" s="199">
        <f>$P566*BE$34-$Q566</f>
        <v/>
      </c>
      <c r="BF566" s="199">
        <f>$P566*BF$34-$Q566</f>
        <v/>
      </c>
      <c r="BH566" s="198" t="n"/>
      <c r="BI566" s="197" t="n"/>
      <c r="BJ566" s="197" t="n"/>
      <c r="BK566" s="197" t="n"/>
      <c r="BL566" s="197" t="n"/>
      <c r="BM566" s="197" t="n"/>
      <c r="BN566" s="197" t="n"/>
      <c r="BP566" s="198" t="n"/>
      <c r="BQ566" s="197" t="n"/>
      <c r="BR566" s="197" t="n"/>
      <c r="BS566" s="197" t="n"/>
      <c r="BT566" s="197" t="n"/>
      <c r="BU566" s="197" t="n"/>
      <c r="BV566" s="197" t="n"/>
      <c r="BX566" s="198" t="n"/>
      <c r="BY566" s="197" t="n"/>
      <c r="BZ566" s="197" t="n"/>
      <c r="CA566" s="197" t="n"/>
      <c r="CB566" s="197" t="n"/>
      <c r="CC566" s="197" t="n"/>
      <c r="CD566" s="197" t="n"/>
      <c r="CF566" s="198" t="n"/>
      <c r="CG566" s="197" t="n"/>
      <c r="CH566" s="197" t="n"/>
      <c r="CI566" s="197" t="n"/>
      <c r="CJ566" s="197" t="n"/>
      <c r="CK566" s="197" t="n"/>
      <c r="CL566" s="197" t="n"/>
    </row>
    <row r="567">
      <c r="B567" s="204">
        <f>+C567-1</f>
        <v/>
      </c>
      <c r="C567" s="204">
        <f>IF('bands_A-H_Avg'!$D$9+1&gt;MONTH(G567),YEAR(G567),YEAR(G567)+1)</f>
        <v/>
      </c>
      <c r="D567" s="204">
        <f>+C567+1</f>
        <v/>
      </c>
      <c r="E567" s="203">
        <f>IF(C567&gt;C566,1,E566+1)</f>
        <v/>
      </c>
      <c r="F567" s="203">
        <f>COUNTIF(C:C,C567)</f>
        <v/>
      </c>
      <c r="G567" s="198">
        <f>+G566+7</f>
        <v/>
      </c>
      <c r="H567" s="202" t="n"/>
      <c r="I567" s="968" t="n"/>
      <c r="J567" s="968" t="n"/>
      <c r="K567" s="968" t="n"/>
      <c r="L567" s="968" t="n"/>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t="n"/>
      <c r="V567" s="969">
        <f>HLOOKUP(B:B,$4:$10,7,FALSE)+((HLOOKUP(C:C,$4:$10,7,FALSE)-HLOOKUP(B:B,$4:$10,7,FALSE))*E567/F567)</f>
        <v/>
      </c>
      <c r="AB567" s="198">
        <f>$G567</f>
        <v/>
      </c>
      <c r="AC567" s="199" t="n"/>
      <c r="AD567" s="199">
        <f>$M567*AD$34</f>
        <v/>
      </c>
      <c r="AE567" s="199">
        <f>$M567*AE$34</f>
        <v/>
      </c>
      <c r="AF567" s="199">
        <f>$M567*AF$34</f>
        <v/>
      </c>
      <c r="AG567" s="199">
        <f>$M567*AG$34</f>
        <v/>
      </c>
      <c r="AH567" s="199">
        <f>$M567*AH$34</f>
        <v/>
      </c>
      <c r="AJ567" s="198">
        <f>$G567</f>
        <v/>
      </c>
      <c r="AK567" s="199" t="n"/>
      <c r="AL567" s="199">
        <f>$N567*AL$34</f>
        <v/>
      </c>
      <c r="AM567" s="199">
        <f>$N567*AM$34</f>
        <v/>
      </c>
      <c r="AN567" s="199">
        <f>$N567*AN$34</f>
        <v/>
      </c>
      <c r="AO567" s="199">
        <f>$N567*AO$34</f>
        <v/>
      </c>
      <c r="AP567" s="199">
        <f>$N567*AP$34</f>
        <v/>
      </c>
      <c r="AR567" s="198">
        <f>$G567</f>
        <v/>
      </c>
      <c r="AS567" s="199" t="n"/>
      <c r="AT567" s="199">
        <f>$O567*AT$34-$Q567</f>
        <v/>
      </c>
      <c r="AU567" s="199">
        <f>$O567*AU$34-$Q567</f>
        <v/>
      </c>
      <c r="AV567" s="199">
        <f>$O567*AV$34-$Q567</f>
        <v/>
      </c>
      <c r="AW567" s="199">
        <f>$O567*AW$34-$Q567</f>
        <v/>
      </c>
      <c r="AX567" s="199">
        <f>$O567*AX$34-$Q567</f>
        <v/>
      </c>
      <c r="AZ567" s="198">
        <f>$G567</f>
        <v/>
      </c>
      <c r="BA567" s="199" t="n"/>
      <c r="BB567" s="199">
        <f>$P567*BB$34-$Q567</f>
        <v/>
      </c>
      <c r="BC567" s="199">
        <f>$P567*BC$34-$Q567</f>
        <v/>
      </c>
      <c r="BD567" s="199">
        <f>$P567*BD$34-$Q567</f>
        <v/>
      </c>
      <c r="BE567" s="199">
        <f>$P567*BE$34-$Q567</f>
        <v/>
      </c>
      <c r="BF567" s="199">
        <f>$P567*BF$34-$Q567</f>
        <v/>
      </c>
      <c r="BH567" s="198" t="n"/>
      <c r="BI567" s="197" t="n"/>
      <c r="BJ567" s="197" t="n"/>
      <c r="BK567" s="197" t="n"/>
      <c r="BL567" s="197" t="n"/>
      <c r="BM567" s="197" t="n"/>
      <c r="BN567" s="197" t="n"/>
      <c r="BP567" s="198" t="n"/>
      <c r="BQ567" s="197" t="n"/>
      <c r="BR567" s="197" t="n"/>
      <c r="BS567" s="197" t="n"/>
      <c r="BT567" s="197" t="n"/>
      <c r="BU567" s="197" t="n"/>
      <c r="BV567" s="197" t="n"/>
      <c r="BX567" s="198" t="n"/>
      <c r="BY567" s="197" t="n"/>
      <c r="BZ567" s="197" t="n"/>
      <c r="CA567" s="197" t="n"/>
      <c r="CB567" s="197" t="n"/>
      <c r="CC567" s="197" t="n"/>
      <c r="CD567" s="197" t="n"/>
      <c r="CF567" s="198" t="n"/>
      <c r="CG567" s="197" t="n"/>
      <c r="CH567" s="197" t="n"/>
      <c r="CI567" s="197" t="n"/>
      <c r="CJ567" s="197" t="n"/>
      <c r="CK567" s="197" t="n"/>
      <c r="CL567" s="197" t="n"/>
    </row>
    <row r="568">
      <c r="B568" s="204">
        <f>+C568-1</f>
        <v/>
      </c>
      <c r="C568" s="204">
        <f>IF('bands_A-H_Avg'!$D$9+1&gt;MONTH(G568),YEAR(G568),YEAR(G568)+1)</f>
        <v/>
      </c>
      <c r="D568" s="204">
        <f>+C568+1</f>
        <v/>
      </c>
      <c r="E568" s="203">
        <f>IF(C568&gt;C567,1,E567+1)</f>
        <v/>
      </c>
      <c r="F568" s="203">
        <f>COUNTIF(C:C,C568)</f>
        <v/>
      </c>
      <c r="G568" s="198">
        <f>+G567+7</f>
        <v/>
      </c>
      <c r="H568" s="202" t="n"/>
      <c r="I568" s="968" t="n"/>
      <c r="J568" s="968" t="n"/>
      <c r="K568" s="968" t="n"/>
      <c r="L568" s="968" t="n"/>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t="n"/>
      <c r="V568" s="969">
        <f>HLOOKUP(B:B,$4:$10,7,FALSE)+((HLOOKUP(C:C,$4:$10,7,FALSE)-HLOOKUP(B:B,$4:$10,7,FALSE))*E568/F568)</f>
        <v/>
      </c>
      <c r="AB568" s="198">
        <f>$G568</f>
        <v/>
      </c>
      <c r="AC568" s="199" t="n"/>
      <c r="AD568" s="199">
        <f>$M568*AD$34</f>
        <v/>
      </c>
      <c r="AE568" s="199">
        <f>$M568*AE$34</f>
        <v/>
      </c>
      <c r="AF568" s="199">
        <f>$M568*AF$34</f>
        <v/>
      </c>
      <c r="AG568" s="199">
        <f>$M568*AG$34</f>
        <v/>
      </c>
      <c r="AH568" s="199">
        <f>$M568*AH$34</f>
        <v/>
      </c>
      <c r="AJ568" s="198">
        <f>$G568</f>
        <v/>
      </c>
      <c r="AK568" s="199" t="n"/>
      <c r="AL568" s="199">
        <f>$N568*AL$34</f>
        <v/>
      </c>
      <c r="AM568" s="199">
        <f>$N568*AM$34</f>
        <v/>
      </c>
      <c r="AN568" s="199">
        <f>$N568*AN$34</f>
        <v/>
      </c>
      <c r="AO568" s="199">
        <f>$N568*AO$34</f>
        <v/>
      </c>
      <c r="AP568" s="199">
        <f>$N568*AP$34</f>
        <v/>
      </c>
      <c r="AR568" s="198">
        <f>$G568</f>
        <v/>
      </c>
      <c r="AS568" s="199" t="n"/>
      <c r="AT568" s="199">
        <f>$O568*AT$34-$Q568</f>
        <v/>
      </c>
      <c r="AU568" s="199">
        <f>$O568*AU$34-$Q568</f>
        <v/>
      </c>
      <c r="AV568" s="199">
        <f>$O568*AV$34-$Q568</f>
        <v/>
      </c>
      <c r="AW568" s="199">
        <f>$O568*AW$34-$Q568</f>
        <v/>
      </c>
      <c r="AX568" s="199">
        <f>$O568*AX$34-$Q568</f>
        <v/>
      </c>
      <c r="AZ568" s="198">
        <f>$G568</f>
        <v/>
      </c>
      <c r="BA568" s="199" t="n"/>
      <c r="BB568" s="199">
        <f>$P568*BB$34-$Q568</f>
        <v/>
      </c>
      <c r="BC568" s="199">
        <f>$P568*BC$34-$Q568</f>
        <v/>
      </c>
      <c r="BD568" s="199">
        <f>$P568*BD$34-$Q568</f>
        <v/>
      </c>
      <c r="BE568" s="199">
        <f>$P568*BE$34-$Q568</f>
        <v/>
      </c>
      <c r="BF568" s="199">
        <f>$P568*BF$34-$Q568</f>
        <v/>
      </c>
      <c r="BH568" s="198" t="n"/>
      <c r="BI568" s="197" t="n"/>
      <c r="BJ568" s="197" t="n"/>
      <c r="BK568" s="197" t="n"/>
      <c r="BL568" s="197" t="n"/>
      <c r="BM568" s="197" t="n"/>
      <c r="BN568" s="197" t="n"/>
      <c r="BP568" s="198" t="n"/>
      <c r="BQ568" s="197" t="n"/>
      <c r="BR568" s="197" t="n"/>
      <c r="BS568" s="197" t="n"/>
      <c r="BT568" s="197" t="n"/>
      <c r="BU568" s="197" t="n"/>
      <c r="BV568" s="197" t="n"/>
      <c r="BX568" s="198" t="n"/>
      <c r="BY568" s="197" t="n"/>
      <c r="BZ568" s="197" t="n"/>
      <c r="CA568" s="197" t="n"/>
      <c r="CB568" s="197" t="n"/>
      <c r="CC568" s="197" t="n"/>
      <c r="CD568" s="197" t="n"/>
      <c r="CF568" s="198" t="n"/>
      <c r="CG568" s="197" t="n"/>
      <c r="CH568" s="197" t="n"/>
      <c r="CI568" s="197" t="n"/>
      <c r="CJ568" s="197" t="n"/>
      <c r="CK568" s="197" t="n"/>
      <c r="CL568" s="197" t="n"/>
    </row>
    <row r="569">
      <c r="B569" s="204">
        <f>+C569-1</f>
        <v/>
      </c>
      <c r="C569" s="204">
        <f>IF('bands_A-H_Avg'!$D$9+1&gt;MONTH(G569),YEAR(G569),YEAR(G569)+1)</f>
        <v/>
      </c>
      <c r="D569" s="204">
        <f>+C569+1</f>
        <v/>
      </c>
      <c r="E569" s="203">
        <f>IF(C569&gt;C568,1,E568+1)</f>
        <v/>
      </c>
      <c r="F569" s="203">
        <f>COUNTIF(C:C,C569)</f>
        <v/>
      </c>
      <c r="G569" s="198">
        <f>+G568+7</f>
        <v/>
      </c>
      <c r="H569" s="202" t="n"/>
      <c r="I569" s="968" t="n"/>
      <c r="J569" s="968" t="n"/>
      <c r="K569" s="968" t="n"/>
      <c r="L569" s="968" t="n"/>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t="n"/>
      <c r="V569" s="969">
        <f>HLOOKUP(B:B,$4:$10,7,FALSE)+((HLOOKUP(C:C,$4:$10,7,FALSE)-HLOOKUP(B:B,$4:$10,7,FALSE))*E569/F569)</f>
        <v/>
      </c>
      <c r="AB569" s="198">
        <f>$G569</f>
        <v/>
      </c>
      <c r="AC569" s="199" t="n"/>
      <c r="AD569" s="199">
        <f>$M569*AD$34</f>
        <v/>
      </c>
      <c r="AE569" s="199">
        <f>$M569*AE$34</f>
        <v/>
      </c>
      <c r="AF569" s="199">
        <f>$M569*AF$34</f>
        <v/>
      </c>
      <c r="AG569" s="199">
        <f>$M569*AG$34</f>
        <v/>
      </c>
      <c r="AH569" s="199">
        <f>$M569*AH$34</f>
        <v/>
      </c>
      <c r="AJ569" s="198">
        <f>$G569</f>
        <v/>
      </c>
      <c r="AK569" s="199" t="n"/>
      <c r="AL569" s="199">
        <f>$N569*AL$34</f>
        <v/>
      </c>
      <c r="AM569" s="199">
        <f>$N569*AM$34</f>
        <v/>
      </c>
      <c r="AN569" s="199">
        <f>$N569*AN$34</f>
        <v/>
      </c>
      <c r="AO569" s="199">
        <f>$N569*AO$34</f>
        <v/>
      </c>
      <c r="AP569" s="199">
        <f>$N569*AP$34</f>
        <v/>
      </c>
      <c r="AR569" s="198">
        <f>$G569</f>
        <v/>
      </c>
      <c r="AS569" s="199" t="n"/>
      <c r="AT569" s="199">
        <f>$O569*AT$34-$Q569</f>
        <v/>
      </c>
      <c r="AU569" s="199">
        <f>$O569*AU$34-$Q569</f>
        <v/>
      </c>
      <c r="AV569" s="199">
        <f>$O569*AV$34-$Q569</f>
        <v/>
      </c>
      <c r="AW569" s="199">
        <f>$O569*AW$34-$Q569</f>
        <v/>
      </c>
      <c r="AX569" s="199">
        <f>$O569*AX$34-$Q569</f>
        <v/>
      </c>
      <c r="AZ569" s="198">
        <f>$G569</f>
        <v/>
      </c>
      <c r="BA569" s="199" t="n"/>
      <c r="BB569" s="199">
        <f>$P569*BB$34-$Q569</f>
        <v/>
      </c>
      <c r="BC569" s="199">
        <f>$P569*BC$34-$Q569</f>
        <v/>
      </c>
      <c r="BD569" s="199">
        <f>$P569*BD$34-$Q569</f>
        <v/>
      </c>
      <c r="BE569" s="199">
        <f>$P569*BE$34-$Q569</f>
        <v/>
      </c>
      <c r="BF569" s="199">
        <f>$P569*BF$34-$Q569</f>
        <v/>
      </c>
      <c r="BH569" s="198" t="n"/>
      <c r="BI569" s="197" t="n"/>
      <c r="BJ569" s="197" t="n"/>
      <c r="BK569" s="197" t="n"/>
      <c r="BL569" s="197" t="n"/>
      <c r="BM569" s="197" t="n"/>
      <c r="BN569" s="197" t="n"/>
      <c r="BP569" s="198" t="n"/>
      <c r="BQ569" s="197" t="n"/>
      <c r="BR569" s="197" t="n"/>
      <c r="BS569" s="197" t="n"/>
      <c r="BT569" s="197" t="n"/>
      <c r="BU569" s="197" t="n"/>
      <c r="BV569" s="197" t="n"/>
      <c r="BX569" s="198" t="n"/>
      <c r="BY569" s="197" t="n"/>
      <c r="BZ569" s="197" t="n"/>
      <c r="CA569" s="197" t="n"/>
      <c r="CB569" s="197" t="n"/>
      <c r="CC569" s="197" t="n"/>
      <c r="CD569" s="197" t="n"/>
      <c r="CF569" s="198" t="n"/>
      <c r="CG569" s="197" t="n"/>
      <c r="CH569" s="197" t="n"/>
      <c r="CI569" s="197" t="n"/>
      <c r="CJ569" s="197" t="n"/>
      <c r="CK569" s="197" t="n"/>
      <c r="CL569" s="197" t="n"/>
    </row>
    <row r="570">
      <c r="B570" s="204">
        <f>+C570-1</f>
        <v/>
      </c>
      <c r="C570" s="204">
        <f>IF('bands_A-H_Avg'!$D$9+1&gt;MONTH(G570),YEAR(G570),YEAR(G570)+1)</f>
        <v/>
      </c>
      <c r="D570" s="204">
        <f>+C570+1</f>
        <v/>
      </c>
      <c r="E570" s="203">
        <f>IF(C570&gt;C569,1,E569+1)</f>
        <v/>
      </c>
      <c r="F570" s="203">
        <f>COUNTIF(C:C,C570)</f>
        <v/>
      </c>
      <c r="G570" s="198">
        <f>+G569+7</f>
        <v/>
      </c>
      <c r="H570" s="202" t="n"/>
      <c r="I570" s="968" t="n"/>
      <c r="J570" s="968" t="n"/>
      <c r="K570" s="968" t="n"/>
      <c r="L570" s="968" t="n"/>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t="n"/>
      <c r="V570" s="969">
        <f>HLOOKUP(B:B,$4:$10,7,FALSE)+((HLOOKUP(C:C,$4:$10,7,FALSE)-HLOOKUP(B:B,$4:$10,7,FALSE))*E570/F570)</f>
        <v/>
      </c>
      <c r="AB570" s="198">
        <f>$G570</f>
        <v/>
      </c>
      <c r="AC570" s="199" t="n"/>
      <c r="AD570" s="199">
        <f>$M570*AD$34</f>
        <v/>
      </c>
      <c r="AE570" s="199">
        <f>$M570*AE$34</f>
        <v/>
      </c>
      <c r="AF570" s="199">
        <f>$M570*AF$34</f>
        <v/>
      </c>
      <c r="AG570" s="199">
        <f>$M570*AG$34</f>
        <v/>
      </c>
      <c r="AH570" s="199">
        <f>$M570*AH$34</f>
        <v/>
      </c>
      <c r="AJ570" s="198">
        <f>$G570</f>
        <v/>
      </c>
      <c r="AK570" s="199" t="n"/>
      <c r="AL570" s="199">
        <f>$N570*AL$34</f>
        <v/>
      </c>
      <c r="AM570" s="199">
        <f>$N570*AM$34</f>
        <v/>
      </c>
      <c r="AN570" s="199">
        <f>$N570*AN$34</f>
        <v/>
      </c>
      <c r="AO570" s="199">
        <f>$N570*AO$34</f>
        <v/>
      </c>
      <c r="AP570" s="199">
        <f>$N570*AP$34</f>
        <v/>
      </c>
      <c r="AR570" s="198">
        <f>$G570</f>
        <v/>
      </c>
      <c r="AS570" s="199" t="n"/>
      <c r="AT570" s="199">
        <f>$O570*AT$34-$Q570</f>
        <v/>
      </c>
      <c r="AU570" s="199">
        <f>$O570*AU$34-$Q570</f>
        <v/>
      </c>
      <c r="AV570" s="199">
        <f>$O570*AV$34-$Q570</f>
        <v/>
      </c>
      <c r="AW570" s="199">
        <f>$O570*AW$34-$Q570</f>
        <v/>
      </c>
      <c r="AX570" s="199">
        <f>$O570*AX$34-$Q570</f>
        <v/>
      </c>
      <c r="AZ570" s="198">
        <f>$G570</f>
        <v/>
      </c>
      <c r="BA570" s="199" t="n"/>
      <c r="BB570" s="199">
        <f>$P570*BB$34-$Q570</f>
        <v/>
      </c>
      <c r="BC570" s="199">
        <f>$P570*BC$34-$Q570</f>
        <v/>
      </c>
      <c r="BD570" s="199">
        <f>$P570*BD$34-$Q570</f>
        <v/>
      </c>
      <c r="BE570" s="199">
        <f>$P570*BE$34-$Q570</f>
        <v/>
      </c>
      <c r="BF570" s="199">
        <f>$P570*BF$34-$Q570</f>
        <v/>
      </c>
      <c r="BH570" s="198" t="n"/>
      <c r="BI570" s="197" t="n"/>
      <c r="BJ570" s="197" t="n"/>
      <c r="BK570" s="197" t="n"/>
      <c r="BL570" s="197" t="n"/>
      <c r="BM570" s="197" t="n"/>
      <c r="BN570" s="197" t="n"/>
      <c r="BP570" s="198" t="n"/>
      <c r="BQ570" s="197" t="n"/>
      <c r="BR570" s="197" t="n"/>
      <c r="BS570" s="197" t="n"/>
      <c r="BT570" s="197" t="n"/>
      <c r="BU570" s="197" t="n"/>
      <c r="BV570" s="197" t="n"/>
      <c r="BX570" s="198" t="n"/>
      <c r="BY570" s="197" t="n"/>
      <c r="BZ570" s="197" t="n"/>
      <c r="CA570" s="197" t="n"/>
      <c r="CB570" s="197" t="n"/>
      <c r="CC570" s="197" t="n"/>
      <c r="CD570" s="197" t="n"/>
      <c r="CF570" s="198" t="n"/>
      <c r="CG570" s="197" t="n"/>
      <c r="CH570" s="197" t="n"/>
      <c r="CI570" s="197" t="n"/>
      <c r="CJ570" s="197" t="n"/>
      <c r="CK570" s="197" t="n"/>
      <c r="CL570" s="197" t="n"/>
    </row>
    <row r="571">
      <c r="B571" s="204">
        <f>+C571-1</f>
        <v/>
      </c>
      <c r="C571" s="204">
        <f>IF('bands_A-H_Avg'!$D$9+1&gt;MONTH(G571),YEAR(G571),YEAR(G571)+1)</f>
        <v/>
      </c>
      <c r="D571" s="204">
        <f>+C571+1</f>
        <v/>
      </c>
      <c r="E571" s="203">
        <f>IF(C571&gt;C570,1,E570+1)</f>
        <v/>
      </c>
      <c r="F571" s="203">
        <f>COUNTIF(C:C,C571)</f>
        <v/>
      </c>
      <c r="G571" s="198">
        <f>+G570+7</f>
        <v/>
      </c>
      <c r="H571" s="202" t="n"/>
      <c r="I571" s="968" t="n"/>
      <c r="J571" s="968" t="n"/>
      <c r="K571" s="968" t="n"/>
      <c r="L571" s="968" t="n"/>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t="n"/>
      <c r="V571" s="969">
        <f>HLOOKUP(B:B,$4:$10,7,FALSE)+((HLOOKUP(C:C,$4:$10,7,FALSE)-HLOOKUP(B:B,$4:$10,7,FALSE))*E571/F571)</f>
        <v/>
      </c>
      <c r="AB571" s="198">
        <f>$G571</f>
        <v/>
      </c>
      <c r="AC571" s="199" t="n"/>
      <c r="AD571" s="199">
        <f>$M571*AD$34</f>
        <v/>
      </c>
      <c r="AE571" s="199">
        <f>$M571*AE$34</f>
        <v/>
      </c>
      <c r="AF571" s="199">
        <f>$M571*AF$34</f>
        <v/>
      </c>
      <c r="AG571" s="199">
        <f>$M571*AG$34</f>
        <v/>
      </c>
      <c r="AH571" s="199">
        <f>$M571*AH$34</f>
        <v/>
      </c>
      <c r="AJ571" s="198">
        <f>$G571</f>
        <v/>
      </c>
      <c r="AK571" s="199" t="n"/>
      <c r="AL571" s="199">
        <f>$N571*AL$34</f>
        <v/>
      </c>
      <c r="AM571" s="199">
        <f>$N571*AM$34</f>
        <v/>
      </c>
      <c r="AN571" s="199">
        <f>$N571*AN$34</f>
        <v/>
      </c>
      <c r="AO571" s="199">
        <f>$N571*AO$34</f>
        <v/>
      </c>
      <c r="AP571" s="199">
        <f>$N571*AP$34</f>
        <v/>
      </c>
      <c r="AR571" s="198">
        <f>$G571</f>
        <v/>
      </c>
      <c r="AS571" s="199" t="n"/>
      <c r="AT571" s="199">
        <f>$O571*AT$34-$Q571</f>
        <v/>
      </c>
      <c r="AU571" s="199">
        <f>$O571*AU$34-$Q571</f>
        <v/>
      </c>
      <c r="AV571" s="199">
        <f>$O571*AV$34-$Q571</f>
        <v/>
      </c>
      <c r="AW571" s="199">
        <f>$O571*AW$34-$Q571</f>
        <v/>
      </c>
      <c r="AX571" s="199">
        <f>$O571*AX$34-$Q571</f>
        <v/>
      </c>
      <c r="AZ571" s="198">
        <f>$G571</f>
        <v/>
      </c>
      <c r="BA571" s="199" t="n"/>
      <c r="BB571" s="199">
        <f>$P571*BB$34-$Q571</f>
        <v/>
      </c>
      <c r="BC571" s="199">
        <f>$P571*BC$34-$Q571</f>
        <v/>
      </c>
      <c r="BD571" s="199">
        <f>$P571*BD$34-$Q571</f>
        <v/>
      </c>
      <c r="BE571" s="199">
        <f>$P571*BE$34-$Q571</f>
        <v/>
      </c>
      <c r="BF571" s="199">
        <f>$P571*BF$34-$Q571</f>
        <v/>
      </c>
      <c r="BH571" s="198" t="n"/>
      <c r="BI571" s="197" t="n"/>
      <c r="BJ571" s="197" t="n"/>
      <c r="BK571" s="197" t="n"/>
      <c r="BL571" s="197" t="n"/>
      <c r="BM571" s="197" t="n"/>
      <c r="BN571" s="197" t="n"/>
      <c r="BP571" s="198" t="n"/>
      <c r="BQ571" s="197" t="n"/>
      <c r="BR571" s="197" t="n"/>
      <c r="BS571" s="197" t="n"/>
      <c r="BT571" s="197" t="n"/>
      <c r="BU571" s="197" t="n"/>
      <c r="BV571" s="197" t="n"/>
      <c r="BX571" s="198" t="n"/>
      <c r="BY571" s="197" t="n"/>
      <c r="BZ571" s="197" t="n"/>
      <c r="CA571" s="197" t="n"/>
      <c r="CB571" s="197" t="n"/>
      <c r="CC571" s="197" t="n"/>
      <c r="CD571" s="197" t="n"/>
      <c r="CF571" s="198" t="n"/>
      <c r="CG571" s="197" t="n"/>
      <c r="CH571" s="197" t="n"/>
      <c r="CI571" s="197" t="n"/>
      <c r="CJ571" s="197" t="n"/>
      <c r="CK571" s="197" t="n"/>
      <c r="CL571" s="197" t="n"/>
    </row>
    <row r="572">
      <c r="B572" s="204">
        <f>+C572-1</f>
        <v/>
      </c>
      <c r="C572" s="204">
        <f>IF('bands_A-H_Avg'!$D$9+1&gt;MONTH(G572),YEAR(G572),YEAR(G572)+1)</f>
        <v/>
      </c>
      <c r="D572" s="204">
        <f>+C572+1</f>
        <v/>
      </c>
      <c r="E572" s="203">
        <f>IF(C572&gt;C571,1,E571+1)</f>
        <v/>
      </c>
      <c r="F572" s="203">
        <f>COUNTIF(C:C,C572)</f>
        <v/>
      </c>
      <c r="G572" s="198">
        <f>+G571+7</f>
        <v/>
      </c>
      <c r="H572" s="202" t="n"/>
      <c r="I572" s="968" t="n"/>
      <c r="J572" s="968" t="n"/>
      <c r="K572" s="968" t="n"/>
      <c r="L572" s="968" t="n"/>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t="n"/>
      <c r="V572" s="969">
        <f>HLOOKUP(B:B,$4:$10,7,FALSE)+((HLOOKUP(C:C,$4:$10,7,FALSE)-HLOOKUP(B:B,$4:$10,7,FALSE))*E572/F572)</f>
        <v/>
      </c>
      <c r="AB572" s="198">
        <f>$G572</f>
        <v/>
      </c>
      <c r="AC572" s="199" t="n"/>
      <c r="AD572" s="199">
        <f>$M572*AD$34</f>
        <v/>
      </c>
      <c r="AE572" s="199">
        <f>$M572*AE$34</f>
        <v/>
      </c>
      <c r="AF572" s="199">
        <f>$M572*AF$34</f>
        <v/>
      </c>
      <c r="AG572" s="199">
        <f>$M572*AG$34</f>
        <v/>
      </c>
      <c r="AH572" s="199">
        <f>$M572*AH$34</f>
        <v/>
      </c>
      <c r="AJ572" s="198">
        <f>$G572</f>
        <v/>
      </c>
      <c r="AK572" s="199" t="n"/>
      <c r="AL572" s="199">
        <f>$N572*AL$34</f>
        <v/>
      </c>
      <c r="AM572" s="199">
        <f>$N572*AM$34</f>
        <v/>
      </c>
      <c r="AN572" s="199">
        <f>$N572*AN$34</f>
        <v/>
      </c>
      <c r="AO572" s="199">
        <f>$N572*AO$34</f>
        <v/>
      </c>
      <c r="AP572" s="199">
        <f>$N572*AP$34</f>
        <v/>
      </c>
      <c r="AR572" s="198">
        <f>$G572</f>
        <v/>
      </c>
      <c r="AS572" s="199" t="n"/>
      <c r="AT572" s="199">
        <f>$O572*AT$34-$Q572</f>
        <v/>
      </c>
      <c r="AU572" s="199">
        <f>$O572*AU$34-$Q572</f>
        <v/>
      </c>
      <c r="AV572" s="199">
        <f>$O572*AV$34-$Q572</f>
        <v/>
      </c>
      <c r="AW572" s="199">
        <f>$O572*AW$34-$Q572</f>
        <v/>
      </c>
      <c r="AX572" s="199">
        <f>$O572*AX$34-$Q572</f>
        <v/>
      </c>
      <c r="AZ572" s="198">
        <f>$G572</f>
        <v/>
      </c>
      <c r="BA572" s="199" t="n"/>
      <c r="BB572" s="199">
        <f>$P572*BB$34-$Q572</f>
        <v/>
      </c>
      <c r="BC572" s="199">
        <f>$P572*BC$34-$Q572</f>
        <v/>
      </c>
      <c r="BD572" s="199">
        <f>$P572*BD$34-$Q572</f>
        <v/>
      </c>
      <c r="BE572" s="199">
        <f>$P572*BE$34-$Q572</f>
        <v/>
      </c>
      <c r="BF572" s="199">
        <f>$P572*BF$34-$Q572</f>
        <v/>
      </c>
      <c r="BH572" s="198" t="n"/>
      <c r="BI572" s="197" t="n"/>
      <c r="BJ572" s="197" t="n"/>
      <c r="BK572" s="197" t="n"/>
      <c r="BL572" s="197" t="n"/>
      <c r="BM572" s="197" t="n"/>
      <c r="BN572" s="197" t="n"/>
      <c r="BP572" s="198" t="n"/>
      <c r="BQ572" s="197" t="n"/>
      <c r="BR572" s="197" t="n"/>
      <c r="BS572" s="197" t="n"/>
      <c r="BT572" s="197" t="n"/>
      <c r="BU572" s="197" t="n"/>
      <c r="BV572" s="197" t="n"/>
      <c r="BX572" s="198" t="n"/>
      <c r="BY572" s="197" t="n"/>
      <c r="BZ572" s="197" t="n"/>
      <c r="CA572" s="197" t="n"/>
      <c r="CB572" s="197" t="n"/>
      <c r="CC572" s="197" t="n"/>
      <c r="CD572" s="197" t="n"/>
      <c r="CF572" s="198" t="n"/>
      <c r="CG572" s="197" t="n"/>
      <c r="CH572" s="197" t="n"/>
      <c r="CI572" s="197" t="n"/>
      <c r="CJ572" s="197" t="n"/>
      <c r="CK572" s="197" t="n"/>
      <c r="CL572" s="197" t="n"/>
    </row>
    <row r="573">
      <c r="B573" s="204">
        <f>+C573-1</f>
        <v/>
      </c>
      <c r="C573" s="204">
        <f>IF('bands_A-H_Avg'!$D$9+1&gt;MONTH(G573),YEAR(G573),YEAR(G573)+1)</f>
        <v/>
      </c>
      <c r="D573" s="204">
        <f>+C573+1</f>
        <v/>
      </c>
      <c r="E573" s="203">
        <f>IF(C573&gt;C572,1,E572+1)</f>
        <v/>
      </c>
      <c r="F573" s="203">
        <f>COUNTIF(C:C,C573)</f>
        <v/>
      </c>
      <c r="G573" s="198">
        <f>+G572+7</f>
        <v/>
      </c>
      <c r="H573" s="202" t="n"/>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IF('bands_A-H_Avg'!$D$9+1&gt;MONTH(G574),YEAR(G574),YEAR(G574)+1)</f>
        <v/>
      </c>
      <c r="D574" s="204">
        <f>+C574+1</f>
        <v/>
      </c>
      <c r="E574" s="203">
        <f>IF(C574&gt;C573,1,E573+1)</f>
        <v/>
      </c>
      <c r="F574" s="203">
        <f>COUNTIF(C:C,C574)</f>
        <v/>
      </c>
      <c r="G574" s="198">
        <f>+G573+7</f>
        <v/>
      </c>
      <c r="H574" s="202" t="n"/>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IF('bands_A-H_Avg'!$D$9+1&gt;MONTH(G575),YEAR(G575),YEAR(G575)+1)</f>
        <v/>
      </c>
      <c r="D575" s="204">
        <f>+C575+1</f>
        <v/>
      </c>
      <c r="E575" s="203">
        <f>IF(C575&gt;C574,1,E574+1)</f>
        <v/>
      </c>
      <c r="F575" s="203">
        <f>COUNTIF(C:C,C575)</f>
        <v/>
      </c>
      <c r="G575" s="198">
        <f>+G574+7</f>
        <v/>
      </c>
      <c r="H575" s="202" t="n"/>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IF('bands_A-H_Avg'!$D$9+1&gt;MONTH(G576),YEAR(G576),YEAR(G576)+1)</f>
        <v/>
      </c>
      <c r="D576" s="204">
        <f>+C576+1</f>
        <v/>
      </c>
      <c r="E576" s="203">
        <f>IF(C576&gt;C575,1,E575+1)</f>
        <v/>
      </c>
      <c r="F576" s="203">
        <f>COUNTIF(C:C,C576)</f>
        <v/>
      </c>
      <c r="G576" s="198">
        <f>+G575+7</f>
        <v/>
      </c>
      <c r="H576" s="202" t="n"/>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IF('bands_A-H_Avg'!$D$9+1&gt;MONTH(G577),YEAR(G577),YEAR(G577)+1)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IF('bands_A-H_Avg'!$D$9+1&gt;MONTH(G578),YEAR(G578),YEAR(G578)+1)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IF('bands_A-H_Avg'!$D$9+1&gt;MONTH(G579),YEAR(G579),YEAR(G579)+1)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IF('bands_A-H_Avg'!$D$9+1&gt;MONTH(G580),YEAR(G580),YEAR(G580)+1)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IF('bands_A-H_Avg'!$D$9+1&gt;MONTH(G581),YEAR(G581),YEAR(G581)+1)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IF('bands_A-H_Avg'!$D$9+1&gt;MONTH(G582),YEAR(G582),YEAR(G582)+1)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IF('bands_A-H_Avg'!$D$9+1&gt;MONTH(G583),YEAR(G583),YEAR(G583)+1)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IF('bands_A-H_Avg'!$D$9+1&gt;MONTH(G584),YEAR(G584),YEAR(G584)+1)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IF('bands_A-H_Avg'!$D$9+1&gt;MONTH(G585),YEAR(G585),YEAR(G585)+1)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IF('bands_A-H_Avg'!$D$9+1&gt;MONTH(G586),YEAR(G586),YEAR(G586)+1)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IF('bands_A-H_Avg'!$D$9+1&gt;MONTH(G587),YEAR(G587),YEAR(G587)+1)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IF('bands_A-H_Avg'!$D$9+1&gt;MONTH(G588),YEAR(G588),YEAR(G588)+1)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IF('bands_A-H_Avg'!$D$9+1&gt;MONTH(G589),YEAR(G589),YEAR(G589)+1)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IF('bands_A-H_Avg'!$D$9+1&gt;MONTH(G590),YEAR(G590),YEAR(G590)+1)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IF('bands_A-H_Avg'!$D$9+1&gt;MONTH(G591),YEAR(G591),YEAR(G591)+1)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IF('bands_A-H_Avg'!$D$9+1&gt;MONTH(G592),YEAR(G592),YEAR(G592)+1)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IF('bands_A-H_Avg'!$D$9+1&gt;MONTH(G593),YEAR(G593),YEAR(G593)+1)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IF('bands_A-H_Avg'!$D$9+1&gt;MONTH(G594),YEAR(G594),YEAR(G594)+1)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IF('bands_A-H_Avg'!$D$9+1&gt;MONTH(G595),YEAR(G595),YEAR(G595)+1)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IF('bands_A-H_Avg'!$D$9+1&gt;MONTH(G596),YEAR(G596),YEAR(G596)+1)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IF('bands_A-H_Avg'!$D$9+1&gt;MONTH(G597),YEAR(G597),YEAR(G597)+1)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IF('bands_A-H_Avg'!$D$9+1&gt;MONTH(G598),YEAR(G598),YEAR(G598)+1)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IF('bands_A-H_Avg'!$D$9+1&gt;MONTH(G599),YEAR(G599),YEAR(G599)+1)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IF('bands_A-H_Avg'!$D$9+1&gt;MONTH(G600),YEAR(G600),YEAR(G600)+1)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IF('bands_A-H_Avg'!$D$9+1&gt;MONTH(G601),YEAR(G601),YEAR(G601)+1)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IF('bands_A-H_Avg'!$D$9+1&gt;MONTH(G602),YEAR(G602),YEAR(G602)+1)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IF('bands_A-H_Avg'!$D$9+1&gt;MONTH(G603),YEAR(G603),YEAR(G603)+1)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IF('bands_A-H_Avg'!$D$9+1&gt;MONTH(G604),YEAR(G604),YEAR(G604)+1)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IF('bands_A-H_Avg'!$D$9+1&gt;MONTH(G605),YEAR(G605),YEAR(G605)+1)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IF('bands_A-H_Avg'!$D$9+1&gt;MONTH(G606),YEAR(G606),YEAR(G606)+1)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IF('bands_A-H_Avg'!$D$9+1&gt;MONTH(G607),YEAR(G607),YEAR(G607)+1)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IF('bands_A-H_Avg'!$D$9+1&gt;MONTH(G608),YEAR(G608),YEAR(G608)+1)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IF('bands_A-H_Avg'!$D$9+1&gt;MONTH(G609),YEAR(G609),YEAR(G609)+1)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7.xml><?xml version="1.0" encoding="utf-8"?>
<worksheet xmlns="http://schemas.openxmlformats.org/spreadsheetml/2006/main">
  <sheetPr codeName="Sheet12">
    <tabColor theme="3"/>
    <outlinePr summaryBelow="1" summaryRight="1"/>
    <pageSetUpPr/>
  </sheetPr>
  <dimension ref="A1:O26"/>
  <sheetViews>
    <sheetView workbookViewId="0">
      <selection activeCell="A1" sqref="A1"/>
    </sheetView>
  </sheetViews>
  <sheetFormatPr baseColWidth="10" defaultColWidth="9.33203125" defaultRowHeight="13"/>
  <cols>
    <col width="2.6640625" customWidth="1" style="20" min="1" max="1"/>
    <col width="14.6640625" customWidth="1" style="20" min="2" max="2"/>
    <col hidden="1" outlineLevel="1" width="9.33203125" customWidth="1" style="20" min="3" max="3"/>
    <col collapsed="1" width="11.6640625" customWidth="1" style="20" min="4" max="4"/>
    <col width="11.6640625" customWidth="1" style="20" min="5" max="15"/>
    <col width="9.33203125" customWidth="1" style="20" min="16" max="16384"/>
  </cols>
  <sheetData>
    <row r="1">
      <c r="A1" s="21">
        <f>Summary!$B$5</f>
        <v/>
      </c>
    </row>
    <row r="2">
      <c r="A2" s="20" t="inlineStr">
        <is>
          <t>SCB vs. Consensus</t>
        </is>
      </c>
    </row>
    <row r="3">
      <c r="A3" s="20" t="inlineStr">
        <is>
          <t>Annual</t>
        </is>
      </c>
    </row>
    <row r="5">
      <c r="B5" s="44" t="inlineStr">
        <is>
          <t>RMB Million</t>
        </is>
      </c>
      <c r="K5" s="26" t="inlineStr">
        <is>
          <t>Consensus as of</t>
        </is>
      </c>
      <c r="L5" s="278" t="n">
        <v>42418</v>
      </c>
    </row>
    <row r="6" ht="16" customHeight="1">
      <c r="B6" s="181" t="n"/>
      <c r="C6" s="277">
        <f>Revisions!$Q$5-1</f>
        <v/>
      </c>
      <c r="D6" s="276">
        <f>+C6+1</f>
        <v/>
      </c>
      <c r="E6" s="274" t="n"/>
      <c r="F6" s="275" t="n"/>
      <c r="G6" s="274">
        <f>+D6+1</f>
        <v/>
      </c>
      <c r="H6" s="274" t="n"/>
      <c r="I6" s="275" t="n"/>
      <c r="J6" s="274">
        <f>+G6+1</f>
        <v/>
      </c>
      <c r="K6" s="274" t="n"/>
      <c r="L6" s="274" t="n"/>
    </row>
    <row r="7">
      <c r="B7" s="176" t="n"/>
      <c r="C7" s="273" t="inlineStr">
        <is>
          <t>SCB</t>
        </is>
      </c>
      <c r="D7" s="272" t="inlineStr">
        <is>
          <t>SCB</t>
        </is>
      </c>
      <c r="E7" s="270" t="inlineStr">
        <is>
          <t>BBG</t>
        </is>
      </c>
      <c r="F7" s="271" t="inlineStr">
        <is>
          <t>Delta</t>
        </is>
      </c>
      <c r="G7" s="272" t="inlineStr">
        <is>
          <t>SCB</t>
        </is>
      </c>
      <c r="H7" s="270" t="inlineStr">
        <is>
          <t>BBG</t>
        </is>
      </c>
      <c r="I7" s="271" t="inlineStr">
        <is>
          <t>Delta</t>
        </is>
      </c>
      <c r="J7" s="270" t="inlineStr">
        <is>
          <t>SCB</t>
        </is>
      </c>
      <c r="K7" s="270" t="inlineStr">
        <is>
          <t>BBG</t>
        </is>
      </c>
      <c r="L7" s="270" t="inlineStr">
        <is>
          <t>Delta</t>
        </is>
      </c>
    </row>
    <row r="8">
      <c r="B8" t="inlineStr">
        <is>
          <t>Sales</t>
        </is>
      </c>
      <c r="C8" s="975">
        <f>INDEX('FS_Y (OLD)'!11:11,0,MATCH(vs_BBG!C$6,'FS_Y (OLD)'!1:1,0))</f>
        <v/>
      </c>
      <c r="D8" s="976">
        <f>INDEX('FS_Y (OLD)'!11:11,0,MATCH(vs_BBG!D$6,'FS_Y (OLD)'!1:1,0))</f>
        <v/>
      </c>
      <c r="E8" s="918" t="n">
        <v>77088.90000000001</v>
      </c>
      <c r="F8" s="977">
        <f>D8/E8-1</f>
        <v/>
      </c>
      <c r="G8" s="976">
        <f>INDEX('FS_Y (OLD)'!11:11,0,MATCH(vs_BBG!G$6,'FS_Y (OLD)'!1:1,0))</f>
        <v/>
      </c>
      <c r="H8" s="918" t="n">
        <v>81168.2</v>
      </c>
      <c r="I8" s="977">
        <f>G8/H8-1</f>
        <v/>
      </c>
      <c r="J8" s="976">
        <f>INDEX('FS_Y (OLD)'!11:11,0,MATCH(vs_BBG!J$6,'FS_Y (OLD)'!1:1,0))</f>
        <v/>
      </c>
      <c r="K8" s="918" t="n">
        <v>86232.75</v>
      </c>
      <c r="L8" s="890">
        <f>J8/K8-1</f>
        <v/>
      </c>
    </row>
    <row r="9">
      <c r="B9" t="inlineStr">
        <is>
          <t>EBITDA</t>
        </is>
      </c>
      <c r="C9" s="975">
        <f>INDEX('FS_Y (OLD)'!154:154,0,MATCH(vs_BBG!C$6,'FS_Y (OLD)'!1:1,0))</f>
        <v/>
      </c>
      <c r="D9" s="976">
        <f>INDEX('FS_Y (OLD)'!154:154,0,MATCH(vs_BBG!D$6,'FS_Y (OLD)'!1:1,0))</f>
        <v/>
      </c>
      <c r="E9" s="918" t="n">
        <v>6344.75</v>
      </c>
      <c r="F9" s="977">
        <f>D9/E9-1</f>
        <v/>
      </c>
      <c r="G9" s="976">
        <f>INDEX('FS_Y (OLD)'!154:154,0,MATCH(vs_BBG!G$6,'FS_Y (OLD)'!1:1,0))</f>
        <v/>
      </c>
      <c r="H9" s="918" t="n">
        <v>6717.125</v>
      </c>
      <c r="I9" s="977">
        <f>G9/H9-1</f>
        <v/>
      </c>
      <c r="J9" s="976">
        <f>INDEX('FS_Y (OLD)'!154:154,0,MATCH(vs_BBG!J$6,'FS_Y (OLD)'!1:1,0))</f>
        <v/>
      </c>
      <c r="K9" s="918" t="n">
        <v>7050.167</v>
      </c>
      <c r="L9" s="890">
        <f>J9/K9-1</f>
        <v/>
      </c>
    </row>
    <row r="10">
      <c r="B10" t="inlineStr">
        <is>
          <t>EBIT</t>
        </is>
      </c>
      <c r="C10" s="975">
        <f>INDEX('FS_Y (OLD)'!18:18,0,MATCH(vs_BBG!C$6,'FS_Y (OLD)'!1:1,0))</f>
        <v/>
      </c>
      <c r="D10" s="976">
        <f>INDEX('FS_Y (OLD)'!18:18,0,MATCH(vs_BBG!D$6,'FS_Y (OLD)'!1:1,0))</f>
        <v/>
      </c>
      <c r="E10" s="918" t="n">
        <v>4708</v>
      </c>
      <c r="F10" s="977">
        <f>D10/E10-1</f>
        <v/>
      </c>
      <c r="G10" s="976">
        <f>INDEX('FS_Y (OLD)'!18:18,0,MATCH(vs_BBG!G$6,'FS_Y (OLD)'!1:1,0))</f>
        <v/>
      </c>
      <c r="H10" s="918" t="n">
        <v>4979.143</v>
      </c>
      <c r="I10" s="977">
        <f>G10/H10-1</f>
        <v/>
      </c>
      <c r="J10" s="976">
        <f>INDEX('FS_Y (OLD)'!18:18,0,MATCH(vs_BBG!J$6,'FS_Y (OLD)'!1:1,0))</f>
        <v/>
      </c>
      <c r="K10" s="918" t="n">
        <v>5577</v>
      </c>
      <c r="L10" s="890">
        <f>J10/K10-1</f>
        <v/>
      </c>
    </row>
    <row r="11">
      <c r="B11" t="inlineStr">
        <is>
          <t>Net Income</t>
        </is>
      </c>
      <c r="C11" s="975">
        <f>INDEX('FS_Y (OLD)'!26:26,0,MATCH(vs_BBG!C$6,'FS_Y (OLD)'!1:1,0))</f>
        <v/>
      </c>
      <c r="D11" s="976">
        <f>INDEX('FS_Y (OLD)'!26:26,0,MATCH(vs_BBG!D$6,'FS_Y (OLD)'!1:1,0))</f>
        <v/>
      </c>
      <c r="E11" s="918" t="n">
        <v>2428.182</v>
      </c>
      <c r="F11" s="977">
        <f>D11/E11-1</f>
        <v/>
      </c>
      <c r="G11" s="976">
        <f>INDEX('FS_Y (OLD)'!26:26,0,MATCH(vs_BBG!G$6,'FS_Y (OLD)'!1:1,0))</f>
        <v/>
      </c>
      <c r="H11" s="918" t="n">
        <v>2656.182</v>
      </c>
      <c r="I11" s="977">
        <f>G11/H11-1</f>
        <v/>
      </c>
      <c r="J11" s="976">
        <f>INDEX('FS_Y (OLD)'!26:26,0,MATCH(vs_BBG!J$6,'FS_Y (OLD)'!1:1,0))</f>
        <v/>
      </c>
      <c r="K11" s="918" t="n">
        <v>2910.125</v>
      </c>
      <c r="L11" s="890">
        <f>J11/K11-1</f>
        <v/>
      </c>
    </row>
    <row r="12">
      <c r="B12" s="181" t="inlineStr">
        <is>
          <t>EBIT Margin</t>
        </is>
      </c>
      <c r="C12" s="978">
        <f>C10/C8</f>
        <v/>
      </c>
      <c r="D12" s="978">
        <f>D10/D8</f>
        <v/>
      </c>
      <c r="E12" s="979">
        <f>E10/E8</f>
        <v/>
      </c>
      <c r="F12" s="980">
        <f>(D12-E12)*10000</f>
        <v/>
      </c>
      <c r="G12" s="978">
        <f>G10/G8</f>
        <v/>
      </c>
      <c r="H12" s="979">
        <f>H10/H8</f>
        <v/>
      </c>
      <c r="I12" s="980">
        <f>(G12-H12)*10000</f>
        <v/>
      </c>
      <c r="J12" s="978">
        <f>J10/J8</f>
        <v/>
      </c>
      <c r="K12" s="979">
        <f>K10/K8</f>
        <v/>
      </c>
      <c r="L12" s="981">
        <f>(J12-K12)*10000</f>
        <v/>
      </c>
    </row>
    <row r="13">
      <c r="B13" s="176" t="inlineStr">
        <is>
          <t>Net Margin</t>
        </is>
      </c>
      <c r="C13" s="982">
        <f>C11/C8</f>
        <v/>
      </c>
      <c r="D13" s="982">
        <f>D11/D8</f>
        <v/>
      </c>
      <c r="E13" s="983">
        <f>E11/E8</f>
        <v/>
      </c>
      <c r="F13" s="984">
        <f>(D13-E13)*10000</f>
        <v/>
      </c>
      <c r="G13" s="982">
        <f>G11/G8</f>
        <v/>
      </c>
      <c r="H13" s="983">
        <f>H11/H8</f>
        <v/>
      </c>
      <c r="I13" s="984">
        <f>(G13-H13)*10000</f>
        <v/>
      </c>
      <c r="J13" s="982">
        <f>J11/J8</f>
        <v/>
      </c>
      <c r="K13" s="983">
        <f>K11/K8</f>
        <v/>
      </c>
      <c r="L13" s="985">
        <f>(J13-K13)*10000</f>
        <v/>
      </c>
    </row>
    <row r="14">
      <c r="B14" t="inlineStr">
        <is>
          <t>EPS (HKD)</t>
        </is>
      </c>
      <c r="C14" s="261">
        <f>INDEX('FS_Y (OLD)'!29:29,0,MATCH(vs_BBG!C$6,'FS_Y (OLD)'!1:1,0))</f>
        <v/>
      </c>
      <c r="D14" s="259">
        <f>INDEX('FS_Y (OLD)'!29:29,0,MATCH(vs_BBG!D$6,'FS_Y (OLD)'!1:1,0))</f>
        <v/>
      </c>
      <c r="E14" s="48" t="n">
        <v>0.224</v>
      </c>
      <c r="F14" s="977">
        <f>D14/E14-1</f>
        <v/>
      </c>
      <c r="G14" s="259">
        <f>INDEX('FS_Y (OLD)'!29:29,0,MATCH(vs_BBG!G$6,'FS_Y (OLD)'!1:1,0))</f>
        <v/>
      </c>
      <c r="H14" s="48" t="n">
        <v>0.254</v>
      </c>
      <c r="I14" s="977">
        <f>G14/H14-1</f>
        <v/>
      </c>
      <c r="J14" s="259">
        <f>INDEX('FS_Y (OLD)'!29:29,0,MATCH(vs_BBG!J$6,'FS_Y (OLD)'!1:1,0))</f>
        <v/>
      </c>
      <c r="K14" s="48" t="n">
        <v>0.28</v>
      </c>
      <c r="L14" s="890">
        <f>J14/K14-1</f>
        <v/>
      </c>
    </row>
    <row r="15">
      <c r="B15" t="inlineStr">
        <is>
          <t>BVPS (HKD)</t>
        </is>
      </c>
      <c r="C15" s="261">
        <f>INDEX('FS_Y (OLD)'!96:96,0,MATCH(vs_BBG!C$6,'FS_Y (OLD)'!1:1,0))</f>
        <v/>
      </c>
      <c r="D15" s="259">
        <f>INDEX('FS_Y (OLD)'!96:96,0,MATCH(vs_BBG!D$6,'FS_Y (OLD)'!1:1,0))</f>
        <v/>
      </c>
      <c r="E15" s="48" t="n">
        <v>3.312</v>
      </c>
      <c r="F15" s="977">
        <f>D15/E15-1</f>
        <v/>
      </c>
      <c r="G15" s="259">
        <f>INDEX('FS_Y (OLD)'!96:96,0,MATCH(vs_BBG!G$6,'FS_Y (OLD)'!1:1,0))</f>
        <v/>
      </c>
      <c r="H15" s="48" t="n">
        <v>3.679</v>
      </c>
      <c r="I15" s="977">
        <f>G15/H15-1</f>
        <v/>
      </c>
      <c r="J15" s="259">
        <f>INDEX('FS_Y (OLD)'!96:96,0,MATCH(vs_BBG!J$6,'FS_Y (OLD)'!1:1,0))</f>
        <v/>
      </c>
      <c r="K15" s="48" t="n">
        <v>3.841</v>
      </c>
      <c r="L15" s="890">
        <f>J15/K15-1</f>
        <v/>
      </c>
    </row>
    <row r="16">
      <c r="B16" s="176" t="inlineStr">
        <is>
          <t>RoE</t>
        </is>
      </c>
      <c r="C16" s="986">
        <f>INDEX('FS_Y (OLD)'!201:201,0,MATCH(vs_BBG!C$6,'FS_Y (OLD)'!1:1,0))</f>
        <v/>
      </c>
      <c r="D16" s="987">
        <f>INDEX('FS_Y (OLD)'!201:201,0,MATCH(vs_BBG!D$6,'FS_Y (OLD)'!1:1,0))</f>
        <v/>
      </c>
      <c r="E16" s="988" t="n">
        <v>0.07088</v>
      </c>
      <c r="F16" s="984">
        <f>(D16-E16)*10000</f>
        <v/>
      </c>
      <c r="G16" s="987">
        <f>INDEX('FS_Y (OLD)'!201:201,0,MATCH(vs_BBG!G$6,'FS_Y (OLD)'!1:1,0))</f>
        <v/>
      </c>
      <c r="H16" s="988" t="n">
        <v>0.07295</v>
      </c>
      <c r="I16" s="984">
        <f>(G16-H16)*10000</f>
        <v/>
      </c>
      <c r="J16" s="987">
        <f>INDEX('FS_Y (OLD)'!201:201,0,MATCH(vs_BBG!J$6,'FS_Y (OLD)'!1:1,0))</f>
        <v/>
      </c>
      <c r="K16" s="988" t="n">
        <v>0.0694</v>
      </c>
      <c r="L16" s="985">
        <f>(J16-K16)*10000</f>
        <v/>
      </c>
    </row>
    <row r="18">
      <c r="B18" s="21" t="inlineStr">
        <is>
          <t>Y/Y Growth</t>
        </is>
      </c>
    </row>
    <row r="19" ht="16" customHeight="1">
      <c r="B19" s="245" t="n"/>
      <c r="C19" s="253" t="n"/>
      <c r="D19" s="251" t="n">
        <v>2013</v>
      </c>
      <c r="E19" s="250" t="n"/>
      <c r="F19" s="252" t="n"/>
      <c r="G19" s="250">
        <f>+D19+1</f>
        <v/>
      </c>
      <c r="H19" s="250" t="n"/>
      <c r="I19" s="252" t="n"/>
      <c r="J19" s="250">
        <f>+G19+1</f>
        <v/>
      </c>
      <c r="K19" s="250" t="n"/>
      <c r="L19" s="252" t="n"/>
      <c r="M19" s="251">
        <f>C6&amp;" - "&amp;J6&amp;" CAGR"</f>
        <v/>
      </c>
      <c r="N19" s="250" t="n"/>
      <c r="O19" s="250" t="n"/>
    </row>
    <row r="20">
      <c r="B20" s="233" t="n"/>
      <c r="C20" s="249" t="n"/>
      <c r="D20" s="247" t="inlineStr">
        <is>
          <t>SCB</t>
        </is>
      </c>
      <c r="E20" s="246" t="inlineStr">
        <is>
          <t>BBG</t>
        </is>
      </c>
      <c r="F20" s="248" t="inlineStr">
        <is>
          <t>Delta</t>
        </is>
      </c>
      <c r="G20" s="247" t="inlineStr">
        <is>
          <t>SCB</t>
        </is>
      </c>
      <c r="H20" s="246" t="inlineStr">
        <is>
          <t>BBG</t>
        </is>
      </c>
      <c r="I20" s="248" t="inlineStr">
        <is>
          <t>Delta</t>
        </is>
      </c>
      <c r="J20" s="247" t="inlineStr">
        <is>
          <t>SCB</t>
        </is>
      </c>
      <c r="K20" s="246" t="inlineStr">
        <is>
          <t>BBG</t>
        </is>
      </c>
      <c r="L20" s="248" t="inlineStr">
        <is>
          <t>Delta</t>
        </is>
      </c>
      <c r="M20" s="247" t="inlineStr">
        <is>
          <t>SCB</t>
        </is>
      </c>
      <c r="N20" s="246" t="inlineStr">
        <is>
          <t>BBG</t>
        </is>
      </c>
      <c r="O20" s="246" t="inlineStr">
        <is>
          <t>Delta</t>
        </is>
      </c>
    </row>
    <row r="21">
      <c r="B21" s="245" t="inlineStr">
        <is>
          <t>Sales</t>
        </is>
      </c>
      <c r="C21" s="989" t="n"/>
      <c r="D21" s="990">
        <f>D8/C8-1</f>
        <v/>
      </c>
      <c r="E21" s="991">
        <f>E8/C8-1</f>
        <v/>
      </c>
      <c r="F21" s="992">
        <f>(D21-E21)*10000</f>
        <v/>
      </c>
      <c r="G21" s="990">
        <f>G8/D8-1</f>
        <v/>
      </c>
      <c r="H21" s="991">
        <f>H8/E8-1</f>
        <v/>
      </c>
      <c r="I21" s="992">
        <f>(G21-H21)*10000</f>
        <v/>
      </c>
      <c r="J21" s="990">
        <f>J8/G8-1</f>
        <v/>
      </c>
      <c r="K21" s="991">
        <f>K8/H8-1</f>
        <v/>
      </c>
      <c r="L21" s="992">
        <f>(J21-K21)*10000</f>
        <v/>
      </c>
      <c r="M21" s="990">
        <f>(J8/C8)^(1/3)-1</f>
        <v/>
      </c>
      <c r="N21" s="991">
        <f>(K8/C8)^(1/3)-1</f>
        <v/>
      </c>
      <c r="O21" s="993">
        <f>(M21-N21)*10000</f>
        <v/>
      </c>
    </row>
    <row r="22">
      <c r="B22" s="20" t="inlineStr">
        <is>
          <t>EBITDA</t>
        </is>
      </c>
      <c r="C22" s="994" t="n"/>
      <c r="D22" s="995">
        <f>D9/C9-1</f>
        <v/>
      </c>
      <c r="E22" s="996">
        <f>E9/C9-1</f>
        <v/>
      </c>
      <c r="F22" s="997">
        <f>(D22-E22)*10000</f>
        <v/>
      </c>
      <c r="G22" s="995">
        <f>G9/D9-1</f>
        <v/>
      </c>
      <c r="H22" s="996">
        <f>H9/E9-1</f>
        <v/>
      </c>
      <c r="I22" s="997">
        <f>(G22-H22)*10000</f>
        <v/>
      </c>
      <c r="J22" s="995">
        <f>J9/G9-1</f>
        <v/>
      </c>
      <c r="K22" s="996">
        <f>K9/H9-1</f>
        <v/>
      </c>
      <c r="L22" s="997">
        <f>(J22-K22)*10000</f>
        <v/>
      </c>
      <c r="M22" s="995">
        <f>(J9/C9)^(1/3)-1</f>
        <v/>
      </c>
      <c r="N22" s="996">
        <f>(K9/C9)^(1/3)-1</f>
        <v/>
      </c>
      <c r="O22" s="998">
        <f>(M22-N22)*10000</f>
        <v/>
      </c>
    </row>
    <row r="23">
      <c r="B23" s="20" t="inlineStr">
        <is>
          <t>EBIT</t>
        </is>
      </c>
      <c r="C23" s="994" t="n"/>
      <c r="D23" s="995">
        <f>D10/C10-1</f>
        <v/>
      </c>
      <c r="E23" s="996">
        <f>E10/C10-1</f>
        <v/>
      </c>
      <c r="F23" s="997">
        <f>(D23-E23)*10000</f>
        <v/>
      </c>
      <c r="G23" s="995">
        <f>G10/D10-1</f>
        <v/>
      </c>
      <c r="H23" s="996">
        <f>H10/E10-1</f>
        <v/>
      </c>
      <c r="I23" s="997">
        <f>(G23-H23)*10000</f>
        <v/>
      </c>
      <c r="J23" s="995">
        <f>J10/G10-1</f>
        <v/>
      </c>
      <c r="K23" s="996">
        <f>K10/H10-1</f>
        <v/>
      </c>
      <c r="L23" s="997">
        <f>(J23-K23)*10000</f>
        <v/>
      </c>
      <c r="M23" s="995">
        <f>(J10/C10)^(1/3)-1</f>
        <v/>
      </c>
      <c r="N23" s="996">
        <f>(K10/C10)^(1/3)-1</f>
        <v/>
      </c>
      <c r="O23" s="998">
        <f>(M23-N23)*10000</f>
        <v/>
      </c>
    </row>
    <row r="24">
      <c r="B24" s="20" t="inlineStr">
        <is>
          <t>Net Income</t>
        </is>
      </c>
      <c r="C24" s="994" t="n"/>
      <c r="D24" s="995">
        <f>D11/C11-1</f>
        <v/>
      </c>
      <c r="E24" s="996">
        <f>E11/C11-1</f>
        <v/>
      </c>
      <c r="F24" s="997">
        <f>(D24-E24)*10000</f>
        <v/>
      </c>
      <c r="G24" s="995">
        <f>G11/D11-1</f>
        <v/>
      </c>
      <c r="H24" s="996">
        <f>H11/E11-1</f>
        <v/>
      </c>
      <c r="I24" s="997">
        <f>(G24-H24)*10000</f>
        <v/>
      </c>
      <c r="J24" s="995">
        <f>J11/G11-1</f>
        <v/>
      </c>
      <c r="K24" s="996">
        <f>K11/H11-1</f>
        <v/>
      </c>
      <c r="L24" s="997">
        <f>(J24-K24)*10000</f>
        <v/>
      </c>
      <c r="M24" s="995">
        <f>(J11/C11)^(1/3)-1</f>
        <v/>
      </c>
      <c r="N24" s="996">
        <f>(K11/C11)^(1/3)-1</f>
        <v/>
      </c>
      <c r="O24" s="998">
        <f>(M24-N24)*10000</f>
        <v/>
      </c>
    </row>
    <row r="25">
      <c r="B25" s="20" t="inlineStr">
        <is>
          <t>EPS (HKD)</t>
        </is>
      </c>
      <c r="C25" s="238" t="n"/>
      <c r="D25" s="995">
        <f>D14/C14-1</f>
        <v/>
      </c>
      <c r="E25" s="996">
        <f>E14/C14-1</f>
        <v/>
      </c>
      <c r="F25" s="997">
        <f>(D25-E25)*10000</f>
        <v/>
      </c>
      <c r="G25" s="995">
        <f>G14/D14-1</f>
        <v/>
      </c>
      <c r="H25" s="996">
        <f>H14/E14-1</f>
        <v/>
      </c>
      <c r="I25" s="997">
        <f>(G25-H25)*10000</f>
        <v/>
      </c>
      <c r="J25" s="995">
        <f>J14/G14-1</f>
        <v/>
      </c>
      <c r="K25" s="996">
        <f>K14/H14-1</f>
        <v/>
      </c>
      <c r="L25" s="997">
        <f>(J25-K25)*10000</f>
        <v/>
      </c>
      <c r="M25" s="995">
        <f>(J14/C14)^(1/3)-1</f>
        <v/>
      </c>
      <c r="N25" s="996">
        <f>(K14/C14)^(1/3)-1</f>
        <v/>
      </c>
      <c r="O25" s="998">
        <f>(M25-N25)*10000</f>
        <v/>
      </c>
    </row>
    <row r="26">
      <c r="B26" s="233" t="inlineStr">
        <is>
          <t>BVPS (HKD)</t>
        </is>
      </c>
      <c r="C26" s="232" t="n"/>
      <c r="D26" s="999">
        <f>D15/C15-1</f>
        <v/>
      </c>
      <c r="E26" s="1000">
        <f>E15/C15-1</f>
        <v/>
      </c>
      <c r="F26" s="1001">
        <f>(D26-E26)*10000</f>
        <v/>
      </c>
      <c r="G26" s="999">
        <f>G15/D15-1</f>
        <v/>
      </c>
      <c r="H26" s="1000">
        <f>H15/E15-1</f>
        <v/>
      </c>
      <c r="I26" s="1001">
        <f>(G26-H26)*10000</f>
        <v/>
      </c>
      <c r="J26" s="999">
        <f>J15/G15-1</f>
        <v/>
      </c>
      <c r="K26" s="1000">
        <f>K15/H15-1</f>
        <v/>
      </c>
      <c r="L26" s="1001">
        <f>(J26-K26)*10000</f>
        <v/>
      </c>
      <c r="M26" s="999">
        <f>(J15/C15)^(1/3)-1</f>
        <v/>
      </c>
      <c r="N26" s="1000">
        <f>(K15/C15)^(1/3)-1</f>
        <v/>
      </c>
      <c r="O26" s="1002">
        <f>(M26-N26)*10000</f>
        <v/>
      </c>
    </row>
  </sheetData>
  <pageMargins left="0.7" right="0.7" top="0.75" bottom="0.75" header="0.3" footer="0.3"/>
  <pageSetup orientation="portrait" paperSize="9" horizontalDpi="300" verticalDpi="300"/>
</worksheet>
</file>

<file path=xl/worksheets/sheet18.xml><?xml version="1.0" encoding="utf-8"?>
<worksheet xmlns="http://schemas.openxmlformats.org/spreadsheetml/2006/main">
  <sheetPr codeName="Sheet13">
    <tabColor theme="1"/>
    <outlinePr summaryBelow="1" summaryRight="1"/>
    <pageSetUpPr fitToPage="1"/>
  </sheetPr>
  <dimension ref="A1:U70"/>
  <sheetViews>
    <sheetView workbookViewId="0">
      <selection activeCell="A1" sqref="A1"/>
    </sheetView>
  </sheetViews>
  <sheetFormatPr baseColWidth="10" defaultColWidth="8.83203125" defaultRowHeight="13" outlineLevelRow="1"/>
  <cols>
    <col width="25.6640625" customWidth="1" style="20" min="1" max="1"/>
    <col hidden="1" outlineLevel="1" width="8.33203125" customWidth="1" style="20" min="2" max="2"/>
    <col collapsed="1" width="9.6640625" customWidth="1" style="20" min="3" max="3"/>
    <col width="9.6640625" customWidth="1" style="20" min="4" max="7"/>
    <col width="2.6640625" customWidth="1" style="20" min="8" max="8"/>
    <col width="14.5" customWidth="1" style="56" min="9" max="9"/>
    <col width="8.6640625" customWidth="1" style="20" min="10" max="21"/>
    <col width="9.33203125" customWidth="1" style="20" min="22" max="16351"/>
  </cols>
  <sheetData>
    <row r="1" customFormat="1" s="20">
      <c r="A1" s="21">
        <f>Summary!$B$5</f>
        <v/>
      </c>
      <c r="B1" s="21" t="n"/>
      <c r="I1" s="56" t="n"/>
    </row>
    <row r="2" customFormat="1" s="20">
      <c r="A2" s="20" t="inlineStr">
        <is>
          <t>Tables for earnings &amp; revisions</t>
        </is>
      </c>
      <c r="I2" s="56" t="n"/>
    </row>
    <row r="3" customFormat="1" s="20">
      <c r="I3" s="56" t="n"/>
    </row>
    <row r="4" ht="14" customFormat="1" customHeight="1" s="20" thickBot="1">
      <c r="I4" s="56" t="n"/>
    </row>
    <row r="5" ht="14" customFormat="1" customHeight="1" s="20" thickBot="1">
      <c r="A5" s="308" t="inlineStr">
        <is>
          <t>Half-year Earnings</t>
        </is>
      </c>
      <c r="B5" s="308" t="n"/>
      <c r="E5" s="307" t="inlineStr">
        <is>
          <t>Base</t>
        </is>
      </c>
      <c r="F5" s="306" t="inlineStr">
        <is>
          <t>2H14</t>
        </is>
      </c>
      <c r="I5" s="313" t="inlineStr">
        <is>
          <t>Changes to Estimates</t>
        </is>
      </c>
      <c r="J5" s="308" t="n"/>
      <c r="K5" s="308" t="n"/>
      <c r="L5" s="308" t="n"/>
      <c r="O5" s="307" t="inlineStr">
        <is>
          <t>Base</t>
        </is>
      </c>
      <c r="P5" s="315" t="n"/>
      <c r="Q5" s="306" t="n">
        <v>2015</v>
      </c>
    </row>
    <row r="6">
      <c r="I6" s="316" t="n"/>
      <c r="J6" s="169" t="n"/>
      <c r="K6" s="169" t="n"/>
      <c r="L6" s="169" t="n"/>
      <c r="Q6" s="317" t="n"/>
    </row>
    <row r="7" outlineLevel="1">
      <c r="J7" s="331">
        <f>+B12</f>
        <v/>
      </c>
      <c r="K7" s="331">
        <f>+J7</f>
        <v/>
      </c>
      <c r="L7" s="331">
        <f>+K7</f>
        <v/>
      </c>
      <c r="M7" s="331">
        <f>+L7</f>
        <v/>
      </c>
      <c r="N7" s="331">
        <f>+B14</f>
        <v/>
      </c>
      <c r="O7" s="331">
        <f>+N7</f>
        <v/>
      </c>
      <c r="P7" s="331">
        <f>+O7</f>
        <v/>
      </c>
      <c r="Q7" s="331">
        <f>+P7</f>
        <v/>
      </c>
      <c r="R7" s="331">
        <f>+B17</f>
        <v/>
      </c>
      <c r="S7" s="331">
        <f>+R7</f>
        <v/>
      </c>
      <c r="T7" s="331">
        <f>+S7</f>
        <v/>
      </c>
      <c r="U7" s="331">
        <f>+T7</f>
        <v/>
      </c>
    </row>
    <row r="8" ht="16" customHeight="1">
      <c r="I8" s="311" t="inlineStr">
        <is>
          <t>(RMB</t>
        </is>
      </c>
      <c r="J8" s="318" t="inlineStr">
        <is>
          <t>Revenue</t>
        </is>
      </c>
      <c r="K8" s="319" t="n"/>
      <c r="L8" s="319" t="n"/>
      <c r="M8" s="320" t="n"/>
      <c r="N8" s="319" t="inlineStr">
        <is>
          <t>EBIT</t>
        </is>
      </c>
      <c r="O8" s="319" t="n"/>
      <c r="P8" s="319" t="n"/>
      <c r="Q8" s="320" t="n"/>
      <c r="R8" s="319" t="inlineStr">
        <is>
          <t>EPS (HKD)</t>
        </is>
      </c>
      <c r="S8" s="321" t="n"/>
      <c r="T8" s="321" t="n"/>
      <c r="U8" s="321" t="n"/>
    </row>
    <row r="9" customFormat="1" s="20">
      <c r="A9" s="305" t="inlineStr">
        <is>
          <t>RMB in Millions</t>
        </is>
      </c>
      <c r="B9" s="305" t="n"/>
      <c r="C9" s="304">
        <f>INDEX(FS_H!5:5,C10)</f>
        <v/>
      </c>
      <c r="D9" s="302">
        <f>INDEX(FS_H!5:5,D10)</f>
        <v/>
      </c>
      <c r="E9" s="303">
        <f>INDEX(FS_H!5:5,E10)</f>
        <v/>
      </c>
      <c r="F9" s="302" t="inlineStr">
        <is>
          <t>Y/Y</t>
        </is>
      </c>
      <c r="G9" s="302" t="inlineStr">
        <is>
          <t>Q/Q</t>
        </is>
      </c>
      <c r="I9" s="311" t="inlineStr">
        <is>
          <t>in millions)</t>
        </is>
      </c>
      <c r="J9" s="322">
        <f>INDEX('FS_Y (OLD)'!$5:$5,J10)</f>
        <v/>
      </c>
      <c r="K9" s="323">
        <f>INDEX('FS_Y (OLD)'!$5:$5,K10)</f>
        <v/>
      </c>
      <c r="L9" s="323">
        <f>INDEX('FS_Y (OLD)'!$5:$5,L10)</f>
        <v/>
      </c>
      <c r="M9" s="324">
        <f>INDEX('FS_Y (OLD)'!$5:$5,M10)</f>
        <v/>
      </c>
      <c r="N9" s="323">
        <f>INDEX('FS_Y (OLD)'!$5:$5,N10)</f>
        <v/>
      </c>
      <c r="O9" s="323">
        <f>INDEX('FS_Y (OLD)'!$5:$5,O10)</f>
        <v/>
      </c>
      <c r="P9" s="323">
        <f>INDEX('FS_Y (OLD)'!$5:$5,P10)</f>
        <v/>
      </c>
      <c r="Q9" s="324">
        <f>INDEX('FS_Y (OLD)'!$5:$5,Q10)</f>
        <v/>
      </c>
      <c r="R9" s="323">
        <f>INDEX('FS_Y (OLD)'!$5:$5,R10)</f>
        <v/>
      </c>
      <c r="S9" s="323">
        <f>INDEX('FS_Y (OLD)'!$5:$5,S10)</f>
        <v/>
      </c>
      <c r="T9" s="323">
        <f>INDEX('FS_Y (OLD)'!$5:$5,T10)</f>
        <v/>
      </c>
      <c r="U9" s="323">
        <f>INDEX('FS_Y (OLD)'!$5:$5,U10)</f>
        <v/>
      </c>
    </row>
    <row r="10" hidden="1" outlineLevel="1" customFormat="1" s="20">
      <c r="C10" s="301">
        <f>+E10-4</f>
        <v/>
      </c>
      <c r="D10" s="67">
        <f>+E10-1</f>
        <v/>
      </c>
      <c r="E10" s="300">
        <f>MATCH(F5,FS_H!3:3,0)</f>
        <v/>
      </c>
      <c r="I10" s="56" t="n"/>
      <c r="J10" s="20">
        <f>MATCH(Q5,'FS_Y (OLD)'!$1:$1,0)</f>
        <v/>
      </c>
      <c r="K10" s="20">
        <f>+J10+1</f>
        <v/>
      </c>
      <c r="L10" s="20">
        <f>+K10+1</f>
        <v/>
      </c>
      <c r="M10" s="312">
        <f>+L10+1</f>
        <v/>
      </c>
      <c r="N10" s="20">
        <f>+J10</f>
        <v/>
      </c>
      <c r="O10" s="20">
        <f>+N10+1</f>
        <v/>
      </c>
      <c r="P10" s="20">
        <f>+O10+1</f>
        <v/>
      </c>
      <c r="Q10" s="312">
        <f>+P10+1</f>
        <v/>
      </c>
      <c r="R10" s="20">
        <f>+N10</f>
        <v/>
      </c>
      <c r="S10" s="20">
        <f>+R10+1</f>
        <v/>
      </c>
      <c r="T10" s="20">
        <f>+S10+1</f>
        <v/>
      </c>
      <c r="U10" s="20">
        <f>+T10+1</f>
        <v/>
      </c>
    </row>
    <row r="11" collapsed="1" customFormat="1" s="20">
      <c r="A11" s="294" t="inlineStr">
        <is>
          <t>Income Statement</t>
        </is>
      </c>
      <c r="B11" s="291" t="n"/>
      <c r="C11" s="293" t="n"/>
      <c r="D11" s="291" t="n"/>
      <c r="E11" s="292" t="n"/>
      <c r="F11" s="291" t="n"/>
      <c r="G11" s="291" t="n"/>
      <c r="I11" s="325" t="inlineStr">
        <is>
          <t>Bernstein - New</t>
        </is>
      </c>
      <c r="J11" s="326">
        <f>INDEX('FS_Y (OLD)'!$1:$1048576,J$7,J$10)</f>
        <v/>
      </c>
      <c r="K11" s="326">
        <f>INDEX('FS_Y (OLD)'!$1:$1048576,K$7,K$10)</f>
        <v/>
      </c>
      <c r="L11" s="326">
        <f>INDEX('FS_Y (OLD)'!$1:$1048576,L$7,L$10)</f>
        <v/>
      </c>
      <c r="M11" s="327">
        <f>INDEX('FS_Y (OLD)'!$1:$1048576,M$7,M$10)</f>
        <v/>
      </c>
      <c r="N11" s="326">
        <f>INDEX('FS_Y (OLD)'!$1:$1048576,N$7,N$10)</f>
        <v/>
      </c>
      <c r="O11" s="326">
        <f>INDEX('FS_Y (OLD)'!$1:$1048576,O$7,O$10)</f>
        <v/>
      </c>
      <c r="P11" s="326">
        <f>INDEX('FS_Y (OLD)'!$1:$1048576,P$7,P$10)</f>
        <v/>
      </c>
      <c r="Q11" s="327">
        <f>INDEX('FS_Y (OLD)'!$1:$1048576,Q$7,Q$10)</f>
        <v/>
      </c>
      <c r="R11" s="330">
        <f>INDEX('FS_Y (OLD)'!$1:$1048576,R$7,R$10)</f>
        <v/>
      </c>
      <c r="S11" s="330">
        <f>INDEX('FS_Y (OLD)'!$1:$1048576,S$7,S$10)</f>
        <v/>
      </c>
      <c r="T11" s="330">
        <f>INDEX('FS_Y (OLD)'!$1:$1048576,T$7,T$10)</f>
        <v/>
      </c>
      <c r="U11" s="330">
        <f>INDEX('FS_Y (OLD)'!$1:$1048576,U$7,U$10)</f>
        <v/>
      </c>
    </row>
    <row r="12" customFormat="1" s="20">
      <c r="A12" s="20" t="inlineStr">
        <is>
          <t>Sales</t>
        </is>
      </c>
      <c r="B12" s="290" t="n">
        <v>11</v>
      </c>
      <c r="C12" s="297">
        <f>(INDEX(FS_H!$1:$1048576,$B12,C$10))</f>
        <v/>
      </c>
      <c r="D12" s="64">
        <f>(INDEX(FS_H!$1:$1048576,$B12,D$10))</f>
        <v/>
      </c>
      <c r="E12" s="296">
        <f>(INDEX(FS_H!$1:$1048576,$B12,E$10))</f>
        <v/>
      </c>
      <c r="F12" s="894">
        <f>IF(AND(E12&gt;0,C12&gt;0),E12/C12-1,"n.a.")</f>
        <v/>
      </c>
      <c r="G12" s="894">
        <f>IF(AND(E12&gt;0,D12&gt;0),E12/D12-1,"n.a.")</f>
        <v/>
      </c>
      <c r="I12" s="376" t="inlineStr">
        <is>
          <t>Bernstein - Old</t>
        </is>
      </c>
      <c r="J12" s="50" t="n">
        <v>82127.43234226422</v>
      </c>
      <c r="K12" s="50" t="n">
        <v>87882.51603392894</v>
      </c>
      <c r="L12" s="50" t="n">
        <v>94134.33332938922</v>
      </c>
      <c r="M12" s="377" t="n">
        <v>99773.5986995116</v>
      </c>
      <c r="N12" s="50" t="n">
        <v>5339.784917571675</v>
      </c>
      <c r="O12" s="50" t="n">
        <v>6363.206524102869</v>
      </c>
      <c r="P12" s="50" t="n">
        <v>7581.968381998766</v>
      </c>
      <c r="Q12" s="377" t="n">
        <v>8445.217930843248</v>
      </c>
      <c r="R12" s="48" t="n">
        <v>0.2815199960468064</v>
      </c>
      <c r="S12" s="48" t="n">
        <v>0.3597625883183318</v>
      </c>
      <c r="T12" s="48" t="n">
        <v>0.4311747993113809</v>
      </c>
      <c r="U12" s="48" t="n">
        <v>0.4803498875779407</v>
      </c>
    </row>
    <row r="13" customFormat="1" s="20">
      <c r="A13" s="20" t="inlineStr">
        <is>
          <t>Gross Profit</t>
        </is>
      </c>
      <c r="B13" s="290" t="n">
        <v>13</v>
      </c>
      <c r="C13" s="297">
        <f>(INDEX(FS_H!$1:$1048576,$B13,C$10))</f>
        <v/>
      </c>
      <c r="D13" s="64">
        <f>(INDEX(FS_H!$1:$1048576,$B13,D$10))</f>
        <v/>
      </c>
      <c r="E13" s="296">
        <f>(INDEX(FS_H!$1:$1048576,$B13,E$10))</f>
        <v/>
      </c>
      <c r="F13" s="894">
        <f>IF(AND(E13&gt;0,C13&gt;0),E13/C13-1,"n.a.")</f>
        <v/>
      </c>
      <c r="G13" s="894">
        <f>IF(AND(E13&gt;0,D13&gt;0),E13/D13-1,"n.a.")</f>
        <v/>
      </c>
      <c r="I13" s="329" t="inlineStr">
        <is>
          <t>Change</t>
        </is>
      </c>
      <c r="J13" s="1003">
        <f>IF(AND(J11&gt;0,J12&gt;0),J11/J12-1,"n.a.")</f>
        <v/>
      </c>
      <c r="K13" s="1003">
        <f>IF(AND(K11&gt;0,K12&gt;0),K11/K12-1,"n.a.")</f>
        <v/>
      </c>
      <c r="L13" s="1003">
        <f>IF(AND(L11&gt;0,L12&gt;0),L11/L12-1,"n.a.")</f>
        <v/>
      </c>
      <c r="M13" s="1004">
        <f>IF(AND(M11&gt;0,M12&gt;0),M11/M12-1,"n.a.")</f>
        <v/>
      </c>
      <c r="N13" s="1003">
        <f>IF(AND(N11&gt;0,N12&gt;0),N11/N12-1,"n.a.")</f>
        <v/>
      </c>
      <c r="O13" s="1003">
        <f>IF(AND(O11&gt;0,O12&gt;0),O11/O12-1,"n.a.")</f>
        <v/>
      </c>
      <c r="P13" s="1003">
        <f>IF(AND(P11&gt;0,P12&gt;0),P11/P12-1,"n.a.")</f>
        <v/>
      </c>
      <c r="Q13" s="1004">
        <f>IF(AND(Q11&gt;0,Q12&gt;0),Q11/Q12-1,"n.a.")</f>
        <v/>
      </c>
      <c r="R13" s="1003">
        <f>IF(AND(R11&gt;0,R12&gt;0),R11/R12-1,"n.a.")</f>
        <v/>
      </c>
      <c r="S13" s="1003">
        <f>IF(AND(S11&gt;0,S12&gt;0),S11/S12-1,"n.a.")</f>
        <v/>
      </c>
      <c r="T13" s="1003">
        <f>IF(AND(T11&gt;0,T12&gt;0),T11/T12-1,"n.a.")</f>
        <v/>
      </c>
      <c r="U13" s="1003">
        <f>IF(AND(U11&gt;0,U12&gt;0),U11/U12-1,"n.a.")</f>
        <v/>
      </c>
    </row>
    <row r="14" customFormat="1" s="20">
      <c r="A14" s="20" t="inlineStr">
        <is>
          <t>Operating Profit</t>
        </is>
      </c>
      <c r="B14" s="290" t="n">
        <v>18</v>
      </c>
      <c r="C14" s="297">
        <f>(INDEX(FS_H!$1:$1048576,$B14,C$10))</f>
        <v/>
      </c>
      <c r="D14" s="64">
        <f>(INDEX(FS_H!$1:$1048576,$B14,D$10))</f>
        <v/>
      </c>
      <c r="E14" s="296">
        <f>(INDEX(FS_H!$1:$1048576,$B14,E$10))</f>
        <v/>
      </c>
      <c r="F14" s="894">
        <f>IF(AND(E14&gt;0,C14&gt;0),E14/C14-1,"n.a.")</f>
        <v/>
      </c>
      <c r="G14" s="894">
        <f>IF(AND(E14&gt;0,D14&gt;0),E14/D14-1,"n.a.")</f>
        <v/>
      </c>
      <c r="I14" s="328" t="inlineStr">
        <is>
          <t>Consensus</t>
        </is>
      </c>
      <c r="J14" s="64" t="n">
        <v>77088.90000000001</v>
      </c>
      <c r="K14" s="64" t="n">
        <v>81168.2</v>
      </c>
      <c r="L14" s="64" t="n">
        <v>86232.75</v>
      </c>
      <c r="M14" s="350" t="n">
        <v>84289</v>
      </c>
      <c r="N14" s="64" t="n">
        <v>4708</v>
      </c>
      <c r="O14" s="64" t="n">
        <v>4979.143</v>
      </c>
      <c r="P14" s="64" t="n">
        <v>5577</v>
      </c>
      <c r="Q14" s="350" t="inlineStr">
        <is>
          <t>#N/A N/A</t>
        </is>
      </c>
      <c r="R14" s="70" t="n">
        <v>0.224</v>
      </c>
      <c r="S14" s="70" t="n">
        <v>0.254</v>
      </c>
      <c r="T14" s="70" t="n">
        <v>0.28</v>
      </c>
      <c r="U14" s="352" t="n">
        <v>0.243</v>
      </c>
    </row>
    <row r="15" customFormat="1" s="20">
      <c r="A15" s="20" t="inlineStr">
        <is>
          <t>Pre-tax Profit</t>
        </is>
      </c>
      <c r="B15" s="290" t="n">
        <v>22</v>
      </c>
      <c r="C15" s="297">
        <f>(INDEX(FS_H!$1:$1048576,$B15,C$10))</f>
        <v/>
      </c>
      <c r="D15" s="64">
        <f>(INDEX(FS_H!$1:$1048576,$B15,D$10))</f>
        <v/>
      </c>
      <c r="E15" s="296">
        <f>(INDEX(FS_H!$1:$1048576,$B15,E$10))</f>
        <v/>
      </c>
      <c r="F15" s="894">
        <f>IF(AND(E15&gt;0,C15&gt;0),E15/C15-1,"n.a.")</f>
        <v/>
      </c>
      <c r="G15" s="894">
        <f>IF(AND(E15&gt;0,D15&gt;0),E15/D15-1,"n.a.")</f>
        <v/>
      </c>
      <c r="I15" s="329" t="inlineStr">
        <is>
          <t>Diff.</t>
        </is>
      </c>
      <c r="J15" s="1003">
        <f>IF(AND(J11&gt;0,J14&gt;0),J11/J14-1,"n.a.")</f>
        <v/>
      </c>
      <c r="K15" s="1003">
        <f>IF(AND(K11&gt;0,K14&gt;0),K11/K14-1,"n.a.")</f>
        <v/>
      </c>
      <c r="L15" s="1003">
        <f>IF(AND(L11&gt;0,L14&gt;0),L11/L14-1,"n.a.")</f>
        <v/>
      </c>
      <c r="M15" s="1005">
        <f>IF(AND(M11&gt;0,M14&gt;0),M11/M14-1,"n.a.")</f>
        <v/>
      </c>
      <c r="N15" s="1003">
        <f>IF(AND(N11&gt;0,N14&gt;0),N11/N14-1,"n.a.")</f>
        <v/>
      </c>
      <c r="O15" s="1003">
        <f>IF(AND(O11&gt;0,O14&gt;0),O11/O14-1,"n.a.")</f>
        <v/>
      </c>
      <c r="P15" s="1003">
        <f>IF(AND(P11&gt;0,P14&gt;0),P11/P14-1,"n.a.")</f>
        <v/>
      </c>
      <c r="Q15" s="1005">
        <f>IF(AND(Q11&gt;0,Q14&gt;0),Q11/Q14-1,"n.a.")</f>
        <v/>
      </c>
      <c r="R15" s="1003">
        <f>IF(AND(R11&gt;0,R14&gt;0),R11/R14-1,"n.a.")</f>
        <v/>
      </c>
      <c r="S15" s="1003">
        <f>IF(AND(S11&gt;0,S14&gt;0),S11/S14-1,"n.a.")</f>
        <v/>
      </c>
      <c r="T15" s="1003">
        <f>IF(AND(T11&gt;0,T14&gt;0),T11/T14-1,"n.a.")</f>
        <v/>
      </c>
      <c r="U15" s="1006">
        <f>IF(AND(U11&gt;0,U14&gt;0),U11/U14-1,"n.a.")</f>
        <v/>
      </c>
    </row>
    <row r="16" customFormat="1" s="20">
      <c r="A16" s="20" t="inlineStr">
        <is>
          <t>Net Profit (Attributable)</t>
        </is>
      </c>
      <c r="B16" s="290" t="n">
        <v>26</v>
      </c>
      <c r="C16" s="297">
        <f>(INDEX(FS_H!$1:$1048576,$B16,C$10))</f>
        <v/>
      </c>
      <c r="D16" s="64">
        <f>(INDEX(FS_H!$1:$1048576,$B16,D$10))</f>
        <v/>
      </c>
      <c r="E16" s="296">
        <f>(INDEX(FS_H!$1:$1048576,$B16,E$10))</f>
        <v/>
      </c>
      <c r="F16" s="894">
        <f>IF(AND(E16&gt;0,C16&gt;0),E16/C16-1,"n.a.")</f>
        <v/>
      </c>
      <c r="G16" s="894">
        <f>IF(AND(E16&gt;0,D16&gt;0),E16/D16-1,"n.a.")</f>
        <v/>
      </c>
      <c r="I16" s="56" t="n"/>
    </row>
    <row r="17" customFormat="1" s="20">
      <c r="A17" s="20" t="inlineStr">
        <is>
          <t>EPS (HKD)</t>
        </is>
      </c>
      <c r="B17" s="290" t="n">
        <v>29</v>
      </c>
      <c r="C17" s="299">
        <f>(INDEX(FS_H!$1:$1048576,$B17,C$10))</f>
        <v/>
      </c>
      <c r="D17" s="70">
        <f>(INDEX(FS_H!$1:$1048576,$B17,D$10))</f>
        <v/>
      </c>
      <c r="E17" s="298">
        <f>(INDEX(FS_H!$1:$1048576,$B17,E$10))</f>
        <v/>
      </c>
      <c r="F17" s="894">
        <f>IF(AND(E17&gt;0,C17&gt;0),E17/C17-1,"n.a.")</f>
        <v/>
      </c>
      <c r="G17" s="894">
        <f>IF(AND(E17&gt;0,D17&gt;0),E17/D17-1,"n.a.")</f>
        <v/>
      </c>
      <c r="I17" s="56" t="n"/>
      <c r="N17" s="861" t="n"/>
      <c r="O17" s="861" t="n"/>
      <c r="P17" s="861" t="n"/>
    </row>
    <row r="18" customFormat="1" s="20">
      <c r="A18" s="294" t="inlineStr">
        <is>
          <t>Balance Sheet</t>
        </is>
      </c>
      <c r="B18" s="291" t="n"/>
      <c r="C18" s="293" t="n"/>
      <c r="D18" s="291" t="n"/>
      <c r="E18" s="292" t="n"/>
      <c r="F18" s="291" t="n"/>
      <c r="G18" s="291" t="n"/>
      <c r="I18" s="56" t="n"/>
    </row>
    <row r="19" customFormat="1" s="20">
      <c r="A19" s="20" t="inlineStr">
        <is>
          <t>Current Assets</t>
        </is>
      </c>
      <c r="B19" s="290" t="n">
        <v>45</v>
      </c>
      <c r="C19" s="297">
        <f>(INDEX(FS_H!$1:$1048576,$B19,C$10))</f>
        <v/>
      </c>
      <c r="D19" s="64">
        <f>(INDEX(FS_H!$1:$1048576,$B19,D$10))</f>
        <v/>
      </c>
      <c r="E19" s="296">
        <f>(INDEX(FS_H!$1:$1048576,$B19,E$10))</f>
        <v/>
      </c>
      <c r="F19" s="894">
        <f>IF(AND(E19&gt;0,C19&gt;0),E19/C19-1,"n.a.")</f>
        <v/>
      </c>
      <c r="G19" s="894">
        <f>IF(AND(E19&gt;0,D19&gt;0),E19/D19-1,"n.a.")</f>
        <v/>
      </c>
      <c r="I19" s="56" t="n"/>
    </row>
    <row r="20" customFormat="1" s="20">
      <c r="A20" s="20" t="inlineStr">
        <is>
          <t>Non-current Assets</t>
        </is>
      </c>
      <c r="B20" s="290" t="n">
        <v>56</v>
      </c>
      <c r="C20" s="297">
        <f>(INDEX(FS_H!$1:$1048576,$B20,C$10))</f>
        <v/>
      </c>
      <c r="D20" s="64">
        <f>(INDEX(FS_H!$1:$1048576,$B20,D$10))</f>
        <v/>
      </c>
      <c r="E20" s="296">
        <f>(INDEX(FS_H!$1:$1048576,$B20,E$10))</f>
        <v/>
      </c>
      <c r="F20" s="894">
        <f>IF(AND(E20&gt;0,C20&gt;0),E20/C20-1,"n.a.")</f>
        <v/>
      </c>
      <c r="G20" s="894">
        <f>IF(AND(E20&gt;0,D20&gt;0),E20/D20-1,"n.a.")</f>
        <v/>
      </c>
      <c r="I20" s="56" t="n"/>
      <c r="N20" s="861" t="n"/>
      <c r="O20" s="861" t="n"/>
      <c r="P20" s="861" t="n"/>
    </row>
    <row r="21" customFormat="1" s="20">
      <c r="A21" s="20" t="inlineStr">
        <is>
          <t>Total Assets</t>
        </is>
      </c>
      <c r="B21" s="290" t="n">
        <v>58</v>
      </c>
      <c r="C21" s="297">
        <f>(INDEX(FS_H!$1:$1048576,$B21,C$10))</f>
        <v/>
      </c>
      <c r="D21" s="64">
        <f>(INDEX(FS_H!$1:$1048576,$B21,D$10))</f>
        <v/>
      </c>
      <c r="E21" s="296">
        <f>(INDEX(FS_H!$1:$1048576,$B21,E$10))</f>
        <v/>
      </c>
      <c r="F21" s="894">
        <f>IF(AND(E21&gt;0,C21&gt;0),E21/C21-1,"n.a.")</f>
        <v/>
      </c>
      <c r="G21" s="894">
        <f>IF(AND(E21&gt;0,D21&gt;0),E21/D21-1,"n.a.")</f>
        <v/>
      </c>
      <c r="I21" s="56" t="n"/>
    </row>
    <row r="22" customFormat="1" s="20">
      <c r="A22" s="20" t="inlineStr">
        <is>
          <t>Current Liabilities</t>
        </is>
      </c>
      <c r="B22" s="290" t="n">
        <v>67</v>
      </c>
      <c r="C22" s="297">
        <f>(INDEX(FS_H!$1:$1048576,$B22,C$10))</f>
        <v/>
      </c>
      <c r="D22" s="64">
        <f>(INDEX(FS_H!$1:$1048576,$B22,D$10))</f>
        <v/>
      </c>
      <c r="E22" s="296">
        <f>(INDEX(FS_H!$1:$1048576,$B22,E$10))</f>
        <v/>
      </c>
      <c r="F22" s="894">
        <f>IF(AND(E22&gt;0,C22&gt;0),E22/C22-1,"n.a.")</f>
        <v/>
      </c>
      <c r="G22" s="894">
        <f>IF(AND(E22&gt;0,D22&gt;0),E22/D22-1,"n.a.")</f>
        <v/>
      </c>
      <c r="I22" s="56" t="n"/>
    </row>
    <row r="23" customFormat="1" s="20">
      <c r="A23" s="20" t="inlineStr">
        <is>
          <t>Non-current Liabilities</t>
        </is>
      </c>
      <c r="B23" s="290" t="n">
        <v>78</v>
      </c>
      <c r="C23" s="297">
        <f>(INDEX(FS_H!$1:$1048576,$B23,C$10))</f>
        <v/>
      </c>
      <c r="D23" s="64">
        <f>(INDEX(FS_H!$1:$1048576,$B23,D$10))</f>
        <v/>
      </c>
      <c r="E23" s="296">
        <f>(INDEX(FS_H!$1:$1048576,$B23,E$10))</f>
        <v/>
      </c>
      <c r="F23" s="894">
        <f>IF(AND(E23&gt;0,C23&gt;0),E23/C23-1,"n.a.")</f>
        <v/>
      </c>
      <c r="G23" s="894">
        <f>IF(AND(E23&gt;0,D23&gt;0),E23/D23-1,"n.a.")</f>
        <v/>
      </c>
      <c r="I23" s="56" t="n"/>
    </row>
    <row r="24" customFormat="1" s="20">
      <c r="A24" s="20" t="inlineStr">
        <is>
          <t>Total Liabilities</t>
        </is>
      </c>
      <c r="B24" s="290" t="n">
        <v>80</v>
      </c>
      <c r="C24" s="297">
        <f>(INDEX(FS_H!$1:$1048576,$B24,C$10))</f>
        <v/>
      </c>
      <c r="D24" s="64">
        <f>(INDEX(FS_H!$1:$1048576,$B24,D$10))</f>
        <v/>
      </c>
      <c r="E24" s="296">
        <f>(INDEX(FS_H!$1:$1048576,$B24,E$10))</f>
        <v/>
      </c>
      <c r="F24" s="894">
        <f>IF(AND(E24&gt;0,C24&gt;0),E24/C24-1,"n.a.")</f>
        <v/>
      </c>
      <c r="G24" s="894">
        <f>IF(AND(E24&gt;0,D24&gt;0),E24/D24-1,"n.a.")</f>
        <v/>
      </c>
      <c r="I24" s="56" t="n"/>
    </row>
    <row r="25" customFormat="1" s="20">
      <c r="A25" s="20" t="inlineStr">
        <is>
          <t>Attributable Equity</t>
        </is>
      </c>
      <c r="B25" s="290" t="n">
        <v>88</v>
      </c>
      <c r="C25" s="297">
        <f>(INDEX(FS_H!$1:$1048576,$B25,C$10))</f>
        <v/>
      </c>
      <c r="D25" s="64">
        <f>(INDEX(FS_H!$1:$1048576,$B25,D$10))</f>
        <v/>
      </c>
      <c r="E25" s="296">
        <f>(INDEX(FS_H!$1:$1048576,$B25,E$10))</f>
        <v/>
      </c>
      <c r="F25" s="894">
        <f>IF(AND(E25&gt;0,C25&gt;0),E25/C25-1,"n.a.")</f>
        <v/>
      </c>
      <c r="G25" s="894">
        <f>IF(AND(E25&gt;0,D25&gt;0),E25/D25-1,"n.a.")</f>
        <v/>
      </c>
      <c r="I25" s="56" t="n"/>
    </row>
    <row r="26" customFormat="1" s="20">
      <c r="A26" s="20" t="inlineStr">
        <is>
          <t>Minority Interest</t>
        </is>
      </c>
      <c r="B26" s="290" t="n">
        <v>90</v>
      </c>
      <c r="C26" s="297">
        <f>(INDEX(FS_H!$1:$1048576,$B26,C$10))</f>
        <v/>
      </c>
      <c r="D26" s="64">
        <f>(INDEX(FS_H!$1:$1048576,$B26,D$10))</f>
        <v/>
      </c>
      <c r="E26" s="296">
        <f>(INDEX(FS_H!$1:$1048576,$B26,E$10))</f>
        <v/>
      </c>
      <c r="F26" s="894">
        <f>IF(AND(E26&gt;0,C26&gt;0),E26/C26-1,"n.a.")</f>
        <v/>
      </c>
      <c r="G26" s="894">
        <f>IF(AND(E26&gt;0,D26&gt;0),E26/D26-1,"n.a.")</f>
        <v/>
      </c>
      <c r="I26" s="56" t="n"/>
    </row>
    <row r="27" customFormat="1" s="20">
      <c r="A27" s="20" t="inlineStr">
        <is>
          <t>Total Shareholders' Equity</t>
        </is>
      </c>
      <c r="B27" s="290" t="n">
        <v>91</v>
      </c>
      <c r="C27" s="297">
        <f>(INDEX(FS_H!$1:$1048576,$B27,C$10))</f>
        <v/>
      </c>
      <c r="D27" s="64">
        <f>(INDEX(FS_H!$1:$1048576,$B27,D$10))</f>
        <v/>
      </c>
      <c r="E27" s="296">
        <f>(INDEX(FS_H!$1:$1048576,$B27,E$10))</f>
        <v/>
      </c>
      <c r="F27" s="894">
        <f>IF(AND(E27&gt;0,C27&gt;0),E27/C27-1,"n.a.")</f>
        <v/>
      </c>
      <c r="G27" s="894">
        <f>IF(AND(E27&gt;0,D27&gt;0),E27/D27-1,"n.a.")</f>
        <v/>
      </c>
      <c r="I27" s="56" t="n"/>
    </row>
    <row r="28" customFormat="1" s="20">
      <c r="A28" s="294" t="inlineStr">
        <is>
          <t>Cash Flow Statement</t>
        </is>
      </c>
      <c r="B28" s="291" t="n"/>
      <c r="C28" s="293" t="n"/>
      <c r="D28" s="291" t="n"/>
      <c r="E28" s="292" t="n"/>
      <c r="F28" s="291" t="n"/>
      <c r="G28" s="291" t="n"/>
      <c r="I28" s="56" t="n"/>
    </row>
    <row r="29" customFormat="1" s="20">
      <c r="A29" s="20" t="inlineStr">
        <is>
          <t>CFO</t>
        </is>
      </c>
      <c r="B29" s="290" t="n">
        <v>118</v>
      </c>
      <c r="C29" s="297">
        <f>(INDEX(FS_H!$1:$1048576,$B29,C$10))</f>
        <v/>
      </c>
      <c r="D29" s="64">
        <f>(INDEX(FS_H!$1:$1048576,$B29,D$10))</f>
        <v/>
      </c>
      <c r="E29" s="296">
        <f>(INDEX(FS_H!$1:$1048576,$B29,E$10))</f>
        <v/>
      </c>
      <c r="F29" s="894">
        <f>IF(AND(E29&gt;0,C29&gt;0),E29/C29-1,"n.a.")</f>
        <v/>
      </c>
      <c r="G29" s="894">
        <f>IF(AND(E29&gt;0,D29&gt;0),E29/D29-1,"n.a.")</f>
        <v/>
      </c>
      <c r="I29" s="56" t="n"/>
    </row>
    <row r="30" customFormat="1" s="20">
      <c r="A30" s="20" t="inlineStr">
        <is>
          <t>CFI</t>
        </is>
      </c>
      <c r="B30" s="290" t="n">
        <v>129</v>
      </c>
      <c r="C30" s="297">
        <f>(INDEX(FS_H!$1:$1048576,$B30,C$10))</f>
        <v/>
      </c>
      <c r="D30" s="64">
        <f>(INDEX(FS_H!$1:$1048576,$B30,D$10))</f>
        <v/>
      </c>
      <c r="E30" s="296">
        <f>(INDEX(FS_H!$1:$1048576,$B30,E$10))</f>
        <v/>
      </c>
      <c r="F30" s="894">
        <f>IF(AND(E30&gt;0,C30&gt;0),E30/C30-1,"n.a.")</f>
        <v/>
      </c>
      <c r="G30" s="894">
        <f>IF(AND(E30&gt;0,D30&gt;0),E30/D30-1,"n.a.")</f>
        <v/>
      </c>
      <c r="I30" s="56" t="n"/>
    </row>
    <row r="31" customFormat="1" s="20">
      <c r="A31" s="20" t="inlineStr">
        <is>
          <t>CFF</t>
        </is>
      </c>
      <c r="B31" s="290" t="n">
        <v>137</v>
      </c>
      <c r="C31" s="297">
        <f>(INDEX(FS_H!$1:$1048576,$B31,C$10))</f>
        <v/>
      </c>
      <c r="D31" s="64">
        <f>(INDEX(FS_H!$1:$1048576,$B31,D$10))</f>
        <v/>
      </c>
      <c r="E31" s="296">
        <f>(INDEX(FS_H!$1:$1048576,$B31,E$10))</f>
        <v/>
      </c>
      <c r="F31" s="894">
        <f>IF(AND(E31&gt;0,C31&gt;0),E31/C31-1,"n.a.")</f>
        <v/>
      </c>
      <c r="G31" s="894">
        <f>IF(AND(E31&gt;0,D31&gt;0),E31/D31-1,"n.a.")</f>
        <v/>
      </c>
      <c r="I31" s="56" t="n"/>
    </row>
    <row r="32" customFormat="1" s="20">
      <c r="A32" s="20" t="inlineStr">
        <is>
          <t>Net Increase in Cash</t>
        </is>
      </c>
      <c r="B32" s="290" t="n">
        <v>139</v>
      </c>
      <c r="C32" s="297">
        <f>(INDEX(FS_H!$1:$1048576,$B32,C$10))</f>
        <v/>
      </c>
      <c r="D32" s="64">
        <f>(INDEX(FS_H!$1:$1048576,$B32,D$10))</f>
        <v/>
      </c>
      <c r="E32" s="296">
        <f>(INDEX(FS_H!$1:$1048576,$B32,E$10))</f>
        <v/>
      </c>
      <c r="F32" s="894">
        <f>IF(AND(E32&gt;0,C32&gt;0),E32/C32-1,"n.a.")</f>
        <v/>
      </c>
      <c r="G32" s="894">
        <f>IF(AND(E32&gt;0,D32&gt;0),E32/D32-1,"n.a.")</f>
        <v/>
      </c>
      <c r="I32" s="56" t="n"/>
    </row>
    <row r="33" customFormat="1" s="20">
      <c r="A33" s="294" t="inlineStr">
        <is>
          <t>Margin &amp; Return</t>
        </is>
      </c>
      <c r="B33" s="291" t="n"/>
      <c r="C33" s="293" t="n"/>
      <c r="D33" s="291" t="n"/>
      <c r="E33" s="292" t="n"/>
      <c r="F33" s="291" t="n"/>
      <c r="G33" s="291" t="n"/>
      <c r="I33" s="56" t="n"/>
    </row>
    <row r="34" customFormat="1" s="20">
      <c r="A34" s="20" t="inlineStr">
        <is>
          <t>Gross Margin</t>
        </is>
      </c>
      <c r="B34" s="290" t="n"/>
      <c r="C34" s="1007">
        <f>+C13/C12</f>
        <v/>
      </c>
      <c r="D34" s="861">
        <f>+D13/D12</f>
        <v/>
      </c>
      <c r="E34" s="1008">
        <f>+E13/E12</f>
        <v/>
      </c>
      <c r="I34" s="56" t="n"/>
    </row>
    <row r="35" customFormat="1" s="20">
      <c r="A35" s="20" t="inlineStr">
        <is>
          <t>Operating Margin</t>
        </is>
      </c>
      <c r="B35" s="290" t="n"/>
      <c r="C35" s="1007">
        <f>+C14/C12</f>
        <v/>
      </c>
      <c r="D35" s="861">
        <f>+D14/D12</f>
        <v/>
      </c>
      <c r="E35" s="1008">
        <f>+E14/E12</f>
        <v/>
      </c>
      <c r="I35" s="56" t="n"/>
    </row>
    <row r="36" customFormat="1" s="20">
      <c r="A36" s="20" t="inlineStr">
        <is>
          <t>Pre-tax Margin</t>
        </is>
      </c>
      <c r="B36" s="290" t="n"/>
      <c r="C36" s="1007">
        <f>+C15/C12</f>
        <v/>
      </c>
      <c r="D36" s="861">
        <f>+D15/D12</f>
        <v/>
      </c>
      <c r="E36" s="1008">
        <f>+E15/E12</f>
        <v/>
      </c>
      <c r="I36" s="56" t="n"/>
    </row>
    <row r="37" customFormat="1" s="20">
      <c r="A37" s="233" t="inlineStr">
        <is>
          <t>Net Margin</t>
        </is>
      </c>
      <c r="B37" s="287" t="n"/>
      <c r="C37" s="1009">
        <f>+C16/C12</f>
        <v/>
      </c>
      <c r="D37" s="896">
        <f>+D16/D12</f>
        <v/>
      </c>
      <c r="E37" s="1010">
        <f>+E16/E12</f>
        <v/>
      </c>
      <c r="F37" s="233" t="n"/>
      <c r="G37" s="233" t="n"/>
      <c r="I37" s="56" t="n"/>
    </row>
    <row r="39" ht="14" customFormat="1" customHeight="1" s="20" thickBot="1">
      <c r="I39" s="56" t="n"/>
    </row>
    <row r="40" ht="14" customFormat="1" customHeight="1" s="20" thickBot="1">
      <c r="A40" s="308" t="inlineStr">
        <is>
          <t>Full Year Earnings</t>
        </is>
      </c>
      <c r="B40" s="308" t="n"/>
      <c r="E40" s="307" t="inlineStr">
        <is>
          <t>Base</t>
        </is>
      </c>
      <c r="F40" s="306" t="n">
        <v>2014</v>
      </c>
      <c r="I40" s="56" t="n"/>
    </row>
    <row r="42" customFormat="1" s="20">
      <c r="A42" s="305">
        <f>+A9</f>
        <v/>
      </c>
      <c r="B42" s="305" t="n"/>
      <c r="C42" s="304">
        <f>INDEX('FS_Y (OLD)'!5:5,C43)</f>
        <v/>
      </c>
      <c r="D42" s="302">
        <f>INDEX('FS_Y (OLD)'!5:5,D43)</f>
        <v/>
      </c>
      <c r="E42" s="303">
        <f>INDEX('FS_Y (OLD)'!5:5,E43)</f>
        <v/>
      </c>
      <c r="F42" s="302" t="inlineStr">
        <is>
          <t>Y/Y</t>
        </is>
      </c>
      <c r="I42" s="56" t="n"/>
    </row>
    <row r="43" hidden="1" outlineLevel="1" customFormat="1" s="20">
      <c r="C43" s="67">
        <f>+D43-1</f>
        <v/>
      </c>
      <c r="D43" s="67">
        <f>+E43-1</f>
        <v/>
      </c>
      <c r="E43" s="300">
        <f>MATCH(F40,'FS_Y (OLD)'!1:1,0)</f>
        <v/>
      </c>
      <c r="I43" s="56" t="n"/>
    </row>
    <row r="44" collapsed="1" customFormat="1" s="20">
      <c r="A44" s="294">
        <f>+A11</f>
        <v/>
      </c>
      <c r="B44" s="291" t="n"/>
      <c r="C44" s="293" t="n"/>
      <c r="D44" s="291" t="n"/>
      <c r="E44" s="292" t="n"/>
      <c r="F44" s="291" t="n"/>
      <c r="I44" s="56" t="n"/>
    </row>
    <row r="45" customFormat="1" s="20">
      <c r="A45" s="20">
        <f>+A12</f>
        <v/>
      </c>
      <c r="B45" s="290" t="n">
        <v>11</v>
      </c>
      <c r="C45" s="297">
        <f>(INDEX('FS_Y (OLD)'!$1:$1048576,$B45,C$43))</f>
        <v/>
      </c>
      <c r="D45" s="64">
        <f>(INDEX('FS_Y (OLD)'!$1:$1048576,$B45,D$43))</f>
        <v/>
      </c>
      <c r="E45" s="296">
        <f>(INDEX('FS_Y (OLD)'!$1:$1048576,$B45,E$43))</f>
        <v/>
      </c>
      <c r="F45" s="894">
        <f>IF(AND(E45&gt;0,D45&gt;0),E45/D45-1,"n.a.")</f>
        <v/>
      </c>
      <c r="I45" s="56" t="n"/>
    </row>
    <row r="46" customFormat="1" s="20">
      <c r="A46" s="20">
        <f>+A13</f>
        <v/>
      </c>
      <c r="B46" s="290" t="n">
        <v>13</v>
      </c>
      <c r="C46" s="297">
        <f>(INDEX('FS_Y (OLD)'!$1:$1048576,$B46,C$43))</f>
        <v/>
      </c>
      <c r="D46" s="64">
        <f>(INDEX('FS_Y (OLD)'!$1:$1048576,$B46,D$43))</f>
        <v/>
      </c>
      <c r="E46" s="296">
        <f>(INDEX('FS_Y (OLD)'!$1:$1048576,$B46,E$43))</f>
        <v/>
      </c>
      <c r="F46" s="894">
        <f>IF(AND(E46&gt;0,D46&gt;0),E46/D46-1,"n.a.")</f>
        <v/>
      </c>
      <c r="I46" s="56" t="n"/>
    </row>
    <row r="47" customFormat="1" s="20">
      <c r="A47" s="20">
        <f>+A14</f>
        <v/>
      </c>
      <c r="B47" s="290" t="n">
        <v>18</v>
      </c>
      <c r="C47" s="297">
        <f>(INDEX('FS_Y (OLD)'!$1:$1048576,$B47,C$43))</f>
        <v/>
      </c>
      <c r="D47" s="64">
        <f>(INDEX('FS_Y (OLD)'!$1:$1048576,$B47,D$43))</f>
        <v/>
      </c>
      <c r="E47" s="296">
        <f>(INDEX('FS_Y (OLD)'!$1:$1048576,$B47,E$43))</f>
        <v/>
      </c>
      <c r="F47" s="894">
        <f>IF(AND(E47&gt;0,D47&gt;0),E47/D47-1,"n.a.")</f>
        <v/>
      </c>
      <c r="I47" s="56" t="n"/>
    </row>
    <row r="48" customFormat="1" s="20">
      <c r="A48" s="20">
        <f>+A15</f>
        <v/>
      </c>
      <c r="B48" s="290" t="n">
        <v>22</v>
      </c>
      <c r="C48" s="297">
        <f>(INDEX('FS_Y (OLD)'!$1:$1048576,$B48,C$43))</f>
        <v/>
      </c>
      <c r="D48" s="64">
        <f>(INDEX('FS_Y (OLD)'!$1:$1048576,$B48,D$43))</f>
        <v/>
      </c>
      <c r="E48" s="296">
        <f>(INDEX('FS_Y (OLD)'!$1:$1048576,$B48,E$43))</f>
        <v/>
      </c>
      <c r="F48" s="894">
        <f>IF(AND(E48&gt;0,D48&gt;0),E48/D48-1,"n.a.")</f>
        <v/>
      </c>
      <c r="I48" s="56" t="n"/>
    </row>
    <row r="49" customFormat="1" s="20">
      <c r="A49" s="20">
        <f>+A16</f>
        <v/>
      </c>
      <c r="B49" s="290" t="n">
        <v>26</v>
      </c>
      <c r="C49" s="297">
        <f>(INDEX('FS_Y (OLD)'!$1:$1048576,$B49,C$43))</f>
        <v/>
      </c>
      <c r="D49" s="64">
        <f>(INDEX('FS_Y (OLD)'!$1:$1048576,$B49,D$43))</f>
        <v/>
      </c>
      <c r="E49" s="296">
        <f>(INDEX('FS_Y (OLD)'!$1:$1048576,$B49,E$43))</f>
        <v/>
      </c>
      <c r="F49" s="894">
        <f>IF(AND(E49&gt;0,D49&gt;0),E49/D49-1,"n.a.")</f>
        <v/>
      </c>
      <c r="I49" s="56" t="n"/>
    </row>
    <row r="50" customFormat="1" s="20">
      <c r="A50" s="20">
        <f>+A17</f>
        <v/>
      </c>
      <c r="B50" s="290" t="n">
        <v>29</v>
      </c>
      <c r="C50" s="299">
        <f>(INDEX('FS_Y (OLD)'!$1:$1048576,$B50,C$43))</f>
        <v/>
      </c>
      <c r="D50" s="70">
        <f>(INDEX('FS_Y (OLD)'!$1:$1048576,$B50,D$43))</f>
        <v/>
      </c>
      <c r="E50" s="298">
        <f>(INDEX('FS_Y (OLD)'!$1:$1048576,$B50,E$43))</f>
        <v/>
      </c>
      <c r="F50" s="894">
        <f>IF(AND(E50&gt;0,D50&gt;0),E50/D50-1,"n.a.")</f>
        <v/>
      </c>
      <c r="I50" s="56" t="n"/>
    </row>
    <row r="51" customFormat="1" s="20">
      <c r="A51" s="294">
        <f>+A18</f>
        <v/>
      </c>
      <c r="B51" s="291" t="n"/>
      <c r="C51" s="293" t="n"/>
      <c r="D51" s="291" t="n"/>
      <c r="E51" s="292" t="n"/>
      <c r="F51" s="291" t="n"/>
      <c r="I51" s="56" t="n"/>
    </row>
    <row r="52" customFormat="1" s="20">
      <c r="A52" s="20">
        <f>+A19</f>
        <v/>
      </c>
      <c r="B52" s="290" t="n">
        <v>45</v>
      </c>
      <c r="C52" s="297">
        <f>(INDEX('FS_Y (OLD)'!$1:$1048576,$B52,C$43))</f>
        <v/>
      </c>
      <c r="D52" s="64">
        <f>(INDEX('FS_Y (OLD)'!$1:$1048576,$B52,D$43))</f>
        <v/>
      </c>
      <c r="E52" s="296">
        <f>(INDEX('FS_Y (OLD)'!$1:$1048576,$B52,E$43))</f>
        <v/>
      </c>
      <c r="F52" s="894">
        <f>IF(AND(E52&gt;0,D52&gt;0),E52/D52-1,"n.a.")</f>
        <v/>
      </c>
      <c r="I52" s="56" t="n"/>
    </row>
    <row r="53" customFormat="1" s="20">
      <c r="A53" s="20">
        <f>+A20</f>
        <v/>
      </c>
      <c r="B53" s="290" t="n">
        <v>56</v>
      </c>
      <c r="C53" s="297">
        <f>(INDEX('FS_Y (OLD)'!$1:$1048576,$B53,C$43))</f>
        <v/>
      </c>
      <c r="D53" s="64">
        <f>(INDEX('FS_Y (OLD)'!$1:$1048576,$B53,D$43))</f>
        <v/>
      </c>
      <c r="E53" s="296">
        <f>(INDEX('FS_Y (OLD)'!$1:$1048576,$B53,E$43))</f>
        <v/>
      </c>
      <c r="F53" s="894">
        <f>IF(AND(E53&gt;0,D53&gt;0),E53/D53-1,"n.a.")</f>
        <v/>
      </c>
      <c r="I53" s="56" t="n"/>
    </row>
    <row r="54" customFormat="1" s="20">
      <c r="A54" s="20">
        <f>+A21</f>
        <v/>
      </c>
      <c r="B54" s="290" t="n">
        <v>58</v>
      </c>
      <c r="C54" s="297">
        <f>(INDEX('FS_Y (OLD)'!$1:$1048576,$B54,C$43))</f>
        <v/>
      </c>
      <c r="D54" s="64">
        <f>(INDEX('FS_Y (OLD)'!$1:$1048576,$B54,D$43))</f>
        <v/>
      </c>
      <c r="E54" s="296">
        <f>(INDEX('FS_Y (OLD)'!$1:$1048576,$B54,E$43))</f>
        <v/>
      </c>
      <c r="F54" s="894">
        <f>IF(AND(E54&gt;0,D54&gt;0),E54/D54-1,"n.a.")</f>
        <v/>
      </c>
      <c r="I54" s="56" t="n"/>
    </row>
    <row r="55" customFormat="1" s="20">
      <c r="A55" s="20">
        <f>+A22</f>
        <v/>
      </c>
      <c r="B55" s="290" t="n">
        <v>67</v>
      </c>
      <c r="C55" s="297">
        <f>(INDEX('FS_Y (OLD)'!$1:$1048576,$B55,C$43))</f>
        <v/>
      </c>
      <c r="D55" s="64">
        <f>(INDEX('FS_Y (OLD)'!$1:$1048576,$B55,D$43))</f>
        <v/>
      </c>
      <c r="E55" s="296">
        <f>(INDEX('FS_Y (OLD)'!$1:$1048576,$B55,E$43))</f>
        <v/>
      </c>
      <c r="F55" s="894">
        <f>IF(AND(E55&gt;0,D55&gt;0),E55/D55-1,"n.a.")</f>
        <v/>
      </c>
      <c r="I55" s="56" t="n"/>
    </row>
    <row r="56" customFormat="1" s="20">
      <c r="A56" s="20">
        <f>+A23</f>
        <v/>
      </c>
      <c r="B56" s="290" t="n">
        <v>78</v>
      </c>
      <c r="C56" s="297">
        <f>(INDEX('FS_Y (OLD)'!$1:$1048576,$B56,C$43))</f>
        <v/>
      </c>
      <c r="D56" s="64">
        <f>(INDEX('FS_Y (OLD)'!$1:$1048576,$B56,D$43))</f>
        <v/>
      </c>
      <c r="E56" s="296">
        <f>(INDEX('FS_Y (OLD)'!$1:$1048576,$B56,E$43))</f>
        <v/>
      </c>
      <c r="F56" s="894">
        <f>IF(AND(E56&gt;0,D56&gt;0),E56/D56-1,"n.a.")</f>
        <v/>
      </c>
      <c r="I56" s="56" t="n"/>
    </row>
    <row r="57" customFormat="1" s="20">
      <c r="A57" s="20">
        <f>+A24</f>
        <v/>
      </c>
      <c r="B57" s="290" t="n">
        <v>80</v>
      </c>
      <c r="C57" s="297">
        <f>(INDEX('FS_Y (OLD)'!$1:$1048576,$B57,C$43))</f>
        <v/>
      </c>
      <c r="D57" s="64">
        <f>(INDEX('FS_Y (OLD)'!$1:$1048576,$B57,D$43))</f>
        <v/>
      </c>
      <c r="E57" s="296">
        <f>(INDEX('FS_Y (OLD)'!$1:$1048576,$B57,E$43))</f>
        <v/>
      </c>
      <c r="F57" s="894">
        <f>IF(AND(E57&gt;0,D57&gt;0),E57/D57-1,"n.a.")</f>
        <v/>
      </c>
      <c r="I57" s="56" t="n"/>
    </row>
    <row r="58" customFormat="1" s="20">
      <c r="A58" s="20">
        <f>+A25</f>
        <v/>
      </c>
      <c r="B58" s="290" t="n">
        <v>88</v>
      </c>
      <c r="C58" s="297">
        <f>(INDEX('FS_Y (OLD)'!$1:$1048576,$B58,C$43))</f>
        <v/>
      </c>
      <c r="D58" s="64">
        <f>(INDEX('FS_Y (OLD)'!$1:$1048576,$B58,D$43))</f>
        <v/>
      </c>
      <c r="E58" s="296">
        <f>(INDEX('FS_Y (OLD)'!$1:$1048576,$B58,E$43))</f>
        <v/>
      </c>
      <c r="F58" s="894">
        <f>IF(AND(E58&gt;0,D58&gt;0),E58/D58-1,"n.a.")</f>
        <v/>
      </c>
      <c r="I58" s="56" t="n"/>
    </row>
    <row r="59" customFormat="1" s="20">
      <c r="A59" s="20">
        <f>+A26</f>
        <v/>
      </c>
      <c r="B59" s="290" t="n">
        <v>90</v>
      </c>
      <c r="C59" s="297">
        <f>(INDEX('FS_Y (OLD)'!$1:$1048576,$B59,C$43))</f>
        <v/>
      </c>
      <c r="D59" s="64">
        <f>(INDEX('FS_Y (OLD)'!$1:$1048576,$B59,D$43))</f>
        <v/>
      </c>
      <c r="E59" s="296">
        <f>(INDEX('FS_Y (OLD)'!$1:$1048576,$B59,E$43))</f>
        <v/>
      </c>
      <c r="F59" s="894">
        <f>IF(AND(E59&gt;0,D59&gt;0),E59/D59-1,"n.a.")</f>
        <v/>
      </c>
      <c r="I59" s="56" t="n"/>
    </row>
    <row r="60" customFormat="1" s="20">
      <c r="A60" s="20">
        <f>+A27</f>
        <v/>
      </c>
      <c r="B60" s="290" t="n">
        <v>91</v>
      </c>
      <c r="C60" s="297">
        <f>(INDEX('FS_Y (OLD)'!$1:$1048576,$B60,C$43))</f>
        <v/>
      </c>
      <c r="D60" s="64">
        <f>(INDEX('FS_Y (OLD)'!$1:$1048576,$B60,D$43))</f>
        <v/>
      </c>
      <c r="E60" s="296">
        <f>(INDEX('FS_Y (OLD)'!$1:$1048576,$B60,E$43))</f>
        <v/>
      </c>
      <c r="F60" s="894">
        <f>IF(AND(E60&gt;0,D60&gt;0),E60/D60-1,"n.a.")</f>
        <v/>
      </c>
      <c r="I60" s="56" t="n"/>
    </row>
    <row r="61" customFormat="1" s="20">
      <c r="A61" s="294">
        <f>+A28</f>
        <v/>
      </c>
      <c r="B61" s="291" t="n"/>
      <c r="C61" s="293" t="n"/>
      <c r="D61" s="291" t="n"/>
      <c r="E61" s="292" t="n"/>
      <c r="F61" s="291" t="n"/>
      <c r="I61" s="56" t="n"/>
    </row>
    <row r="62" customFormat="1" s="20">
      <c r="A62" s="20">
        <f>+A29</f>
        <v/>
      </c>
      <c r="B62" s="290" t="n">
        <v>118</v>
      </c>
      <c r="C62" s="297">
        <f>(INDEX('FS_Y (OLD)'!$1:$1048576,$B62,C$43))</f>
        <v/>
      </c>
      <c r="D62" s="64">
        <f>(INDEX('FS_Y (OLD)'!$1:$1048576,$B62,D$43))</f>
        <v/>
      </c>
      <c r="E62" s="296">
        <f>(INDEX('FS_Y (OLD)'!$1:$1048576,$B62,E$43))</f>
        <v/>
      </c>
      <c r="F62" s="894">
        <f>IF(AND(E62&gt;0,D62&gt;0),E62/D62-1,"n.a.")</f>
        <v/>
      </c>
      <c r="I62" s="56" t="n"/>
    </row>
    <row r="63" customFormat="1" s="20">
      <c r="A63" s="20">
        <f>+A30</f>
        <v/>
      </c>
      <c r="B63" s="290" t="n">
        <v>129</v>
      </c>
      <c r="C63" s="297">
        <f>(INDEX('FS_Y (OLD)'!$1:$1048576,$B63,C$43))</f>
        <v/>
      </c>
      <c r="D63" s="64">
        <f>(INDEX('FS_Y (OLD)'!$1:$1048576,$B63,D$43))</f>
        <v/>
      </c>
      <c r="E63" s="296">
        <f>(INDEX('FS_Y (OLD)'!$1:$1048576,$B63,E$43))</f>
        <v/>
      </c>
      <c r="F63" s="894">
        <f>IF(AND(E63&gt;0,D63&gt;0),E63/D63-1,"n.a.")</f>
        <v/>
      </c>
    </row>
    <row r="64" customFormat="1" s="20">
      <c r="A64" s="20">
        <f>+A31</f>
        <v/>
      </c>
      <c r="B64" s="290" t="n">
        <v>137</v>
      </c>
      <c r="C64" s="297">
        <f>(INDEX('FS_Y (OLD)'!$1:$1048576,$B64,C$43))</f>
        <v/>
      </c>
      <c r="D64" s="64">
        <f>(INDEX('FS_Y (OLD)'!$1:$1048576,$B64,D$43))</f>
        <v/>
      </c>
      <c r="E64" s="296">
        <f>(INDEX('FS_Y (OLD)'!$1:$1048576,$B64,E$43))</f>
        <v/>
      </c>
      <c r="F64" s="894">
        <f>IF(AND(E64&gt;0,D64&gt;0),E64/D64-1,"n.a.")</f>
        <v/>
      </c>
      <c r="I64" s="56" t="n"/>
    </row>
    <row r="65" customFormat="1" s="20">
      <c r="A65" s="20">
        <f>+A32</f>
        <v/>
      </c>
      <c r="B65" s="290" t="n">
        <v>139</v>
      </c>
      <c r="C65" s="297">
        <f>(INDEX('FS_Y (OLD)'!$1:$1048576,$B65,C$43))</f>
        <v/>
      </c>
      <c r="D65" s="64">
        <f>(INDEX('FS_Y (OLD)'!$1:$1048576,$B65,D$43))</f>
        <v/>
      </c>
      <c r="E65" s="296">
        <f>(INDEX('FS_Y (OLD)'!$1:$1048576,$B65,E$43))</f>
        <v/>
      </c>
      <c r="F65" s="894">
        <f>IF(AND(E65&gt;0,D65&gt;0),E65/D65-1,"n.a.")</f>
        <v/>
      </c>
      <c r="I65" s="56" t="n"/>
    </row>
    <row r="66" customFormat="1" s="20">
      <c r="A66" s="294">
        <f>+A33</f>
        <v/>
      </c>
      <c r="B66" s="291" t="n"/>
      <c r="C66" s="293" t="n"/>
      <c r="D66" s="291" t="n"/>
      <c r="E66" s="292" t="n"/>
      <c r="F66" s="291" t="n"/>
      <c r="I66" s="56" t="n"/>
    </row>
    <row r="67" customFormat="1" s="20">
      <c r="A67" s="20">
        <f>+A34</f>
        <v/>
      </c>
      <c r="B67" s="290" t="n"/>
      <c r="C67" s="1007">
        <f>+C46/C45</f>
        <v/>
      </c>
      <c r="D67" s="861">
        <f>+D46/D45</f>
        <v/>
      </c>
      <c r="E67" s="1008">
        <f>+E46/E45</f>
        <v/>
      </c>
      <c r="I67" s="56" t="n"/>
    </row>
    <row r="68" customFormat="1" s="20">
      <c r="A68" s="20">
        <f>+A35</f>
        <v/>
      </c>
      <c r="B68" s="290" t="n"/>
      <c r="C68" s="1007">
        <f>+C47/C45</f>
        <v/>
      </c>
      <c r="D68" s="861">
        <f>+D47/D45</f>
        <v/>
      </c>
      <c r="E68" s="1008">
        <f>+E47/E45</f>
        <v/>
      </c>
      <c r="I68" s="56" t="n"/>
    </row>
    <row r="69" customFormat="1" s="20">
      <c r="A69" s="20">
        <f>+A36</f>
        <v/>
      </c>
      <c r="B69" s="290" t="n"/>
      <c r="C69" s="1007">
        <f>+C48/C45</f>
        <v/>
      </c>
      <c r="D69" s="861">
        <f>+D48/D45</f>
        <v/>
      </c>
      <c r="E69" s="1008">
        <f>+E48/E45</f>
        <v/>
      </c>
      <c r="I69" s="56" t="n"/>
    </row>
    <row r="70" customFormat="1" s="20">
      <c r="A70" s="233">
        <f>+A37</f>
        <v/>
      </c>
      <c r="B70" s="287" t="n"/>
      <c r="C70" s="1009">
        <f>+C49/C45</f>
        <v/>
      </c>
      <c r="D70" s="896">
        <f>+D49/D45</f>
        <v/>
      </c>
      <c r="E70" s="1010">
        <f>+E49/E45</f>
        <v/>
      </c>
      <c r="F70" s="233" t="n"/>
      <c r="I70" s="56" t="n"/>
    </row>
  </sheetData>
  <pageMargins left="0.7" right="0.7" top="0.2" bottom="0.2" header="0.3" footer="0.3"/>
  <pageSetup orientation="landscape" paperSize="9" horizontalDpi="300" verticalDpi="300"/>
</worksheet>
</file>

<file path=xl/worksheets/sheet19.xml><?xml version="1.0" encoding="utf-8"?>
<worksheet xmlns="http://schemas.openxmlformats.org/spreadsheetml/2006/main">
  <sheetPr codeName="Sheet1">
    <outlinePr summaryBelow="1" summaryRight="1"/>
    <pageSetUpPr/>
  </sheetPr>
  <dimension ref="A1:Z31"/>
  <sheetViews>
    <sheetView workbookViewId="0">
      <selection activeCell="A1" sqref="A1"/>
    </sheetView>
  </sheetViews>
  <sheetFormatPr baseColWidth="10" defaultColWidth="9.33203125" defaultRowHeight="13"/>
  <cols>
    <col width="3.6640625" customWidth="1" style="3" min="1" max="1"/>
    <col width="35.6640625" customWidth="1" style="3" min="2" max="6"/>
    <col width="20.6640625" customWidth="1" style="3" min="7" max="8"/>
    <col width="9.33203125" customWidth="1" style="3" min="9" max="16384"/>
  </cols>
  <sheetData>
    <row r="1" ht="25" customHeight="1">
      <c r="A1" s="1" t="n"/>
      <c r="B1" s="2" t="inlineStr">
        <is>
          <t>Summary</t>
        </is>
      </c>
      <c r="I1" s="4" t="n"/>
    </row>
    <row r="2">
      <c r="B2" s="16" t="n"/>
      <c r="C2" s="5" t="n"/>
      <c r="D2" s="5" t="n"/>
      <c r="E2" s="5" t="n"/>
      <c r="F2" s="5" t="n"/>
      <c r="G2" s="5" t="n"/>
      <c r="H2" s="5" t="n"/>
      <c r="I2" s="5" t="n"/>
      <c r="J2" s="5" t="n"/>
      <c r="K2" s="5" t="n"/>
      <c r="L2" s="5" t="n"/>
      <c r="M2" s="5" t="n"/>
      <c r="N2" s="5" t="n"/>
      <c r="O2" s="5" t="n"/>
      <c r="P2" s="5" t="n"/>
      <c r="Q2" s="5" t="n"/>
      <c r="R2" s="5" t="n"/>
      <c r="S2" s="5" t="n"/>
      <c r="T2" s="5" t="n"/>
      <c r="U2" s="5" t="n"/>
      <c r="V2" s="5" t="n"/>
      <c r="W2" s="5" t="n"/>
      <c r="X2" s="5" t="n"/>
    </row>
    <row r="3">
      <c r="B3" s="16" t="inlineStr">
        <is>
          <t>Company Name</t>
        </is>
      </c>
      <c r="C3" s="5" t="inlineStr">
        <is>
          <t>Shanghai Electric Group Company Limited</t>
        </is>
      </c>
      <c r="D3" s="5" t="n"/>
      <c r="E3" s="5" t="n"/>
      <c r="F3" s="5" t="n"/>
      <c r="G3" s="5" t="n"/>
      <c r="H3" s="5" t="n"/>
      <c r="I3" s="5" t="n"/>
      <c r="J3" s="5" t="n"/>
      <c r="K3" s="5" t="n"/>
      <c r="L3" s="5" t="n"/>
      <c r="M3" s="5" t="n"/>
      <c r="N3" s="5" t="n"/>
      <c r="O3" s="5" t="n"/>
      <c r="P3" s="5" t="n"/>
      <c r="Q3" s="5" t="n"/>
      <c r="R3" s="5" t="n"/>
      <c r="S3" s="5" t="n"/>
      <c r="T3" s="5" t="n"/>
      <c r="U3" s="5" t="n"/>
      <c r="V3" s="5" t="n"/>
      <c r="W3" s="5" t="n"/>
      <c r="X3" s="5" t="n"/>
    </row>
    <row r="4">
      <c r="B4" s="16" t="inlineStr">
        <is>
          <t>Stock Code</t>
        </is>
      </c>
      <c r="C4" s="5" t="inlineStr">
        <is>
          <t>2727 HK</t>
        </is>
      </c>
      <c r="D4" s="5" t="n"/>
      <c r="E4" s="5" t="n"/>
      <c r="F4" s="5" t="n"/>
      <c r="G4" s="5" t="n"/>
      <c r="H4" s="5" t="n"/>
      <c r="I4" s="5" t="n"/>
      <c r="J4" s="5" t="n"/>
      <c r="K4" s="5" t="n"/>
      <c r="L4" s="5" t="n"/>
      <c r="M4" s="5" t="n"/>
      <c r="N4" s="5" t="n"/>
      <c r="O4" s="5" t="n"/>
      <c r="P4" s="5" t="n"/>
      <c r="Q4" s="5" t="n"/>
      <c r="R4" s="5" t="n"/>
      <c r="S4" s="5" t="n"/>
      <c r="T4" s="5" t="n"/>
      <c r="U4" s="5" t="n"/>
      <c r="V4" s="5" t="n"/>
      <c r="W4" s="5" t="n"/>
      <c r="X4" s="5" t="n"/>
    </row>
    <row r="5">
      <c r="B5" s="16" t="n"/>
      <c r="C5" s="5" t="n"/>
      <c r="D5" s="5" t="n"/>
      <c r="E5" s="5" t="n"/>
      <c r="F5" s="5" t="n"/>
      <c r="G5" s="5" t="n"/>
      <c r="H5" s="5" t="n"/>
      <c r="I5" s="5" t="n"/>
      <c r="J5" s="5" t="n"/>
      <c r="K5" s="5" t="n"/>
      <c r="L5" s="5" t="n"/>
      <c r="M5" s="5" t="n"/>
      <c r="N5" s="5" t="n"/>
      <c r="O5" s="5" t="n"/>
      <c r="P5" s="5" t="n"/>
      <c r="Q5" s="5" t="n"/>
      <c r="R5" s="5" t="n"/>
      <c r="S5" s="5" t="n"/>
      <c r="T5" s="5" t="n"/>
      <c r="U5" s="5" t="n"/>
      <c r="V5" s="5" t="n"/>
      <c r="W5" s="5" t="n"/>
      <c r="X5" s="5" t="n"/>
    </row>
    <row r="6" ht="5.25" customHeight="1" thickBot="1"/>
    <row r="7">
      <c r="B7" s="6" t="inlineStr">
        <is>
          <t>NUMBER COLOUR CODES</t>
        </is>
      </c>
      <c r="C7" s="7" t="n"/>
      <c r="D7" s="7" t="n"/>
      <c r="E7" s="7" t="n"/>
      <c r="F7" s="8" t="n"/>
    </row>
    <row r="8">
      <c r="B8" s="9" t="inlineStr">
        <is>
          <t>HARD INPUT (FROM FINANCIAL STATEMENTS or LINKED TO OTHER SOURCES)</t>
        </is>
      </c>
      <c r="F8" s="10" t="n"/>
    </row>
    <row r="9">
      <c r="B9" s="11" t="inlineStr">
        <is>
          <t>CALCULATED NUMBER</t>
        </is>
      </c>
      <c r="F9" s="10" t="n"/>
    </row>
    <row r="10">
      <c r="B10" s="12" t="inlineStr">
        <is>
          <t>LINKED NUMBER WITHIN WORKBOOK</t>
        </is>
      </c>
      <c r="F10" s="10" t="n"/>
    </row>
    <row r="11" ht="14" customHeight="1" thickBot="1">
      <c r="B11" s="13" t="inlineStr">
        <is>
          <t>ASSUMPTION</t>
        </is>
      </c>
      <c r="C11" s="14" t="n"/>
      <c r="D11" s="14" t="n"/>
      <c r="E11" s="14" t="n"/>
      <c r="F11" s="15" t="n"/>
    </row>
    <row r="13">
      <c r="B13" s="16" t="n"/>
      <c r="C13" s="5" t="n"/>
      <c r="D13" s="5" t="n"/>
      <c r="E13" s="5" t="n"/>
      <c r="F13" s="5" t="n"/>
      <c r="G13" s="5" t="n"/>
      <c r="H13" s="5" t="n"/>
      <c r="I13" s="5" t="n"/>
      <c r="J13" s="5" t="n"/>
      <c r="K13" s="5" t="n"/>
      <c r="L13" s="5" t="n"/>
      <c r="M13" s="5" t="n"/>
      <c r="N13" s="5" t="n"/>
      <c r="O13" s="5" t="n"/>
      <c r="P13" s="5" t="n"/>
      <c r="Q13" s="5" t="n"/>
      <c r="R13" s="5" t="n"/>
      <c r="S13" s="5" t="n"/>
      <c r="T13" s="5" t="n"/>
      <c r="U13" s="5" t="n"/>
      <c r="V13" s="5" t="n"/>
      <c r="W13" s="5" t="n"/>
      <c r="X13" s="5" t="n"/>
      <c r="Y13" s="5" t="n"/>
      <c r="Z13" s="5" t="n"/>
    </row>
    <row r="14">
      <c r="B14" s="17" t="inlineStr">
        <is>
          <t>Financial data</t>
        </is>
      </c>
      <c r="C14" s="17" t="n"/>
      <c r="D14" s="17" t="inlineStr">
        <is>
          <t>Period</t>
        </is>
      </c>
      <c r="E14" s="17" t="n"/>
      <c r="F14" s="17" t="inlineStr">
        <is>
          <t>Source</t>
        </is>
      </c>
      <c r="G14" s="5" t="n"/>
      <c r="H14" s="5" t="n"/>
      <c r="I14" s="5" t="n"/>
      <c r="J14" s="5" t="n"/>
      <c r="K14" s="5" t="n"/>
      <c r="L14" s="5" t="n"/>
      <c r="M14" s="5" t="n"/>
      <c r="N14" s="5" t="n"/>
      <c r="O14" s="5" t="n"/>
      <c r="P14" s="5" t="n"/>
      <c r="Q14" s="5" t="n"/>
      <c r="R14" s="5" t="n"/>
      <c r="S14" s="5" t="n"/>
      <c r="T14" s="5" t="n"/>
      <c r="U14" s="5" t="n"/>
      <c r="V14" s="5" t="n"/>
      <c r="W14" s="5" t="n"/>
      <c r="X14" s="5" t="n"/>
      <c r="Y14" s="5" t="n"/>
      <c r="Z14" s="5" t="n"/>
    </row>
    <row r="15">
      <c r="B15" s="5" t="inlineStr">
        <is>
          <t>Annual</t>
        </is>
      </c>
      <c r="C15" s="5" t="n"/>
      <c r="D15" s="5" t="inlineStr">
        <is>
          <t>2009 -</t>
        </is>
      </c>
      <c r="E15" s="5" t="n"/>
      <c r="F15" s="18" t="inlineStr">
        <is>
          <t>As reported from HKSE filing</t>
        </is>
      </c>
      <c r="G15" s="18" t="n"/>
      <c r="H15" s="19" t="n"/>
      <c r="I15" s="19" t="n"/>
      <c r="J15" s="19" t="n"/>
      <c r="K15" s="19" t="n"/>
      <c r="L15" s="19" t="n"/>
      <c r="M15" s="19" t="n"/>
      <c r="N15" s="19" t="n"/>
      <c r="O15" s="19" t="n"/>
      <c r="P15" s="19" t="n"/>
      <c r="Q15" s="19" t="n"/>
      <c r="R15" s="19" t="n"/>
      <c r="S15" s="19" t="n"/>
      <c r="T15" s="19" t="n"/>
      <c r="U15" s="19" t="n"/>
      <c r="V15" s="19" t="n"/>
      <c r="W15" s="19" t="n"/>
      <c r="X15" s="5" t="n"/>
      <c r="Y15" s="5" t="n"/>
      <c r="Z15" s="5" t="n"/>
    </row>
    <row r="16">
      <c r="B16" s="5" t="inlineStr">
        <is>
          <t>Annual</t>
        </is>
      </c>
      <c r="C16" s="5" t="n"/>
      <c r="D16" s="5" t="inlineStr">
        <is>
          <t>2006-2008</t>
        </is>
      </c>
      <c r="E16" s="5" t="n"/>
      <c r="F16" s="18" t="inlineStr">
        <is>
          <t>Rearranged from A-share filing</t>
        </is>
      </c>
      <c r="G16" s="18" t="n"/>
      <c r="H16" s="18" t="n"/>
      <c r="I16" s="18" t="n"/>
      <c r="J16" s="18" t="n"/>
      <c r="K16" s="18" t="n"/>
      <c r="L16" s="18" t="n"/>
      <c r="M16" s="18" t="n"/>
      <c r="N16" s="18" t="n"/>
      <c r="O16" s="18" t="n"/>
      <c r="P16" s="18" t="n"/>
      <c r="Q16" s="18" t="n"/>
      <c r="R16" s="18" t="n"/>
      <c r="S16" s="18" t="n"/>
      <c r="T16" s="18" t="n"/>
      <c r="U16" s="18" t="n"/>
      <c r="V16" s="18" t="n"/>
      <c r="W16" s="18" t="n"/>
      <c r="X16" s="5" t="n"/>
      <c r="Y16" s="5" t="n"/>
      <c r="Z16" s="5" t="n"/>
    </row>
    <row r="17">
      <c r="B17" s="5" t="inlineStr">
        <is>
          <t>Annual</t>
        </is>
      </c>
      <c r="C17" s="5" t="n"/>
      <c r="D17" s="5" t="inlineStr">
        <is>
          <t>2002-2005</t>
        </is>
      </c>
      <c r="E17" s="5" t="n"/>
      <c r="F17" s="18" t="inlineStr">
        <is>
          <t>CapIQ</t>
        </is>
      </c>
      <c r="G17" s="18" t="n"/>
      <c r="H17" s="18" t="n"/>
      <c r="I17" s="18" t="n"/>
      <c r="J17" s="18" t="n"/>
      <c r="K17" s="18" t="n"/>
      <c r="L17" s="18" t="n"/>
      <c r="M17" s="18" t="n"/>
      <c r="N17" s="18" t="n"/>
      <c r="O17" s="18" t="n"/>
      <c r="P17" s="18" t="n"/>
      <c r="Q17" s="18" t="n"/>
      <c r="R17" s="18" t="n"/>
      <c r="S17" s="18" t="n"/>
      <c r="T17" s="18" t="n"/>
      <c r="U17" s="18" t="n"/>
      <c r="V17" s="18" t="n"/>
      <c r="W17" s="18" t="n"/>
      <c r="X17" s="5" t="n"/>
      <c r="Y17" s="5" t="n"/>
      <c r="Z17" s="5" t="n"/>
    </row>
    <row r="18">
      <c r="B18" s="5" t="inlineStr">
        <is>
          <t>1H</t>
        </is>
      </c>
      <c r="C18" s="5" t="n"/>
      <c r="D18" s="5" t="inlineStr">
        <is>
          <t>2011 -</t>
        </is>
      </c>
      <c r="E18" s="5" t="n"/>
      <c r="F18" s="18" t="inlineStr">
        <is>
          <t>As reported from HKSE filing</t>
        </is>
      </c>
      <c r="G18" s="5" t="n"/>
      <c r="H18" s="5" t="n"/>
      <c r="I18" s="5" t="n"/>
      <c r="J18" s="5" t="n"/>
      <c r="K18" s="5" t="n"/>
      <c r="L18" s="5" t="n"/>
      <c r="M18" s="5" t="n"/>
      <c r="N18" s="5" t="n"/>
      <c r="O18" s="5" t="n"/>
      <c r="P18" s="5" t="n"/>
      <c r="Q18" s="5" t="n"/>
      <c r="R18" s="5" t="n"/>
      <c r="S18" s="5" t="n"/>
      <c r="T18" s="5" t="n"/>
      <c r="U18" s="5" t="n"/>
      <c r="V18" s="5" t="n"/>
      <c r="W18" s="5" t="n"/>
      <c r="X18" s="5" t="n"/>
      <c r="Y18" s="5" t="n"/>
      <c r="Z18" s="5" t="n"/>
    </row>
    <row r="19">
      <c r="B19" s="5" t="inlineStr">
        <is>
          <t>1H</t>
        </is>
      </c>
      <c r="C19" s="5" t="n"/>
      <c r="D19" s="5" t="inlineStr">
        <is>
          <t>2007-2010</t>
        </is>
      </c>
      <c r="E19" s="5" t="n"/>
      <c r="F19" s="18" t="inlineStr">
        <is>
          <t>Rearranged from A-share filing</t>
        </is>
      </c>
      <c r="G19" s="5" t="n"/>
      <c r="H19" s="5" t="n"/>
      <c r="I19" s="5" t="n"/>
      <c r="J19" s="5" t="n"/>
      <c r="K19" s="5" t="n"/>
      <c r="L19" s="5" t="n"/>
      <c r="M19" s="5" t="n"/>
      <c r="N19" s="5" t="n"/>
      <c r="O19" s="5" t="n"/>
      <c r="P19" s="5" t="n"/>
      <c r="Q19" s="5" t="n"/>
      <c r="R19" s="5" t="n"/>
      <c r="S19" s="5" t="n"/>
      <c r="T19" s="5" t="n"/>
      <c r="U19" s="5" t="n"/>
      <c r="V19" s="5" t="n"/>
      <c r="W19" s="5" t="n"/>
      <c r="X19" s="5" t="n"/>
      <c r="Y19" s="5" t="n"/>
      <c r="Z19" s="5" t="n"/>
    </row>
    <row r="20">
      <c r="B20" s="5" t="inlineStr">
        <is>
          <t>Quarterly</t>
        </is>
      </c>
      <c r="C20" s="5" t="n"/>
      <c r="D20" s="5" t="inlineStr">
        <is>
          <t>2007 Q1 -</t>
        </is>
      </c>
      <c r="E20" s="5" t="n"/>
      <c r="F20" s="18" t="inlineStr">
        <is>
          <t>As reported and rearranged from A-share filing</t>
        </is>
      </c>
      <c r="G20" s="5" t="n"/>
      <c r="H20" s="5" t="n"/>
      <c r="I20" s="5" t="n"/>
      <c r="J20" s="5" t="n"/>
      <c r="K20" s="5" t="n"/>
      <c r="L20" s="5" t="n"/>
      <c r="M20" s="5" t="n"/>
      <c r="N20" s="5" t="n"/>
      <c r="O20" s="5" t="n"/>
      <c r="P20" s="5" t="n"/>
      <c r="Q20" s="5" t="n"/>
      <c r="R20" s="5" t="n"/>
      <c r="S20" s="5" t="n"/>
      <c r="T20" s="5" t="n"/>
      <c r="U20" s="5" t="n"/>
      <c r="V20" s="5" t="n"/>
      <c r="W20" s="5" t="n"/>
      <c r="X20" s="5" t="n"/>
      <c r="Y20" s="5" t="n"/>
      <c r="Z20" s="5" t="n"/>
    </row>
    <row r="23" ht="14" customHeight="1">
      <c r="B23" s="115" t="inlineStr">
        <is>
          <t>Asset / liability class</t>
        </is>
      </c>
      <c r="C23" s="115" t="inlineStr">
        <is>
          <t>Income statement line</t>
        </is>
      </c>
      <c r="D23" s="115" t="inlineStr">
        <is>
          <t>Treatment in FCF</t>
        </is>
      </c>
      <c r="E23" s="115" t="inlineStr">
        <is>
          <t>Treatment in valuation</t>
        </is>
      </c>
      <c r="F23" s="115" t="inlineStr">
        <is>
          <t>Treatment in invested capital</t>
        </is>
      </c>
    </row>
    <row r="24" ht="28" customHeight="1">
      <c r="B24" s="116" t="inlineStr">
        <is>
          <t>Other investment and financial instruments / cash</t>
        </is>
      </c>
      <c r="C24" s="116" t="inlineStr">
        <is>
          <t>Other income and gains</t>
        </is>
      </c>
      <c r="D24" s="116" t="inlineStr">
        <is>
          <t>Excluded</t>
        </is>
      </c>
      <c r="E24" s="116" t="inlineStr">
        <is>
          <t>Add asset book value to EV</t>
        </is>
      </c>
      <c r="F24" s="116" t="inlineStr">
        <is>
          <t>Excluded</t>
        </is>
      </c>
    </row>
    <row r="25" ht="14" customHeight="1">
      <c r="B25" s="116" t="n"/>
      <c r="C25" s="116" t="inlineStr">
        <is>
          <t>Government grant (in other income)</t>
        </is>
      </c>
      <c r="D25" s="116" t="inlineStr">
        <is>
          <t>Excluded</t>
        </is>
      </c>
      <c r="E25" s="116" t="inlineStr">
        <is>
          <t>Excluded</t>
        </is>
      </c>
      <c r="F25" s="116" t="inlineStr">
        <is>
          <t>Excluded</t>
        </is>
      </c>
    </row>
    <row r="26" ht="28" customHeight="1">
      <c r="B26" s="116" t="inlineStr">
        <is>
          <t>Loans and discounted bills receivables</t>
        </is>
      </c>
      <c r="C26" s="116" t="inlineStr">
        <is>
          <t>Interest income from loans and discounted bills receivables (under other revenue)</t>
        </is>
      </c>
      <c r="D26" s="116" t="inlineStr">
        <is>
          <t>Automatically included in EBIT / NOPLAT</t>
        </is>
      </c>
      <c r="E26" s="116" t="inlineStr">
        <is>
          <t>Included in EV</t>
        </is>
      </c>
      <c r="F26" s="116" t="inlineStr">
        <is>
          <t>Included</t>
        </is>
      </c>
    </row>
    <row r="27" ht="14" customHeight="1">
      <c r="B27" s="116" t="inlineStr">
        <is>
          <t>Debt</t>
        </is>
      </c>
      <c r="C27" s="116" t="inlineStr">
        <is>
          <t>Finance cost</t>
        </is>
      </c>
      <c r="D27" s="116" t="inlineStr">
        <is>
          <t>Excluded</t>
        </is>
      </c>
      <c r="E27" s="116" t="inlineStr">
        <is>
          <t>Deduct debt book value from EV</t>
        </is>
      </c>
      <c r="F27" s="116" t="inlineStr">
        <is>
          <t>Excluded</t>
        </is>
      </c>
    </row>
    <row r="28" ht="14" customHeight="1">
      <c r="B28" s="117" t="inlineStr">
        <is>
          <t>Investment in JV / Associates</t>
        </is>
      </c>
      <c r="C28" s="117" t="inlineStr">
        <is>
          <t>Share of profits from JV / Associates</t>
        </is>
      </c>
      <c r="D28" s="117" t="inlineStr">
        <is>
          <t>Included</t>
        </is>
      </c>
      <c r="E28" s="117" t="inlineStr">
        <is>
          <t>Included in EV</t>
        </is>
      </c>
      <c r="F28" s="117" t="inlineStr">
        <is>
          <t>Included</t>
        </is>
      </c>
    </row>
    <row r="29" ht="14" customHeight="1">
      <c r="B29" s="116" t="inlineStr">
        <is>
          <t>Prepayments, deposit, other receivables</t>
        </is>
      </c>
      <c r="C29" s="116" t="inlineStr">
        <is>
          <t>EBIT</t>
        </is>
      </c>
      <c r="D29" s="116" t="inlineStr">
        <is>
          <t>Included</t>
        </is>
      </c>
      <c r="E29" s="116" t="inlineStr">
        <is>
          <t>Included in EV</t>
        </is>
      </c>
      <c r="F29" s="116" t="inlineStr">
        <is>
          <t>Included</t>
        </is>
      </c>
    </row>
    <row r="30" ht="28" customHeight="1">
      <c r="B30" s="116" t="inlineStr">
        <is>
          <t>Other payables and accruals / customer deposits, provisions</t>
        </is>
      </c>
      <c r="C30" s="116" t="inlineStr">
        <is>
          <t>COGS / G&amp;A</t>
        </is>
      </c>
      <c r="D30" s="116" t="inlineStr">
        <is>
          <t>Included</t>
        </is>
      </c>
      <c r="E30" s="116" t="inlineStr">
        <is>
          <t>Included in EV</t>
        </is>
      </c>
      <c r="F30" s="116" t="inlineStr">
        <is>
          <t>Included</t>
        </is>
      </c>
    </row>
    <row r="31" ht="28" customHeight="1">
      <c r="B31" s="116" t="inlineStr">
        <is>
          <t>Tax assets and liabilities</t>
        </is>
      </c>
      <c r="C31" s="116" t="inlineStr">
        <is>
          <t>Income tax</t>
        </is>
      </c>
      <c r="D31" s="116" t="inlineStr">
        <is>
          <t>Included by deducting from EBIT to get NOPLAT</t>
        </is>
      </c>
      <c r="E31" s="116" t="inlineStr">
        <is>
          <t>Included in EV</t>
        </is>
      </c>
      <c r="F31" s="116" t="inlineStr">
        <is>
          <t>Included</t>
        </is>
      </c>
    </row>
  </sheetData>
  <pageMargins left="0.75" right="0.75" top="1" bottom="1" header="0.5" footer="0.5"/>
  <pageSetup orientation="portrait" paperSize="9"/>
</worksheet>
</file>

<file path=xl/worksheets/sheet20.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10" defaultColWidth="8.83203125" defaultRowHeight="13"/>
  <sheetData>
    <row r="1">
      <c r="A1" t="inlineStr">
        <is>
          <t>_DM|DocDefn|A6B78040E328186CA784760D6DFE1E94</t>
        </is>
      </c>
      <c r="B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䯆翁阰疌㔖瞉⒍ཉ㌲矔䴙飕瑡஄㆛襼夛콢礿㲒돗귁綷䮿羌阕疩㔟瞜⒆ཋ㍄矵䴄飅瑄஄㆖褠奀켯祱㲨뎥귦緿䯞翦阘疏㔬瞼⒰༻㌡矢䴷飧瑻ஂ㆔褯奠켮祻㲮돳귇綬䯣翂阠疔㔰瞀⒎༙㌅矟䴒领瑺எㆅ褮奝켳祃㲐돾귐綫䯡翋阏痺㕃矞ⓕཇ㍝瞜䵙颖琹௝㇛襰备켰祻㲽뎧극綪䯡翏阧疡㔜瞁⒮༈㌖矚䴞飖琵௉ㆶ襻她켲祰㲼돦귘綁䯣翚防疔㔵瞎⒀༝㌷矔䴟飺瑝஘㆐褳奭켡祫㲺돃귐綤䯮翣防疾㔖瞁Ⓙ༺㌁矅䴟飏瑦஌ㆆ褝奈켲祴㲮돴귩緷䮲羟陥痦㕊矂ⓑཙ㍕瞇䵅颗琺௅ㆍ褬夋콠祛㲴돔규綿䯧羓陱痹㕅矍Ⓝ༯㌍矝䴎飵瑡஑㆐襼夘콶礽㳻돨귘綵䯣翀阪疆㔒瞂⒆པ㍆瞓䵋飢瑧ஈㆶ褭奚켳礢㳹뎧귥綠䯰翇阼疬㔶瞁⒇པ㍆瞓䵋飫瑧஘ㆼ褯奌켲祶㲴뎺궗緵䮠美阕疺㔚瞊⒍།㌈矈䴥飇瑥எ㇈襣変켌祾㲨돊귚綡䯫翈阺疭㔗瞭⒚པ㍆矈䴓飏瑭௉㇕褍奚켴祒㲴돮귓綬䯧翊阄疠㔖瞁ⓞཋ㍖瞁䵚频琦௛㇇襯夝콺礮㳨뎵권緫䮷羞陱痨㔰瞠⒑།㌁矃䵖预琹௉㇕褒奜켲祼㲾돷귅緸䮠羗陱痨㔵瞋⒐༭㌋矒䴥飇瑥எ㇈襣変켆祻㲨돨귖綐䯰翂陮痪㕑矏⒢༅㌐矡䴊飒瑠௖㇗襣夤콊礿㳻뎧궉綁䯭翍阑疧㔗瞖⒰༝㌅矃䴟题䐘莃䳬륐椹겐⣥娣煿莖궕⬞ᣈᢱ칢ↂ压矏ᓳ材冄ა⣬ꢷ琨騺뙸�갰૿違ᗊ䟷뎳쫔䶫䮶俀除໤㕂Ⓝ㽹傴♋ᰣꢷ琨鹉嚄נꨨթ娷礿ೋ諱졐䷔䮢⇝痺㕊⦛ⓑ桡㍖ቔ䵋ꢶ⋓墡囪왛狹㸶嫓䤎㳻鈍뎳궍᫚ギ羜삈⚂剬裧ꔉཉ洗ᖡ䵙颞⩼௒国襳㳌콠㳻띒톗궇緽ᗶ羟陡ዀ㕁矟䄆㍄䞡ɱ 㯺㇕ꟾᘳ뙾䦲ధ�荴鴌緥箒ﵟᱠ⇅բ矏⒨༬㌽矴䴥飥瑍ோㆶ褎她켏祍㲚돎귺綋䮢侾�ﶠ땶䞁箚輞彫⎼絺领㫫莃戣ꞈ‗娷礿悪踍뎧쯶⾂䮢侾⭟ԝᖯ珋㼇歐ᗱ絺领⴯鷁濷锱Ӵ鱺Ṯ狶뗗뎶ଫ䮱ૄ院痼暄矏ᓳ馒뤕˛ẜꢷ琨௛㇃襩多콷礦㳲뎶궄練䮪⚉�ﶠ㕚矏ᓳ䇢憽《ᢣ᠇忦Ǥ襡꬧Ⓣ逹ѓ業觤䮢ᢆ痨扞㧯Ⓝ㽹呤Ⱶ緡꣈皊槁죠変陧拙蹐�⻿ⳳㆃ쪥痹筲āⓐ稃㍕瞅ẜ领䐘鴐뮄ﰫꬆ椸콠礯㳭뎱궆緲䮻羇院痹㕂矞Ⓥ噎綇￙䵂领䐘䕠挬ᥢ薐�ꍏⴒೊ큕⊼㛎⨘ⷹ滗Ⓝ桁吵瞑ᩆ횦琨㯻俓æ좚ᚲ９䦔擯譡莖궕ᗯᒍゴኹ篟﷓盛岿汱ᗱ䵋枮፹䕇ꄈ읬ꇟਓꪥḳ嚐롽욽궇ࢯ䮳ⱙ楚痨㔶瞫⒪༧㌡知⺻쥜ደ鎵㇕ꟾᘳ뙾䦲ధ�荴鴌緭䯇羞院痱㕅矘Ⓤཉ斿⓻⩴삗⁂洓㇕襰夘콶礿䟷꜡⍯鶥㋄⋯Ὣ칢䗙㕓ೃ�㽹籥Ờ紅ᣉ㯺㇕癐죡ᜒ䛁䥵䆗벗킀재ڌ篬ᰆ䗙㕓妳爥曒ᒶ❲琨崵嫔襡菝夝콸Ḁ㳻鈍뎵ﭮ⺏ⲝ美ٰ࢘䡜﷧䏼髺㍄ಝ䵟频጗ோ㇝襲전㸡陉⭘傡銶뎮궕㋟솊ᢱπ痨뒙矏窐浹㍖瞉ጟ领琾泣㇇襰鴔変亳礿抨謱뎵궍⎱䮳羜痺㕃ሊⓃ躃㍄⧂⽻颔琰喟㇆夘ꪥ礿봨쾥緷䮺⇚陥ዀ㕁矟䄆ཉ殖㦻ힳ领琠綕翲�変콱礦㳢뎾궂緵䮢羗陥痤㕀矚ⓑཉ丨⦉ὂ琨௃䞋읆ꥷ夀콠礮㳫뎫궄緳䮷美陧痿㕟矖ⓗཚ㍄︛ɱᰢ䗐ƞ흱꒯楰ￋ⿄澑踾뎧劽⊖ⲝ肧⟡䎹矏Ⓥ礗絣☷䵂领琿௝㇙襱夛콠礬㳩뎳궂緰䮢⥵씙዗晶ᔃ益禣悬䟞Ṯ琢☡紡㇕襩躏ᜮ黆礶㳻뎰궙練䮱羗陳痻㕁矃ⓓཛ㍖瞑みᑡī鎦㇕襩躏ᜮ黆礶㳻뎫궄緶䮻羂陪痱㕁矏ⓒཅ㍔瞇䵞颊琱௞㇌襡蔾헮멣㳻엹ⱃ䮫美院痤㕁矟ⓛཅ㍕瞅䵟领琹ே㇄襰夅콶礨㳫뎶얟⊖篝伤삈⚂剬裧箰桶챭瞑み쪏˂騺ꦸ襡ࢯ콩礿㳭뎰궛練䮳美陡痾㕄矁ⓔད㍄ᣭᩃ⬇腔咁훍㄃逓䥀౑뿺쪪緥뒊⃽諁䡧◆利麸ꬩ瞑䵃줠琡ோ컸襡߼夕콯祛㲴독귚綡䯻翽阧疩㔁瞛ⓝཤ㍮瞑䵋领琨ௗㆱ褤奊켲祶㲫돮귚綫䮢羁陭病㕹矏Ⓝཉ㍄瞍䴢飢琶ப㇃褃夑콰礫㳫뎴궇緽䮳羖陥疋㔲矘ⓛཝ㍓瞇䵛飢琾யㆳ褄奬콹礫㳧돎귱緻䮏群陳痨㕏矀⒧༆㌇矵䴎飀瑦௕ㇸ襋夆켄祾㲯뎹</t>
        </is>
      </c>
    </row>
    <row r="2">
      <c r="A2" t="inlineStr">
        <is>
          <t>_DM|LnkdItm|_bdm.e59dd4eb15b74531abc6f0cb7224a7f8.edm|_bdm.bd0026bc9c284db7ae4d3d01346c50e5.edm</t>
        </is>
      </c>
      <c r="B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颐琿௝㇂襰夗콍礕㳻뎧궕緹䯒翜阧疻㕍矢ⓩཉ㍄瞑䵋领琨ௗㆥ褳変켖礢㳹뎱궂緳䮵羟陱痨㔺矒Ⓛམ㍆瞑䴿颛琪௛㇗西夣콠礿㳻뎧궕緥䮢羒阀疺㔐矏⒢༙㌔瞌䵉颟琪ோㆣ褠夔콢礬㳭뎱궂練䮠美阜疤㔗矒Ⓛཋ㍄矡䴯飠瑘ஊ㆒褤奜켭祽㲾뎺궗緽䮠美阃疌㔵瞽⒆༊㌐石䴄飒瑼஄㆘襼够콹礦㳹돗귱綃䯐翋阰疼㔧瞀⒓པ㍆瞆䵛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 t="inlineStr">
        <is>
          <t>A6B78040E328186CA784760D6DFE1E94</t>
        </is>
      </c>
    </row>
    <row r="3">
      <c r="A3" t="inlineStr">
        <is>
          <t>_DM|LnkdItm|_bdm.e59dd4eb15b74531abc6f0cb7224a7f8.edm|_bdm.550320d20e194043abd214621b94ec18.edm</t>
        </is>
      </c>
      <c r="B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颕琼௛㇁襰夗콍礕㳻뎧궕緹䯒翜阧疻㕍矢ⓩཉ㍄瞑䵋领琨ௗㆥ褳変켖礢㳹뎴궁緵䮶羟陱痨㔺矒Ⓛམ㍆瞑䴿颛琪௛㇗西夣콠礿㳻뎧궕緥䮢羒阀疺㔐矏⒢༙㌔瞌䵉颟琪ோㆣ褠夔콢礫㳨뎷궁練䮠美阜疤㔗矒Ⓛཋ㍄矡䴯飠瑘ஊ㆒褤奜켭祽㲾뎺궗緽䮠美阃疌㔵瞽⒆༊㌐石䴄飒瑼஄㆘襼够콹礦㳹돗귱綃䯐翋阰疼㔧瞀⒓པ㍆瞆䵛颟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3" t="inlineStr">
        <is>
          <t>A6B78040E328186CA784760D6DFE1E94</t>
        </is>
      </c>
    </row>
    <row r="4">
      <c r="A4" t="inlineStr">
        <is>
          <t>_DM|LnkdItm|_bdm.e59dd4eb15b74531abc6f0cb7224a7f8.edm|_bdm.bb2bd9227e79497a8381da4d905baa5e.edm</t>
        </is>
      </c>
      <c r="B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襸夗콍礕㳻뎧궕緹䯒翜阧疻㕍矢ⓩཉ㍄瞑䵋领琨ௗㆥ褳変켖礢㳹뎶궄緷䮰羗陱痨㔺矒Ⓛམ㍆瞑䴿颛琪௛㇗西夣콠礿㳻뎧궕緥䮢羒阀疺㔐矏⒢༙㌔瞌䵉颟琪ோㆣ褠夔콢礮㳪뎵궇緼䮠美阜疤㔗矒Ⓛཋ㍄矡䴯飠瑘ஊ㆒褤奜켭祽㲾뎺궗緽䮠美阃疌㔵瞽⒆༊㌐石䴄飒瑼஄㆘襼够콸礨㳹돗귱綃䯐翋阰疼㔧瞀⒓པ㍆瞇䵒颐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 t="inlineStr">
        <is>
          <t>A6B78040E328186CA784760D6DFE1E94</t>
        </is>
      </c>
    </row>
    <row r="5">
      <c r="A5" t="inlineStr">
        <is>
          <t>_DM|LnkdItm|_bdm.e59dd4eb15b74531abc6f0cb7224a7f8.edm|_bdm.eb4ae3156c4a4d3b9b165748980ef022.edm</t>
        </is>
      </c>
      <c r="B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襵夗콍礕㳻뎧궕緹䯒翜阧疻㕍矢ⓩཉ㍄瞑䵋领琨ௗㆥ褳変켖礢㳹뎶궆緰䮱羚陱痨㔺矒Ⓛམ㍆瞑䴿颛琪௛㇗西夣콠礿㳻뎧궕緥䮢羒阀疺㔐矏⒢༙㌔瞌䵉颟琪ோㆣ褠夔콢礮㳪뎲궆緱䮠美阜疤㔗矒Ⓛཋ㍄矡䴯飠瑘ஊ㆒褤奜켭祽㲾뎺궗緽䮠美阃疌㔵瞽⒆༊㌐石䴄飒瑼஄㆘襼够콸礨㳹돗귱綃䯐翋阰疼㔧瞀⒓པ㍆瞇䵒颐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 t="inlineStr">
        <is>
          <t>A6B78040E328186CA784760D6DFE1E94</t>
        </is>
      </c>
    </row>
    <row r="6">
      <c r="A6" t="inlineStr">
        <is>
          <t>_DM|LnkdItm|_bdm.e59dd4eb15b74531abc6f0cb7224a7f8.edm|_bdm.9e92fb0b1e144b30890f82ff9b2621f3.edm</t>
        </is>
      </c>
      <c r="B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颒琻௚㇍襸夗콍礕㳻뎧궕緹䯒翜阧疻㕍矢ⓩཉ㍄瞑䵋领琨ௗㆥ褳変켖礢㳹뎳궆練䮺羗陱痨㔺矒Ⓛམ㍆瞑䴿颛琪௛㇗西夣콠礿㳻뎧궕緥䮢羒阀疺㔐矏⒢༙㌔瞌䵉颟琪ோㆣ褠夔콢礬㳯뎶궍緼䮠美阜疤㔗矒Ⓛཋ㍄矡䴯飠瑘ஊ㆒褤奜켭祽㲾뎺궗緽䮠美阃疌㔵瞽⒆༊㌐石䴄飒瑼஄㆘襼够콷礫㳹돗귱綃䯐翋阰疼㔧瞀⒓པ㍆瞇䵓颒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穩﷧窗减㍘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 t="inlineStr">
        <is>
          <t>A6B78040E328186CA784760D6DFE1E94</t>
        </is>
      </c>
    </row>
    <row r="7">
      <c r="A7" t="inlineStr">
        <is>
          <t>_DM|LnkdItm|_bdm.e59dd4eb15b74531abc6f0cb7224a7f8.edm|_bdm.cae6fd8e35ee4064ad6e5cd49a245745.edm</t>
        </is>
      </c>
      <c r="B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琸௘㇀襶夗콍礕㳻뎧궕緹䯒翜阧疻㕍矢ⓩཉ㍄瞑䵋领琨ௗㆥ褳変켖礢㳹뎶궅緶䮷羙陱痨㔺矒Ⓛམ㍆瞑䴿颛琪௛㇗西夣콠礿㳻뎧궕緥䮢羒阀疺㔐矏⒢༙㌔瞌䵉颟琪ோㆣ褠夔콢礬㳪뎴궀緲䮠美阜疤㔗矒Ⓛཋ㍄矡䴯飠瑘ஊ㆒褤奜켭祽㲾뎺궗緽䮠美阃疌㔵瞽⒆༊㌐石䴄飒瑼஄㆘襼够콷礫㳹돗귱綃䯐翋阰疼㔧瞀⒓པ㍆瞇䵓颒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 t="inlineStr">
        <is>
          <t>A6B78040E328186CA784760D6DFE1E94</t>
        </is>
      </c>
    </row>
    <row r="8">
      <c r="A8" t="inlineStr">
        <is>
          <t>_DM|LnkdItm|_bdm.e59dd4eb15b74531abc6f0cb7224a7f8.edm|_bdm.84ad91f29ed64e00b1f2566d6fb817ca.edm</t>
        </is>
      </c>
      <c r="B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襣夤콊礿㳻뎧궉綕䯰翚阠痶㕾知Ⓝཉ㍄瞑䵋领琴஻ㆇ褵奿콽礽㳪뎱궁緰䮠美阚痵㕑矞Ⓛཉ㌰瞌䵉颖琪௕ㇸ襋変콠礿㳻뎧궕緹䯑翜阰痨㔲瞟⒓པ㍆瞈䵉领瑞ஊ㆙襼夘콰礩㳯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8" t="inlineStr">
        <is>
          <t>A6B78040E328186CA784760D6DFE1E94</t>
        </is>
      </c>
    </row>
    <row r="9">
      <c r="A9" t="inlineStr">
        <is>
          <t>_DM|LnkdItm|_bdm.e59dd4eb15b74531abc6f0cb7224a7f8.edm|_bdm.843bfed9f12043cc983d36d162417e8d.edm</t>
        </is>
      </c>
      <c r="B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襣夤콊礿㳻뎧궉綕䯰翚阠痶㕾知Ⓝཉ㍄瞑䵋领琴஻ㆇ褵奿콽礽㳪뎶궆緼䮠美阚痵㕑矞Ⓛཉ㌰瞌䵉颖琪௕ㇸ襋変콠礿㳻뎧궕緹䯑翜阰痨㔲瞟⒓པ㍆瞈䵉领瑞ஊ㆙襼夘콱礮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9" t="inlineStr">
        <is>
          <t>A6B78040E328186CA784760D6DFE1E94</t>
        </is>
      </c>
    </row>
    <row r="10">
      <c r="A10" t="inlineStr">
        <is>
          <t>_DM|LnkdItm|_bdm.e59dd4eb15b74531abc6f0cb7224a7f8.edm|_bdm.afce5f9a0faa47f8aeda2b33115fb71e.edm</t>
        </is>
      </c>
      <c r="B1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㳯뎥궋緈䮈美陳痨㕓矓⒳༛㌐矂䵕颫琂ோ㇕襡変콠礣㲋돳궕經䮿羌阐疠㔁矇ⓚཟ㍑瞀䵂颔琼௜㇗襡夔콢礮㳹돓궈緧䮲羌陭病㕹矏Ⓝཉ㍄瞑䵋领琨ௗㆦ褳変켁祯㲫뎥권緧䮢翸防疤㕎矍⒠༁㌖瞙䵒颐琽௚㇜襳夞콢礿㲔돣궈緧䮠美阃疌㔵瞿⒂༎㌁矿䴞飋瑪எㆇ襼夑콢礿㲋돁귧綠䯡翚阑疧㔇瞛⒌༄㍙瞓䵝颕琿௉㇕褑奯켒祺㲸돓귚綵䮿羌陥痼㕅矍Ⓝ༹㌠矷䴹飃瑫டㆹ褤奝콽礽㳨뎴궗緥䯒翪阕疚㔖瞌⒗༻㌍矖䴃飒琵௉㇆襹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10" t="inlineStr">
        <is>
          <t>A6B78040E328186CA784760D6DFE1E94</t>
        </is>
      </c>
    </row>
    <row r="11">
      <c r="A11" t="inlineStr">
        <is>
          <t>_DM|LnkdItm|_bdm.e59dd4eb15b74531abc6f0cb7224a7f8.edm|_bdm.b95957e6a43a48e0aef953f33cd351a9.edm</t>
        </is>
      </c>
      <c r="B1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㳨뎥궋緈䮈美陳痨㕓矓⒳༛㌐矂䵕颫琂ோ㇕襡変콠礣㲋돳궕經䮿羌阐疠㔁矇ⓚཟ㍑瞀䵂颔琻௛㇗襡夔콢礮㳹돓궈緧䮲羌陭病㕹矏Ⓝཉ㍄瞑䵋领琨ௗㆦ褳変켁祯㲫뎥권緧䮢翸防疤㕎矍⒠༁㌖瞙䵒颐琽௚㇜襳夙콢礿㲔돣궈緧䮠美阃疌㔵瞿⒂༎㌁矿䴞飋瑪எㆇ襼夑콢礿㲋돁귧綠䯡翚阑疧㔇瞛⒌༄㍙瞓䵝颕琿௉㇕褑奯켒祺㲸돓귚綵䮿羌陥痼㕅矍Ⓝ༹㌠矷䴹飃瑫டㆹ褤奝콽礽㳯뎿궗緥䯒翪阕疚㔖瞌⒗༻㌍矖䴃飒琵௉㇀襰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11" t="inlineStr">
        <is>
          <t>A6B78040E328186CA784760D6DFE1E94</t>
        </is>
      </c>
    </row>
    <row r="12">
      <c r="A12" t="inlineStr">
        <is>
          <t>_DM|LnkdItm|_bdm.e59dd4eb15b74531abc6f0cb7224a7f8.edm|_bdm.39a04ef41d564c75bc4914a622d40678.edm</t>
        </is>
      </c>
      <c r="B1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颓琱௛㇁襹夗콍礕㳻뎧궕緹䯒翜阧疻㕍矢ⓩཉ㍄瞑䵋领琨ௗㆥ褳変켖礢㳹뎲권緵䮶羖陱痨㔺矒Ⓛམ㍆瞑䴿颛琪௛㇗西夣콠礿㳻뎧궕緥䮢羒阀疺㔐矏⒢༙㌔瞌䵉颟琪ோㆣ褠夔콢礧㳮뎷궁緽䮠美阜疤㔗矒Ⓛཋ㍄矡䴯飠瑘ஊ㆒褤奜켭祽㲾뎺궗緽䮠美阃疌㔵瞽⒆༊㌐石䴄飒瑼஄㆘襼够콲礬㳹돗귱綃䯐翋阰疼㔧瞀⒓པ㍆瞇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2" t="inlineStr">
        <is>
          <t>A6B78040E328186CA784760D6DFE1E94</t>
        </is>
      </c>
    </row>
    <row r="13">
      <c r="A13" t="inlineStr">
        <is>
          <t>_DM|LnkdItm|_bdm.e59dd4eb15b74531abc6f0cb7224a7f8.edm|_bdm.5ce06d7891f1472f8317fd1124453c03.edm</t>
        </is>
      </c>
      <c r="B1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颟琽௝㇌襲夗콍礕㳻뎧궕緹䯒翜阧疻㕍矢ⓩཉ㍄瞑䵋领琨ௗㆥ褳変켖礢㳹뎾궀緳䮻羝陱痨㔺矒Ⓛམ㍆瞑䴿颛琪௛㇗西夣콠礿㳻뎧궕緥䮢羒阀疺㔐矏⒢༙㌔瞌䵉颟琪ோㆣ褠夔콢礧㳢뎱권緶䮠美阜疤㔗矒Ⓛཋ㍄矡䴯飠瑘ஊ㆒褤奜켭祽㲾뎺궗緽䮠美阃疌㔵瞽⒆༊㌐石䴄飒瑼஄㆘襼够콲礬㳹돗귱綃䯐翋阰疼㔧瞀⒓པ㍆瞇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3" t="inlineStr">
        <is>
          <t>A6B78040E328186CA784760D6DFE1E94</t>
        </is>
      </c>
    </row>
    <row r="14">
      <c r="A14" t="inlineStr">
        <is>
          <t>_DM|LnkdItm|_bdm.e59dd4eb15b74531abc6f0cb7224a7f8.edm|_bdm.92a9cfaa3aa2443c9f02125efe4c0365.edm</t>
        </is>
      </c>
      <c r="B1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频琻௚㇌襣夤콊礿㳻뎧궉綕䯰翚阠痶㕾知Ⓝཉ㍄瞑䵋领琴஻ㆇ褵奿콽礽㳪뎴궄緼䮠美阚痵㕑矞Ⓛཉ㌰瞌䵉颖琪௕ㇸ襋変콠礿㳻뎧궕緹䯑翜阰痨㔲瞟⒓པ㍆瞈䵉领瑞ஊ㆙襼夘콷礬㳪뎥궕綊䯮翊陮痪㕑矏⒳༭㌢矡䴊飁瑭஥ㆀ褬奌켲礢㳹뎥궕綕䯆翨阁疭㔐瞛⒡༆㌐矅䴄飋琵௉㇀襸夋콠祏㲟돕귐綦䯶翺阼疸㕎矍ⓕཙ㍓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14" t="inlineStr">
        <is>
          <t>A6B78040E328186CA784760D6DFE1E94</t>
        </is>
      </c>
    </row>
    <row r="15">
      <c r="A15" t="inlineStr">
        <is>
          <t>_DM|LnkdItm|_bdm.e59dd4eb15b74531abc6f0cb7224a7f8.edm|_bdm.a2119c73c3874f0ebf0bb0a099aa05c2.edm</t>
        </is>
      </c>
      <c r="B1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琼௛㇇襣夤콊礿㳻뎧궉綕䯰翚阠痶㕾知Ⓝཉ㍄瞑䵋领琴஻ㆇ褵奿콽礽㳪뎳궅緷䮠美阚痵㕑矞Ⓛཉ㌰瞌䵉颖琪௕ㇸ襋変콠礿㳻뎧궕緹䯑翜阰痨㔲瞟⒓པ㍆瞈䵉领瑞ஊ㆙襼夘콸礫㳫뎥궕綊䯮翊陮痪㕑矏⒳༭㌢矡䴊飁瑭஥ㆀ褬奌켲礢㳹뎥궕綕䯆翨阁疭㔐瞛⒡༆㌐矅䴄飋琵௉㇀襸夋콠祏㲟돕귐綦䯶翺阼疸㕎矍ⓕཙ㍓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15" t="inlineStr">
        <is>
          <t>A6B78040E328186CA784760D6DFE1E94</t>
        </is>
      </c>
    </row>
    <row r="16">
      <c r="A16" t="inlineStr">
        <is>
          <t>_DM|LnkdItm|_bdm.e59dd4eb15b74531abc6f0cb7224a7f8.edm|_bdm.3e92bbfa1f4e41f2a8e2d49e0ecc9e85.edm</t>
        </is>
      </c>
      <c r="B1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琽௘㇗西夣콠礿㳻뎻귥綷䯶翝陭病㕹矏Ⓝཉ㍄瞑䵋颚瑘ஙㆁ襡夔콢礮㳣뎴궗緥䯋羓陱痹㕑矏Ⓑཔ㍆瞁䵉题琅௡㇕襡変콠礿㳻뎻귦綷䯡美阒疸㔃矒Ⓛཐ㍆瞑䴽飇瑤௖㇗襰夜콳礽㳻돫귑緸䮠羌陳疘㔷瞩⒳༈㌃矔䴥飓瑥உ㆐褳夋콸礽㳻돃귳綗䯧翍阧疊㔜瞛⒗༆㌉瞌䵉颓琰௞㇗襡奭켆祍㲾돳귡綪䯲羓陱痽㕊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16" t="inlineStr">
        <is>
          <t>A6B78040E328186CA784760D6DFE1E94</t>
        </is>
      </c>
    </row>
    <row r="17">
      <c r="A17" t="inlineStr">
        <is>
          <t>_DM|LnkdItm|_bdm.e59dd4eb15b74531abc6f0cb7224a7f8.edm|_bdm.4d829223250e488cb382c812fe8789a4.edm</t>
        </is>
      </c>
      <c r="B1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琾௞㇗西夣콠礿㳻뎻귥綷䯶翝陭病㕹矏Ⓝཉ㍄瞑䵋颚瑘ஙㆁ襡夔콢礭㳬뎲궗緥䯋羓陱痹㕑矏Ⓑཔ㍆瞁䵉题琅௡㇕襡変콠礿㳻뎻귦綷䯡美阒疸㔃矒Ⓛཐ㍆瞑䴽飇瑤௖㇗襳够콵礽㳻돫귑緸䮠羌陳疘㔷瞩⒳༈㌃矔䴥飓瑥உ㆐褳夋콸礽㳻돃귳綗䯧翍阧疊㔜瞛⒗༆㌉瞌䵉颓琰௞㇗襡奭켆祍㲾돳귡綪䯲羓陱痽㕊矚Ⓛ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17" t="inlineStr">
        <is>
          <t>A6B78040E328186CA784760D6DFE1E94</t>
        </is>
      </c>
    </row>
    <row r="18">
      <c r="A18" t="inlineStr">
        <is>
          <t>_DM|LnkdItm|_bdm.e59dd4eb15b74531abc6f0cb7224a7f8.edm|_bdm.fc6d349a487f42a9b564595b2a7cd5c8.edm</t>
        </is>
      </c>
      <c r="B1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琼௜㇅襵夗콍礕㳻뎧궕緹䯒翜阧疻㕍矢ⓩཉ㍄瞑䵋领琨ௗㆥ褳変켖礢㳹뎴궁緲䮲羚陱痨㔺矒Ⓛམ㍆瞑䴿颛琪௛㇗西夣콠礿㳻뎧궕緥䮢羒阀疺㔐矏⒢༙㌔瞌䵉颟琪ோㆣ褠夔콢礭㳨뎰궅緱䮠美阜疤㔗矒Ⓛཋ㍄矡䴯飠瑘ஊ㆒褤奜켭祽㲾뎺궗緽䮠美阃疌㔵瞽⒆༊㌐石䴄飒瑼஄㆘襼夜콶礮㳹돗귱綃䯐翋阰疼㔧瞀⒓པ㍆瞄䵜颖琪ோㆥ褅奻켥祼㲯돢귓綱䮿羌陠痽㕇矍Ⓝ༹㌠矷䴹飃瑫டㆧ褨奁켴礢㳹뎿궂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8" t="inlineStr">
        <is>
          <t>A6B78040E328186CA784760D6DFE1E94</t>
        </is>
      </c>
    </row>
    <row r="19">
      <c r="A19" t="inlineStr">
        <is>
          <t>_DM|LnkdItm|_bdm.e59dd4eb15b74531abc6f0cb7224a7f8.edm|_bdm.62f44865facf49f7bc84445fdb926160.edm</t>
        </is>
      </c>
      <c r="B1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琰௞㇃襴夗콍礕㳻뎧궕緹䯒翜阧疻㕍矢ⓩཉ㍄瞑䵋领琨ௗㆥ褳変켖礢㳹뎿궍緰䮴羛陱痨㔺矒Ⓛམ㍆瞑䴿颛琪௛㇗西夣콠礿㳻뎧궕緥䮢羒阀疺㔐矏⒢༙㌔瞌䵉颟琪ோㆣ褠夔콢礭㳣뎲궃緰䮠美阜疤㔗矒Ⓛཋ㍄矡䴯飠瑘ஊ㆒褤奜켭祽㲾뎺궗緽䮠美阃疌㔵瞽⒆༊㌐石䴄飒瑼஄㆘襼夜콶礮㳹돗귱綃䯐翋阰疼㔧瞀⒓པ㍆瞄䵜颖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9" t="inlineStr">
        <is>
          <t>A6B78040E328186CA784760D6DFE1E94</t>
        </is>
      </c>
    </row>
    <row r="20">
      <c r="A20" t="inlineStr">
        <is>
          <t>_DM|LnkdItm|_bdm.e59dd4eb15b74531abc6f0cb7224a7f8.edm|_bdm.0330a35986f54efcaceaee51f9ab1be8.edm</t>
        </is>
      </c>
      <c r="B2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琹௚㇗西夣콠礿㳻뎻귥綷䯶翝陭病㕹矏Ⓝཉ㍄瞑䵋颚瑘ஙㆁ襡夔콢礭㳣뎶궗緥䯋羓陱痹㕑矏Ⓑཔ㍆瞁䵉题琅௡㇕襡変콠礿㳻뎻귦綷䯡美阒疸㔃矒Ⓛཐ㍆瞑䴽飇瑤௖㇗襳夘콱礽㳻돫귑緸䮠羌陳疘㔷瞩⒳༈㌃矔䴥飓瑥உ㆐褳夋콸礽㳻돃귳綗䯧翍阧疊㔜瞛⒗༆㌉瞌䵉颓琼௓㇗襡奭켆祍㲾돳귡綪䯲羓陱痽㕆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20" t="inlineStr">
        <is>
          <t>A6B78040E328186CA784760D6DFE1E94</t>
        </is>
      </c>
    </row>
    <row r="21">
      <c r="A21" t="inlineStr">
        <is>
          <t>_DM|LnkdItm|_bdm.e59dd4eb15b74531abc6f0cb7224a7f8.edm|_bdm.0945f159e4244c53aa8bd0df16965075.edm</t>
        </is>
      </c>
      <c r="B2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琿௒㇗西夣콠礿㳻뎻귥綷䯶翝陭病㕹矏Ⓝཉ㍄瞑䵋颚瑘ஙㆁ襡夔콢礭㳬뎾궗緥䯋羓陱痹㕑矏Ⓑཔ㍆瞁䵉题琅௡㇕襡変콠礿㳻뎻귦綷䯡美阒疸㔃矒Ⓛཐ㍆瞑䴽飇瑤௖㇗襳夞콹礽㳻돫귑緸䮠羌陳疘㔷瞩⒳༈㌃矔䴥飓瑥உ㆐褳夋콸礽㳻돃귳綗䯧翍阧疊㔜瞛⒗༆㌉瞌䵉颓琼௓㇗襡奭켆祍㲾돳귡綪䯲羓陱痽㕆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礷澃Ꙭ뎽�㏂ᨄ羇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21" t="inlineStr">
        <is>
          <t>A6B78040E328186CA784760D6DFE1E94</t>
        </is>
      </c>
    </row>
    <row r="22">
      <c r="A22" t="inlineStr">
        <is>
          <t>_DM|LnkdItm|_bdm.e59dd4eb15b74531abc6f0cb7224a7f8.edm|_bdm.a146bceaa25a487fbbda7946827d2fe8.edm</t>
        </is>
      </c>
      <c r="B2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㳭뎹궸総䮢美陳痨㕏瞿⒑༝㌗瞏䵦颬琨ோ㇕襡変콼祏㲩뎧귣緸䮠翭阻疺㕛矖ⓕཛྷ㍕瞘䵝颐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多콶礧㳹돗귱綃䯐翋阰疼㔡瞆⒄༁㌐瞌䵉颕琰௜㇗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彣я珁挩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22" t="inlineStr">
        <is>
          <t>A6B78040E328186CA784760D6DFE1E94</t>
        </is>
      </c>
    </row>
    <row r="23">
      <c r="A23" t="inlineStr">
        <is>
          <t>_DM|LnkdItm|_bdm.e59dd4eb15b74531abc6f0cb7224a7f8.edm|_bdm.8cecc82cb72b4ee295779bd01083d00d.edm</t>
        </is>
      </c>
      <c r="B2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㳪뎹궸総䮢美陳痨㕏瞿⒑༝㌗瞏䵦颬琨ோ㇕襡変콼祏㲩뎧귣緸䮠翭阻疺㕛矖ⓕཛྷ㍕瞘䵝颗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夝콹礬㳹돗귱綃䯐翋阰疼㔡瞆⒄༁㌐瞌䵉颓琹௚㇗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23" t="inlineStr">
        <is>
          <t>A6B78040E328186CA784760D6DFE1E94</t>
        </is>
      </c>
    </row>
    <row r="24">
      <c r="A24" t="inlineStr">
        <is>
          <t>_DM|LnkdItm|_bdm.e59dd4eb15b74531abc6f0cb7224a7f8.edm|_bdm.3746b6d658ce48bcbf2e3430e49aeed5.edm</t>
        </is>
      </c>
      <c r="B2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琿௟㇁襸夗콍礕㳻뎧궕緹䯒翜阧疻㕍矢ⓩཉ㍄瞑䵋领琨ௗㆥ褳変켖礢㳹뎴궂緱䮶羗陱痨㔺矒Ⓛམ㍆瞑䴿颛琪௛㇗西夣콠礿㳻뎧궕緥䮢羒阀疺㔐矏⒢༙㌔瞌䵉颟琪ோㆣ褠夔콢礭㳨뎳궁緼䮠美阜疤㔗矒Ⓛཋ㍄矡䴯飠瑘ஊ㆒褤奜켭祽㲾뎺궗緽䮠美阃疌㔵瞽⒆༊㌐石䴄飒瑼஄㆘襼夜콲礬㳹돗귱綃䯐翋阰疼㔧瞀⒓པ㍆瞄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24" t="inlineStr">
        <is>
          <t>A6B78040E328186CA784760D6DFE1E94</t>
        </is>
      </c>
    </row>
    <row r="25">
      <c r="A25" t="inlineStr">
        <is>
          <t>_DM|LnkdItm|_bdm.e59dd4eb15b74531abc6f0cb7224a7f8.edm|_bdm.0c029cfe5bdb417b87c4728b15a65d55.edm</t>
        </is>
      </c>
      <c r="B2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颟琹௙㇍襳夗콍礕㳻뎧궕緹䯒翜阧疻㕍矢ⓩཉ㍄瞑䵋领琨ௗㆥ褳変켖礢㳹뎾궄緷䮺羜陱痨㔺矒Ⓛམ㍆瞑䴿颛琪௛㇗西夣콠礿㳻뎧궕緥䮢羒阀疺㔐矏⒢༙㌔瞌䵉颟琪ோㆣ褠夔콢礭㳢뎵궍緷䮠美阜疤㔗矒Ⓛཋ㍄矡䴯飠瑘ஊ㆒褤奜켭祽㲾뎺궗緽䮠美阃疌㔵瞽⒆༊㌐石䴄飒瑼஄㆘襼夜콲礬㳹돗귱綃䯐翋阰疼㔧瞀⒓པ㍆瞄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25" t="inlineStr">
        <is>
          <t>A6B78040E328186CA784760D6DFE1E94</t>
        </is>
      </c>
    </row>
    <row r="26">
      <c r="A26" t="inlineStr">
        <is>
          <t>_DM|LnkdItm|_bdm.e59dd4eb15b74531abc6f0cb7224a7f8.edm|_bdm.69e237e6ceee4b54821b9bceb0f2d6b7.edm</t>
        </is>
      </c>
      <c r="B2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琾௝㇇襳夗콍礕㳻뎧궕緹䯒翜阧疻㕍矢ⓩཉ㍄瞑䵋领琨ௗㆥ褳変켖礢㳹뎲궃緳䮰羜陱痨㔺矒Ⓛམ㍆瞑䴿颛琪௛㇗西夣콠礿㳻뎧궕緥䮢羒阀疺㔐矏⒢༙㌔瞌䵉颟琪ோㆣ褠夔콢礭㳮뎱궇緷䮠美阜疤㔗矒Ⓛཋ㍄矡䴯飠瑘ஊ㆒褤奜켭祽㲾뎺궗緽䮠美阃疌㔵瞽⒆༊㌐石䴄飒瑼஄㆘襼夜콱礯㳹돗귱綃䯐翋阰疼㔧瞀⒓པ㍆瞄䵚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6" t="inlineStr">
        <is>
          <t>A6B78040E328186CA784760D6DFE1E94</t>
        </is>
      </c>
    </row>
    <row r="27">
      <c r="A27" t="inlineStr">
        <is>
          <t>_DM|LnkdItm|_bdm.e59dd4eb15b74531abc6f0cb7224a7f8.edm|_bdm.6b0dbf24b1b948c497f844c5219f4f08.edm</t>
        </is>
      </c>
      <c r="B2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琺௟㇀襱夗콍礕㳻뎧궕緹䯒翜阧疻㕍矢ⓩཉ㍄瞑䵋领琨ௗㆥ褳変켖礢㳹뎶궇緱䮷羞陱痨㔺矒Ⓛམ㍆瞑䴿颛琪௛㇗西夣콠礿㳻뎧궕緥䮢羒阀疺㔐矏⒢༙㌔瞌䵉颟琪ோㆣ褠夔콢礬㳪뎳궀緵䮠美阜疤㔗矒Ⓛཋ㍄矡䴯飠瑘ஊ㆒褤奜켭祽㲾뎺궗緽䮠美阃疌㔵瞽⒆༊㌐石䴄飒瑼஄㆘襼夜콱礯㳹돗귱綃䯐翋阰疼㔧瞀⒓པ㍆瞄䵚颟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7" t="inlineStr">
        <is>
          <t>A6B78040E328186CA784760D6DFE1E94</t>
        </is>
      </c>
    </row>
    <row r="28">
      <c r="A28" t="inlineStr">
        <is>
          <t>_DM|LnkdItm|_bdm.e59dd4eb15b74531abc6f0cb7224a7f8.edm|_bdm.87a217273d234beda9d7c9774acb2d27.edm</t>
        </is>
      </c>
      <c r="B2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㳯뎱궗緥䯒翪阕疚㔖瞌⒗༽㌋矁䵖预琽௛㇃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8" t="inlineStr">
        <is>
          <t>A6B78040E328186CA784760D6DFE1E94</t>
        </is>
      </c>
    </row>
    <row r="29">
      <c r="A29" t="inlineStr">
        <is>
          <t>_DM|LnkdItm|_bdm.e59dd4eb15b74531abc6f0cb7224a7f8.edm|_bdm.87208c592b27454ca436344ec17fde9d.edm</t>
        </is>
      </c>
      <c r="B2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㳯뎱궗緥䯒翪阕疚㔖瞌⒗༽㌋矁䵖预琽௛㇃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29" t="inlineStr">
        <is>
          <t>A6B78040E328186CA784760D6DFE1E94</t>
        </is>
      </c>
    </row>
    <row r="30">
      <c r="A30" t="inlineStr">
        <is>
          <t>_DM|LnkdItm|_bdm.e59dd4eb15b74531abc6f0cb7224a7f8.edm|_bdm.f187f9219770498683f8de92d8d555d3.edm</t>
        </is>
      </c>
      <c r="B3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颐琼௓㇗西夣콠礿㳻뎻귥綷䯶翝陭病㕹矏Ⓝཉ㍄瞑䵋颚瑘ஙㆁ襡夔콢礦㳭뎿궗緥䯋羓陱痹㕑矏Ⓑཔ㍆瞁䵉题琅௡㇕襡変콠礿㳻뎻귦綷䯡美阒疸㔃矒Ⓛཐ㍆瞑䴽飇瑤௖㇗襸夝콸礽㳻돫귑緸䮠羌陳疘㔷瞩⒳༈㌃矔䴥飓瑥உ㆐褳夋콸礽㳻돃귳綗䯧翍阧疊㔜瞛⒗༆㌉瞌䵉颒琽௒㇗襡奭켆祍㲾돳귡綪䯲羓陱痼㕅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0" t="inlineStr">
        <is>
          <t>A6B78040E328186CA784760D6DFE1E94</t>
        </is>
      </c>
    </row>
    <row r="31">
      <c r="A31" t="inlineStr">
        <is>
          <t>_DM|LnkdItm|_bdm.e59dd4eb15b74531abc6f0cb7224a7f8.edm|_bdm.3653dce641d8438e8ab1e8ae4a0db03d.edm</t>
        </is>
      </c>
      <c r="B3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频琽௚㇗西夣콠礿㳻뎻귥綷䯶翝陭病㕹矏Ⓝཉ㍄瞑䵋颚瑘ஙㆁ襡夔콢礨㳬뎶궗緥䯋羓陱痹㕑矏Ⓑཔ㍆瞁䵉题琅௡㇕襡変콠礿㳻뎻귦綷䯡美阒疸㔃矒Ⓛཐ㍆瞑䴽飇瑤௖㇗襶夜콱礽㳻돫귑緸䮠羌陳疘㔷瞩⒳༈㌃矔䴥飓瑥உ㆐褳夋콸礽㳻돃귳綗䯧翍阧疊㔜瞛⒗༆㌉瞌䵉颒琽௒㇗襡奭켆祍㲾돳귡綪䯲羓陱痼㕅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1" t="inlineStr">
        <is>
          <t>A6B78040E328186CA784760D6DFE1E94</t>
        </is>
      </c>
    </row>
    <row r="32">
      <c r="A32" t="inlineStr">
        <is>
          <t>_DM|LnkdItm|_bdm.e59dd4eb15b74531abc6f0cb7224a7f8.edm|_bdm.b86fce506bb946a8ad7b9a7c87fc7518.edm</t>
        </is>
      </c>
      <c r="B3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琻௓㇂襣夤콊礿㳻뎧궉綕䯰翚阠痶㕾知Ⓝཉ㍄瞑䵋领琴஻ㆇ褵奿콽礽㳪뎴궍緲䮠美阚痵㕑矞Ⓛཉ㌰瞌䵉颖琪௕ㇸ襋変콠礿㳻뎧궕緹䯑翜阰痨㔲瞟⒓པ㍆瞈䵉领瑞ஊ㆙襼夘콴礬㳣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2" t="inlineStr">
        <is>
          <t>A6B78040E328186CA784760D6DFE1E94</t>
        </is>
      </c>
    </row>
    <row r="33">
      <c r="A33" t="inlineStr">
        <is>
          <t>_DM|LnkdItm|_bdm.e59dd4eb15b74531abc6f0cb7224a7f8.edm|_bdm.48ff3655011a4e0ca8877f451f96b5ea.edm</t>
        </is>
      </c>
      <c r="B3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琽௞㇂襣夤콊礿㳻뎧궉綕䯰翚阠痶㕾知Ⓝཉ㍄瞑䵋领琴஻ㆇ褵奿콽礽㳨뎲궀緲䮠美阚痵㕑矞Ⓛཉ㌰瞌䵉颖琪௕ㇸ襋変콠礿㳻뎧궕緹䯑翜阰痨㔲瞟⒓པ㍆瞈䵉领瑞ஊ㆙襼多콲礪㳮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3" t="inlineStr">
        <is>
          <t>A6B78040E328186CA784760D6DFE1E94</t>
        </is>
      </c>
    </row>
    <row r="34">
      <c r="A34" t="inlineStr">
        <is>
          <t>_DM|LnkdItm|_bdm.e59dd4eb15b74531abc6f0cb7224a7f8.edm|_bdm.e76f68028576400ab5bac67587cfa123.edm</t>
        </is>
      </c>
      <c r="B3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频琼௞㇗西夣콠礿㳻뎻귥綷䯶翝陭病㕹矏Ⓝཉ㍄瞑䵋颚瑘ஙㆁ襡夔콢礪㳬뎲궗緥䯋羓陱痹㕑矏Ⓑཔ㍆瞁䵉题琅௡㇕襡変콠礿㳻뎻귦綷䯡美阒疸㔃矒Ⓛཐ㍆瞑䴽飇瑤௖㇗襴夝콵礽㳻돫귑緸䮠羌陳疘㔷瞩⒳༈㌃矔䴥飓瑥உ㆐褳夋콸礽㳻돃귳綗䯧翍阧疊㔜瞛⒗༆㌉瞌䵉颒琻௟㇗襡奭켆祍㲾돳귡綪䯲羓陱痼㕇矛Ⓛ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뭬⎤탥㋟솊⇚죵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34" t="inlineStr">
        <is>
          <t>A6B78040E328186CA784760D6DFE1E94</t>
        </is>
      </c>
    </row>
    <row r="35">
      <c r="A35" t="inlineStr">
        <is>
          <t>_DM|LnkdItm|_bdm.e59dd4eb15b74531abc6f0cb7224a7f8.edm|_bdm.b68356bbd8e74335b16f1bc5a74b0166.edm</t>
        </is>
      </c>
      <c r="B3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颗琹௓㇗西夣콠礿㳻뎻귥綷䯶翝陭病㕹矏Ⓝཉ㍄瞑䵋颚瑘ஙㆁ襡夔콢礩㳪뎿궗緥䯋羓陱痹㕑矏Ⓑཔ㍆瞁䵉题琅௡㇕襡変콠礿㳻뎻귦綷䯡美阒疸㔃矒Ⓛཐ㍆瞑䴽飇瑤௖㇗襷夘콸礽㳻돫귑緸䮠羌陳疘㔷瞩⒳༈㌃矔䴥飓瑥உ㆐褳夋콸礽㳻돃귳綗䯧翍阧疊㔜瞛⒗༆㌉瞌䵉颒琻௟㇗襡奭켆祍㲾돳귡綪䯲羓陱痼㕇矛Ⓛ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緿㷼ㆩ쟕痡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5" t="inlineStr">
        <is>
          <t>A6B78040E328186CA784760D6DFE1E94</t>
        </is>
      </c>
    </row>
    <row r="36">
      <c r="A36" t="inlineStr">
        <is>
          <t>_DM|LnkdItm|_bdm.e59dd4eb15b74531abc6f0cb7224a7f8.edm|_bdm.bc989a8150bf486d8a221c51ec55a13c.edm</t>
        </is>
      </c>
      <c r="B3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琿௞㇄襣夤콊礿㳻뎧궉綕䯰翚阠痶㕾知Ⓝཉ㍄瞑䵋领琴஻ㆇ褵奿콽礽㳪뎰궀練䮠美阚痵㕑矞Ⓛཉ㌰瞌䵉颖琪௕ㇸ襋変콠礿㳻뎧궕緹䯑翜阰痨㔲瞟⒓པ㍆瞈䵉领瑞ஊ㆙襼夘콴礨㳮뎥궕綊䯮翊陮痪㕑矏⒳༭㌢矡䴊飁瑭஥ㆀ褬奌켲礢㳹뎥궕綕䯆翨阁疭㔐瞛⒡༆㌐矅䴄飋琵௉㇁襳夋콠祏㲟돕귐綦䯶翺阼疸㕎矍ⓗཚ㍕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6" t="inlineStr">
        <is>
          <t>A6B78040E328186CA784760D6DFE1E94</t>
        </is>
      </c>
    </row>
    <row r="37">
      <c r="A37" t="inlineStr">
        <is>
          <t>_DM|LnkdItm|_bdm.e59dd4eb15b74531abc6f0cb7224a7f8.edm|_bdm.aa92d9440cde4e01937dc9e243514552.edm</t>
        </is>
      </c>
      <c r="B3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琼௘㇍襣夤콊礿㳻뎧궉綕䯰翚阠痶㕾知Ⓝཉ㍄瞑䵋领琴஻ㆇ褵奿콽礽㳪뎳궆緽䮠美阚痵㕑矞Ⓛཉ㌰瞌䵉颖琪௕ㇸ襋変콠礿㳻뎧궕緹䯑翜阰痨㔲瞟⒓པ㍆瞈䵉领瑞ஊ㆙襼夘콶礫㳨뎥궕綊䯮翊陮痪㕑矏⒳༭㌢矡䴊飁瑭஥ㆀ褬奌켲礢㳹뎥궕綕䯆翨阁疭㔐瞛⒡༆㌐矅䴄飋琵௉㇁襳夋콠祏㲟돕귐綦䯶翺阼疸㕎矍ⓗཚ㍕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37" t="inlineStr">
        <is>
          <t>A6B78040E328186CA784760D6DFE1E94</t>
        </is>
      </c>
    </row>
    <row r="38">
      <c r="A38" t="inlineStr">
        <is>
          <t>_DM|LnkdItm|_bdm.e59dd4eb15b74531abc6f0cb7224a7f8.edm|_bdm.fd2d0796b5624982925444b56a803c98.edm</t>
        </is>
      </c>
      <c r="B3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颒琽௘㇇襣夤콊礿㳻뎧궉綕䯰翚阠痶㕾知Ⓝཉ㍄瞑䵋领琴஻ㆇ褵奿콽礽㳯뎲궆緷䮠美阚痵㕑矞Ⓛཉ㌰瞌䵉颖琪௕ㇸ襋変콠礿㳻뎧궕緹䯑翜阰痨㔲瞟⒓པ㍆瞈䵉领瑞ஊ㆙襼夝콴礪㳨뎥궕綊䯮翊陮痪㕑矏⒳༭㌢矡䴊飁瑭஥ㆀ褬奌켲礢㳹뎥궕綕䯆翨阁疭㔐瞛⒡༆㌐矅䴄飋琵௉㇁襱夋콠祏㲟돕귐綦䯶翺阼疸㕎矍ⓗམ㍜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8" t="inlineStr">
        <is>
          <t>A6B78040E328186CA784760D6DFE1E94</t>
        </is>
      </c>
    </row>
    <row r="39">
      <c r="A39" t="inlineStr">
        <is>
          <t>_DM|LnkdItm|_bdm.e59dd4eb15b74531abc6f0cb7224a7f8.edm|_bdm.f535ca5f6a3744f892675e343bfcedc6.edm</t>
        </is>
      </c>
      <c r="B3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颔琰௝㇀襣夤콊礿㳻뎧궉綕䯰翚阠痶㕾知Ⓝཉ㍄瞑䵋领琴஻ㆇ褵奿콽礽㳭뎿궃緰䮠美阚痵㕑矞Ⓛཉ㌰瞌䵉颖琪௕ㇸ襋変콠礿㳻뎧궕緹䯑翜阰痨㔲瞟⒓པ㍆瞈䵉领瑞ஊ㆙襼够콲礧㳭뎥궕綊䯮翊陮痪㕑矏⒳༭㌢矡䴊飁瑭஥ㆀ褬奌켲礢㳹뎥궕綕䯆翨阁疭㔐瞛⒡༆㌐矅䴄飋琵௉㇁襱夋콠祏㲟돕귐綦䯶翺阼疸㕎矍ⓗམ㍜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9" t="inlineStr">
        <is>
          <t>A6B78040E328186CA784760D6DFE1E94</t>
        </is>
      </c>
    </row>
    <row r="40">
      <c r="A40" t="inlineStr">
        <is>
          <t>_DM|LnkdItm|_bdm.e59dd4eb15b74531abc6f0cb7224a7f8.edm|_bdm.6fee59ea486f48da86829a14357a94b9.edm</t>
        </is>
      </c>
      <c r="B4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颗琿௓㇗西夣콠礿㳻뎻귥綷䯶翝陭病㕹矏Ⓝཉ㍄瞑䵋颚瑘ஙㆁ襡夔콢礪㳪뎿궗緥䯋羓陱痹㕑矏Ⓑཔ㍆瞁䵉题琅௡㇕襡変콠礿㳻뎻귦綷䯡美阒疸㔃矒Ⓛཐ㍆瞑䴽飇瑤௖㇗襴夞콸礽㳻돫귑緸䮠羌陳疘㔷瞩⒳༈㌃矔䴥飓瑥உ㆐褳夋콸礽㳻돃귳綗䯧翍阧疊㔜瞛⒗༆㌉瞌䵉颕琱௞㇗襡奭켆祍㲾돳귡綪䯲羓陱痼㕃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40" t="inlineStr">
        <is>
          <t>A6B78040E328186CA784760D6DFE1E94</t>
        </is>
      </c>
    </row>
    <row r="41">
      <c r="A41" t="inlineStr">
        <is>
          <t>_DM|LnkdItm|_bdm.e59dd4eb15b74531abc6f0cb7224a7f8.edm|_bdm.1afd5f8d45e142628ff454434cdbef19.edm</t>
        </is>
      </c>
      <c r="B4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颔琰௝㇗西夣콠礿㳻뎻귥綷䯶翝陭病㕹矏Ⓝཉ㍄瞑䵋颚瑘ஙㆁ襡夔콢礪㳩뎱궗緥䯋羓陱痹㕑矏Ⓑཔ㍆瞁䵉题琅௡㇕襡変콠礿㳻뎻귦綷䯡美阒疸㔃矒Ⓛཐ㍆瞑䴽飇瑤௖㇗襴夑콶礽㳻돫귑緸䮠羌陳疘㔷瞩⒳༈㌃矔䴥飓瑥உ㆐褳夋콸礽㳻돃귳綗䯧翍阧疊㔜瞛⒗༆㌉瞌䵉颕琱௞㇗襡奭켆祍㲾돳귡綪䯲羓陱痼㕃矚Ⓛ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41" t="inlineStr">
        <is>
          <t>A6B78040E328186CA784760D6DFE1E94</t>
        </is>
      </c>
    </row>
    <row r="42">
      <c r="A42" t="inlineStr">
        <is>
          <t>_DM|LnkdItm|_bdm.e59dd4eb15b74531abc6f0cb7224a7f8.edm|_bdm.9e2bdb03034a4bcbb396c52e2a2dc254.edm</t>
        </is>
      </c>
      <c r="B4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颟琿௚㇄襣夤콊礿㳻뎧궉綕䯰翚阠痶㕾知Ⓝཉ㍄瞑䵋领琴஻ㆇ褵奿콽礽㳯뎰궄練䮠美阚痵㕑矞Ⓛཉ㌰瞌䵉颖琪௕ㇸ襋変콠礿㳻뎧궕緹䯑翜阰痨㔲瞟⒓པ㍆瞈䵉领瑞ஊ㆙襼夝콹礨㳪뎥궕綊䯮翊陮痪㕑矏⒳༭㌢矡䴊飁瑭஥ㆀ褬奌켲礢㳹뎥궕綕䯆翨阁疭㔐瞛⒡༆㌐矅䴄飋琵௉㇆襹夋콠祏㲟돕귐綦䯶翺阼疸㕎矍ⓐཐ㍕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㛒ゴᱛ⮼毕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2" t="inlineStr">
        <is>
          <t>A6B78040E328186CA784760D6DFE1E94</t>
        </is>
      </c>
    </row>
    <row r="43">
      <c r="A43" t="inlineStr">
        <is>
          <t>_DM|LnkdItm|_bdm.e59dd4eb15b74531abc6f0cb7224a7f8.edm|_bdm.66cbcd3dd60a4a9abd5c8565eeeabfa4.edm</t>
        </is>
      </c>
      <c r="B4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颞琹௞㇄襣夤콊礿㳻뎧궉綕䯰翚阠痶㕾知Ⓝཉ㍄瞑䵋领琴஻ㆇ褵奿콽礽㳭뎶궀練䮠美阚痵㕑矞Ⓛཉ㌰瞌䵉颖琪௕ㇸ襋変콠礿㳻뎧궕緹䯑翜阰痨㔲瞟⒓པ㍆瞈䵉领瑞ஊ㆙襼够콸礮㳮뎥궕綊䯮翊陮痪㕑矏⒳༭㌢矡䴊飁瑭஥ㆀ褬奌켲礢㳹뎥궕綕䯆翨阁疭㔐瞛⒡༆㌐矅䴄飋琵௉㇆襹夋콠祏㲟돕귐綦䯶翺阼疸㕎矍ⓐཐ㍕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3" t="inlineStr">
        <is>
          <t>A6B78040E328186CA784760D6DFE1E94</t>
        </is>
      </c>
    </row>
    <row r="44">
      <c r="A44" t="inlineStr">
        <is>
          <t>_DM|LnkdItm|_bdm.e59dd4eb15b74531abc6f0cb7224a7f8.edm|_bdm.29fb3dec4b7e4b589b4542bcc6a24f9d.edm</t>
        </is>
      </c>
      <c r="B4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44" t="inlineStr">
        <is>
          <t>A6B78040E328186CA784760D6DFE1E94</t>
        </is>
      </c>
    </row>
    <row r="45">
      <c r="A45" t="inlineStr">
        <is>
          <t>_DM|LnkdItm|_bdm.e59dd4eb15b74531abc6f0cb7224a7f8.edm|_bdm.f36fc030abb14e4dad84260600b67d89.edm</t>
        </is>
      </c>
      <c r="B4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5" t="inlineStr">
        <is>
          <t>A6B78040E328186CA784760D6DFE1E94</t>
        </is>
      </c>
    </row>
    <row r="46">
      <c r="A46" t="inlineStr">
        <is>
          <t>_DM|LnkdItm|_bdm.e59dd4eb15b74531abc6f0cb7224a7f8.edm|_bdm.2563e6cd75ae49abb536307dda830d96.edm</t>
        </is>
      </c>
      <c r="B4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6" t="inlineStr">
        <is>
          <t>A6B78040E328186CA784760D6DFE1E94</t>
        </is>
      </c>
    </row>
    <row r="47">
      <c r="A47" t="inlineStr">
        <is>
          <t>_DM|LnkdItm|_bdm.e59dd4eb15b74531abc6f0cb7224a7f8.edm|_bdm.4062a18645fd412897343e0da2800a8a.edm</t>
        </is>
      </c>
      <c r="B4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47" t="inlineStr">
        <is>
          <t>A6B78040E328186CA784760D6DFE1E94</t>
        </is>
      </c>
    </row>
    <row r="48">
      <c r="A48" t="inlineStr">
        <is>
          <t>_DM|LnkdItm|_bdm.e59dd4eb15b74531abc6f0cb7224a7f8.edm|_bdm.77a77f309b6a45e0a18de00b2ae59e76.edm</t>
        </is>
      </c>
      <c r="B4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琸௘㇇襳夋콾礒㳑뎧궕緥䮾翾阡疼㔀矑⓮ལ㍄瞑䵋领琨ோ㇉褑奝콠祉㳦뎶궅緵䮱羜陡痽㕑矏⒪པ㍆瞀䵉领瑜௖㇗襱夗콍礕㳻뎧궕緥䮢美陳痴㔠瞝⒀ཉ㌥矁䴛颛琪௒㇗襡奈켬礢㳹뎷궅緶䮰羜陦痪㕓瞠⒏།㍙瞓䵉领瑘யㆳ褑奎켥祑㲮돥귐綷䮿羌陫痪㕓瞿⒧༯㌶矔䴈飒瑊஄ㆁ褵奄콽礽㳨뎷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48" t="inlineStr">
        <is>
          <t>A6B78040E328186CA784760D6DFE1E94</t>
        </is>
      </c>
    </row>
    <row r="49">
      <c r="A49" t="inlineStr">
        <is>
          <t>_DM|LnkdItm|_bdm.e59dd4eb15b74531abc6f0cb7224a7f8.edm|_bdm.20bd2794141f45c388e80ab8a4b80eeb.edm</t>
        </is>
      </c>
      <c r="B4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琿௝㇇襵夋콾礒㳑뎧궕緥䮾翾阡疼㔀矑⓮ལ㍄瞑䵋领琨ோ㇉褑奝콠祉㳦뎶궅緲䮴羜陧痾㕑矏⒪པ㍆瞀䵉领瑜௖㇗襱夗콍礕㳻뎧궕緥䮢美陳痴㔠瞝⒀ཉ㌥矁䴛颛琪௒㇗襡奈켬礢㳹뎷궂緳䮰羚陥痪㕓瞠⒏།㍙瞓䵉领瑘யㆳ褑奎켥祑㲮돥귐綷䮿羌陫痪㕓瞿⒧༯㌶矔䴈飒瑊஄ㆁ褵奄콽礽㳨뎷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9" t="inlineStr">
        <is>
          <t>A6B78040E328186CA784760D6DFE1E94</t>
        </is>
      </c>
    </row>
    <row r="50">
      <c r="A50" t="inlineStr">
        <is>
          <t>_DM|LnkdItm|_bdm.e59dd4eb15b74531abc6f0cb7224a7f8.edm|_bdm.51cfd290a1074124b89fb9f4ac376687.edm</t>
        </is>
      </c>
      <c r="B5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뎲궀緧䮼羣陙痨㕓矏Ⓝཕ㌴矃䴟飕琶௦ㇿ襡変콠礿㳻돗귇綱䮢翸陮痪㔰瞇⒑ཁ㍝瞇䵞颗琡௘㇙襰夜콢礿㲒뎥궄緧䮢翺陮痪㕃矍ⓝཤ㍮瞑䵋领琨ோ㇕襡夕켓祭㲸돆귅綵䮿羌陪痪㕓瞹⒂༅㍙瞓䴨风瑺௃㇌襷夘콩礬㳷뎲궀緧䮢翡阿疬㕎矍Ⓛཉ㌴矵䴭飶瑩஌㆐褏奄켢祺㲩뎥궍緧䮢翾阗疎㔡瞊⒀༝㌦矞䴟飒瑧ஆ㇈襣夙콸礽㳻돃귳綗䯧翍阧疜㔜瞟ⓞཋ㍗瞀䵜预琨஻ㆱ複奌켣祫㲗돡귁緸䮠羝陦痼㕑矏⒳༭㌢矣䴎飅瑼ஹ㆜褦奝콽礽㳨뎱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0" t="inlineStr">
        <is>
          <t>A6B78040E328186CA784760D6DFE1E94</t>
        </is>
      </c>
    </row>
    <row r="51">
      <c r="A51" t="inlineStr">
        <is>
          <t>_DM|LnkdItm|_bdm.e59dd4eb15b74531abc6f0cb7224a7f8.edm|_bdm.ece7fd61783b4406a75ba055129931eb.edm</t>
        </is>
      </c>
      <c r="B5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뎵권緧䮼羣陙痨㕓矏Ⓝཕ㌴矃䴟飕琶௦ㇿ襡変콠礿㳻돗귇綱䮢翸陮痪㔰瞇⒑ཁ㍝瞇䵞颗琡௘㇙襳夐콢礿㲒뎥궄緧䮢翺陮痪㕃矍ⓝཤ㍮瞑䵋领琨ோ㇕襡夕켓祭㲸돆귅綵䮿羌陪痪㕓瞹⒂༅㍙瞓䴨风瑺௃㇌襷夘콩礬㳷뎵권緧䮢翡阿疬㕎矍Ⓛཉ㌴矵䴭飶瑩஌㆐褏奄켢祺㲩뎥궍緧䮢翾阗疎㔡瞊⒀༝㌦矞䴟飒瑧ஆ㇈襣夙콸礽㳻돃귳綗䯧翍阧疜㔜瞟ⓞཋ㍗瞀䵜预琨஻ㆱ複奌켣祫㲗돡귁緸䮠羚除痱㕑矏⒳༭㌢矣䴎飅瑼ஹ㆜褦奝콽礽㳮뎶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51" t="inlineStr">
        <is>
          <t>A6B78040E328186CA784760D6DFE1E94</t>
        </is>
      </c>
    </row>
    <row r="52">
      <c r="A52" t="inlineStr">
        <is>
          <t>_DM|LnkdItm|_bdm.e59dd4eb15b74531abc6f0cb7224a7f8.edm|_bdm.3830a3d09cac44f6adba6277902fa7d6.edm</t>
        </is>
      </c>
      <c r="B5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襲夋콾礒㳑뎧궕緥䮾翾阡疼㔀矑⓮ལ㍄瞑䵋领琨ோ㇉褑奝콠祉㳦뎶궅緳䮳羜陠痱㕑矏⒪པ㍆瞀䵉领瑜௖㇗襱夗콍礕㳻뎧궕緥䮢美陳痴㔠瞝⒀ཉ㌥矁䴛颛琪௒㇗襡奈켬礢㳹뎷궃練䮰羝陪痪㕓瞠⒏།㍙瞓䵉领瑘யㆳ褑奎켥祑㲮돥귐綷䮿羌陫痪㕓瞿⒧༯㌶矔䴈飒瑊஄ㆁ褵奄콽礽㳩뎳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52" t="inlineStr">
        <is>
          <t>A6B78040E328186CA784760D6DFE1E94</t>
        </is>
      </c>
    </row>
    <row r="53">
      <c r="A53" t="inlineStr">
        <is>
          <t>_DM|LnkdItm|_bdm.e59dd4eb15b74531abc6f0cb7224a7f8.edm|_bdm.d243421750a44811b9e59095dec3cf61.edm</t>
        </is>
      </c>
      <c r="B5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襹夋콾礒㳑뎧궕緥䮾翾阡疼㔀矑⓮ལ㍄瞑䵋领琨ோ㇉褑奝콠祉㳦뎶궄緶䮶羟陫痾㕑矏⒪པ㍆瞀䵉领瑜௖㇗襱夗콍礕㳻뎧궕緥䮢美陳痴㔠瞝⒀ཉ㌥矁䴛颛琪௒㇗襡奈켬礢㳹뎶궆緱䮳羖陥痪㕓瞠⒏།㍙瞓䵉领瑘யㆳ褑奎켥祑㲮돥귐綷䮿羌陫痪㕓瞿⒧༯㌶矔䴈飒瑊஄ㆁ褵奄콽礽㳩뎳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3" t="inlineStr">
        <is>
          <t>A6B78040E328186CA784760D6DFE1E94</t>
        </is>
      </c>
    </row>
    <row r="54">
      <c r="A54" t="inlineStr">
        <is>
          <t>_DM|LnkdItm|_bdm.e59dd4eb15b74531abc6f0cb7224a7f8.edm|_bdm.39f803aa963a424c88ad0627a5484f52.edm</t>
        </is>
      </c>
      <c r="B5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颖琻௙㇗西夣콠礿㳻뎻귥綷䯶翝陭病㕹矏Ⓝཉ㍄瞑䵋颚瑘ஙㆁ襡夔콢礭㳫뎵궗緥䯋羓陱痹㕑矏Ⓑཔ㍆瞁䵉题琅௡㇕襡変콠礿㳻뎻귦綷䯡美阒疸㔃矒Ⓛཐ㍆瞑䴽飇瑤௖㇗襳多콲礽㳻돫귑緸䮠羌陳疘㔷瞩⒳༈㌃矔䴥飓瑥உ㆐褳夋콸礽㳻돃귳綗䯧翍阧疊㔜瞛⒗༆㌉瞌䵉颔琾௒㇗襡奭켆祍㲾돳귡綪䯲羓陱痺㕄矖Ⓛ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54" t="inlineStr">
        <is>
          <t>A6B78040E328186CA784760D6DFE1E94</t>
        </is>
      </c>
    </row>
    <row r="55">
      <c r="A55" t="inlineStr">
        <is>
          <t>_DM|LnkdItm|_bdm.e59dd4eb15b74531abc6f0cb7224a7f8.edm|_bdm.04bc48f0119f47058654c6437ac8e527.edm</t>
        </is>
      </c>
      <c r="B5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琹௒㇗西夣콠礿㳻뎻귥綷䯶翝陭病㕹矏Ⓝཉ㍄瞑䵋颚瑘ஙㆁ襡夔콢礭㳮뎾궗緥䯋羓陱痹㕑矏Ⓑཔ㍆瞁䵉题琅௡㇕襡変콠礿㳻뎻귦綷䯡美阒疸㔃矒Ⓛཐ㍆瞑䴽飇瑤௖㇗襳夘콹礽㳻돫귑緸䮠羌陳疘㔷瞩⒳༈㌃矔䴥飓瑥உ㆐褳夋콸礽㳻돃귳綗䯧翍阧疊㔜瞛⒗༆㌉瞌䵉颔琾௒㇗襡奭켆祍㲾돳귡綪䯲羓陱痺㕄矖Ⓛ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55" t="inlineStr">
        <is>
          <t>A6B78040E328186CA784760D6DFE1E94</t>
        </is>
      </c>
    </row>
    <row r="56">
      <c r="A56" t="inlineStr">
        <is>
          <t>_DM|LnkdItm|_bdm.e59dd4eb15b74531abc6f0cb7224a7f8.edm|_bdm.b9e745e01dce4afaa6291e47bc8b2b09.edm</t>
        </is>
      </c>
      <c r="B5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颐琿௜㇗西夣콠礿㳻뎻귥綷䯶翝陭病㕹矏Ⓝཉ㍄瞑䵋颚瑘ஙㆁ襡夔콢礭㳭뎰궗緥䯋羓陱痹㕑矏Ⓑཔ㍆瞁䵉题琅௡㇕襡変콠礿㳻뎻귦綷䯡美阒疸㔃矒Ⓛཐ㍆瞑䴽飇瑤௖㇗襳夞콷礽㳻돫귑緸䮠羌陳疘㔷瞩⒳༈㌃矔䴥飓瑥உ㆐褳夋콸礽㳻돃귳綗䯧翍阧疊㔜瞛⒗༆㌉瞌䵉颔琽௜㇗襡奭켆祍㲾돳귡綪䯲羓陱痺㕅矙Ⓛ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56" t="inlineStr">
        <is>
          <t>A6B78040E328186CA784760D6DFE1E94</t>
        </is>
      </c>
    </row>
    <row r="57">
      <c r="A57" t="inlineStr">
        <is>
          <t>_DM|LnkdItm|_bdm.e59dd4eb15b74531abc6f0cb7224a7f8.edm|_bdm.478d0d7f1a454e8fb19c0ec8b549b50a.edm</t>
        </is>
      </c>
      <c r="B5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琿௘㇗西夣콠礿㳻뎻귥綷䯶翝陭病㕹矏Ⓝཉ㍄瞑䵋颚瑘ஙㆁ襡夔콢礬㳩뎴궗緥䯋羓陱痹㕑矏Ⓑཔ㍆瞁䵉题琅௡㇕襡変콠礿㳻뎻귦綷䯡美阒疸㔃矒Ⓛཐ㍆瞑䴽飇瑤௖㇗襲夞콳礽㳻돫귑緸䮠羌陳疘㔷瞩⒳༈㌃矔䴥飓瑥உ㆐褳夋콸礽㳻돃귳綗䯧翍阧疊㔜瞛⒗༆㌉瞌䵉颔琽௜㇗襡奭켆祍㲾돳귡綪䯲羓陱痺㕅矙Ⓛ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7" t="inlineStr">
        <is>
          <t>A6B78040E328186CA784760D6DFE1E94</t>
        </is>
      </c>
    </row>
    <row r="58">
      <c r="A58" t="inlineStr">
        <is>
          <t>_DM|LnkdItm|_bdm.e59dd4eb15b74531abc6f0cb7224a7f8.edm|_bdm.28cd3d1c1c6c4c4ea7c04d8ac5b60c3c.edm</t>
        </is>
      </c>
      <c r="B5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预琶௦ㇿ襡変콠礣㲋돳귆緻䮏群陳痨㕓矏Ⓝཉ㍘矡䴙飒琨஽㇈襣夋콠祖㳦뎶궗緥䯖羓陱痸㕑矑⓮ལ㍄瞑䵋领琨ோ㇕襡奺켲祼㳻돷귅緸䮠羗陱痨㔥瞎⒏པ㍆瞈䵉领瑇இ㆑襼夋콠祏㲟돗귔綢䯧翠阦疥㔑瞊⒑པ㍆瞉䵉领瑘யㆳ褓奊켴祝㲴돳귚綨䮿羌陡痼㕅矍Ⓝ༹㌠矷䴹飃瑫டㆡ褮夔콢礭㳮뎥궕綕䯆翨阁疭㔐瞛⒯༌㌂矅䵖预琻௓㇄襣她켄祙㲉돤귁綗䯫翉阻疼㕎矍ⓐད㍒瞓䵋飶瑌஭ㆧ褤奝켒祰㲯돳규綪䯬羓陱痸㕑矏Ⓐ༙㌀石䴒颛琪ஒㆍ褨夋콠祊㲫돈귛緸䮠羜陣痹㕄矁ⓓཛ㍊瞀䵟颜琹௘㇛襳备콵礯㳹도귇綱䯀翗陮痪㔊瞗⒊༌㍆瞑䴨飔瑼த㆛襼夛콰礮㳬뎷궇緫䮳羚险痹㕀矁ⓑཐ㍊瞄䵛预琶௦ㇿ襡変콠礿㳻뎧궕緥䮾翭阧疰㔇矑듣輞丂㥩紀흤䒃腔咁狹셤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58" t="inlineStr">
        <is>
          <t>A6B78040E328186CA784760D6DFE1E94</t>
        </is>
      </c>
    </row>
    <row r="59">
      <c r="A59" t="inlineStr">
        <is>
          <t>_DM|LnkdItm|_bdm.e59dd4eb15b74531abc6f0cb7224a7f8.edm|_bdm.ae2195380a7044b4bbbadc0c08d2b16a.edm</t>
        </is>
      </c>
      <c r="B5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琪௕ㇸ襋変콠礿㳧돵귁綶䮼羣陙痨㕓矏Ⓝཉ㍄瞍䴻飔瑼ோㆣ襼夘콲礽㳻뎺궗練䮠美阇痵㕑矟Ⓛབྷ㍩瞻䵋领琨ோ㇕襡変콼祌㲩뎧귴綵䯲羓陱痱㕑矏⒵༈㌈瞌䵉颗琺௉㇕褎奍콽礽㳹돗귱綃䯒翏阴疭㔽瞚⒎་㌁矃䵖预琰௉㇕褑奯켒祺㲸독귚綱䯶翁阾痵㕑矝ⓗཟ㍆瞑䴻飢瑎ஹ㆐褢好켯祯㳦뎵궀緱䮠美阃疌㔵瞽⒆༊㌐矽䴎飀瑼௖㇗襴夛콢礿㲋돁귧綠䯡翚阁疡㔔瞇⒗པ㍆瞄䵚颗琪ோㆥ褅奻켥祼㲯돨귁綤䯶翇阼疦㕎矍ⓓཋ㍄矤䴛飂瑊ஒ㇈襣契켩祺㳹돒귅綡䯍翀陮痪㕁矟ⓒཞ㍊瞁䵙颈琹௟㇏襰备콲礦㳵뎷궗緥䯁翜阧疊㔊矒Ⓛ༐㌜矘䴎预琨நㆇ褵奇콽礽㳩뎶궂緫䮲羜陽痹㕇矕ⓒཚ㍊瞃䵒颈琽௛㇗西夣콠礿㳻뎧궕緥䮢美陳痴㔰瞛⒛༝㍚촜㫐㮀縷맊牎㱝뉯꒖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59" t="inlineStr">
        <is>
          <t>A6B78040E328186CA784760D6DFE1E94</t>
        </is>
      </c>
    </row>
    <row r="60">
      <c r="A60" t="inlineStr">
        <is>
          <t>_DM|LnkdItm|_bdm.e59dd4eb15b74531abc6f0cb7224a7f8.edm|_bdm.9bb3a86ce1834f5688e293cc43651f63.edm</t>
        </is>
      </c>
      <c r="B6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频琹௒㇗西夣콠礿㳻뎻귥綷䯶翝陭病㕹矏Ⓝཉ㍄瞑䵋颚瑘ஙㆁ襡夔콢礫㳬뎾궗緥䯋羓陱痹㕑矏Ⓑཔ㍆瞁䵉题琅௡㇕襡変콠礿㳻뎻귦綷䯡美阒疸㔃矒Ⓛཐ㍆瞑䴽飇瑤௖㇗襵夘콹礽㳻돫귑緸䮠羌陳疘㔷瞩⒳༈㌃矔䴥飓瑥உ㆐褳夋콸礽㳻돃귳綗䯧翍阧疊㔜瞛⒗༆㌉瞌䵉颔琻௚㇗襡奭켆祍㲾돳귡綪䯲羓陱痺㕇矟Ⓛ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60" t="inlineStr">
        <is>
          <t>A6B78040E328186CA784760D6DFE1E94</t>
        </is>
      </c>
    </row>
    <row r="61">
      <c r="A61" t="inlineStr">
        <is>
          <t>_DM|LnkdItm|_bdm.e59dd4eb15b74531abc6f0cb7224a7f8.edm|_bdm.64d4c274969c49299fc3f70ddd9c8b3d.edm</t>
        </is>
      </c>
      <c r="B6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颞琸௝㇗西夣콠礿㳻뎻귥綷䯶翝陭病㕹矏Ⓝཉ㍄瞑䵋颚瑘ஙㆁ襡夔콢礪㳣뎱궗緥䯋羓陱痹㕑矏Ⓑཔ㍆瞁䵉题琅௡㇕襡変콠礿㳻뎻귦綷䯡美阒疸㔃矒Ⓛཐ㍆瞑䴽飇瑤௖㇗襴夙콶礽㳻돫귑緸䮠羌陳疘㔷瞩⒳༈㌃矔䴥飓瑥உ㆐褳夋콸礽㳻돃귳綗䯧翍阧疊㔜瞛⒗༆㌉瞌䵉颔琻௚㇗襡奭켆祍㲾돳귡綪䯲羓陱痺㕇矟Ⓛ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1" t="inlineStr">
        <is>
          <t>A6B78040E328186CA784760D6DFE1E94</t>
        </is>
      </c>
    </row>
    <row r="62">
      <c r="A62" t="inlineStr">
        <is>
          <t>_DM|LnkdItm|_bdm.e59dd4eb15b74531abc6f0cb7224a7f8.edm|_bdm.ac71aacc7e6f4100a864c6de763d6644.edm</t>
        </is>
      </c>
      <c r="B6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襴夋콾礒㳑뎧궕緥䮾翾阡疼㔀矑⓮ལ㍄瞑䵋领琨ோ㇉褑奝콠祉㳦뎶궅緳䮷羗陦痱㕑矏⒪པ㍆瞀䵉领瑜௖㇗襱夗콍礕㳻뎧궕緥䮢美陳痴㔠瞝⒀ཉ㌥矁䴛颛琪௒㇗襡奈켬礢㳹뎷궃緰䮻羛陪痪㕓瞠⒏།㍙瞓䵉领瑘யㆳ褑奎켥祑㲮돥귐綷䮿羌陫痪㕓瞿⒧༯㌶矔䴈飒瑊஄ㆁ褵奄콽礽㳩뎿궗緥䯒翪阕疚㔖瞌⒗༽㌋矁䵖预琺௙㇂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2" t="inlineStr">
        <is>
          <t>A6B78040E328186CA784760D6DFE1E94</t>
        </is>
      </c>
    </row>
    <row r="63">
      <c r="A63" t="inlineStr">
        <is>
          <t>_DM|LnkdItm|_bdm.e59dd4eb15b74531abc6f0cb7224a7f8.edm|_bdm.8a396abf520343a9837fad23771b15f8.edm</t>
        </is>
      </c>
      <c r="B6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襸夋콾礒㳑뎧궕緥䮾翾阡疼㔀矑⓮ལ㍄瞑䵋领琨ோ㇉褑奝콠祉㳦뎶궄緶䮻羗陪痺㕑矏⒪པ㍆瞀䵉领瑜௖㇗襱夗콍礕㳻뎧궕緥䮢美陳痴㔠瞝⒀ཉ㌥矁䴛颛琪௒㇗襡奈켬礢㳹뎶궆緼䮻羗陡痪㕓瞠⒏།㍙瞓䵉领瑘யㆳ褑奎켥祑㲮돥귐綷䮿羌陫痪㕓瞿⒧༯㌶矔䴈飒瑊஄ㆁ褵奄콽礽㳩뎿궗緥䯒翪阕疚㔖瞌⒗༽㌋矁䵖预琺௙㇂襣她켄祙㲉돤귁綉䯧翈阧痵㕑矛ⓔཙ㍆瞑䴻飢瑎ஹ㆐褢奻켩祸㲳뎺궗緰䮳羟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3" t="inlineStr">
        <is>
          <t>A6B78040E328186CA784760D6DFE1E94</t>
        </is>
      </c>
    </row>
    <row r="64">
      <c r="A64" t="inlineStr">
        <is>
          <t>_DM|LnkdItm|_bdm.e59dd4eb15b74531abc6f0cb7224a7f8.edm|_bdm.b57b1136901d4ca08e742aae1afbdf97.edm</t>
        </is>
      </c>
      <c r="B6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㳩뎲궗緥䯒翪阕疚㔖瞌⒗༽㌋矁䵖预琺௚㇁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64" t="inlineStr">
        <is>
          <t>A6B78040E328186CA784760D6DFE1E94</t>
        </is>
      </c>
    </row>
    <row r="65">
      <c r="A65" t="inlineStr">
        <is>
          <t>_DM|LnkdItm|_bdm.e59dd4eb15b74531abc6f0cb7224a7f8.edm|_bdm.fcf3a2b2e51e412099081a14a07ddcc0.edm</t>
        </is>
      </c>
      <c r="B6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㳩뎲궗緥䯒翪阕疚㔖瞌⒗༽㌋矁䵖预琺௚㇁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65" t="inlineStr">
        <is>
          <t>A6B78040E328186CA784760D6DFE1E94</t>
        </is>
      </c>
    </row>
    <row r="66">
      <c r="A66" t="inlineStr">
        <is>
          <t>_DM|LnkdItm|_bdm.e59dd4eb15b74531abc6f0cb7224a7f8.edm|_bdm.8a1f80d6075f4ec4ba6ec3eb4556f93b.edm</t>
        </is>
      </c>
      <c r="B6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琱௅㇌襶夗콍礕㳻뎧궕緹䯒翜阧疻㕍矢ⓩཉ㍄瞑䵋领琨ௗㆥ褳変켖礢㳹뎾권緫䮻羙陱痨㔺矒Ⓛམ㍆瞑䴿颛琪௛㇗西夣콠礿㳻뎧궕緥䮢羒阀疺㔐矏⒢༙㌔瞌䵉颟琪ோㆣ褠夔콢礮㳢뎩권緲䮠美阜疤㔗矒Ⓛཋ㍄矡䴯飠瑘ஊ㆒褤奜켭祽㲾뎺궗緼䮠美阃疌㔵瞽⒆༊㌐石䴄飒瑼஄㆘襼夞콰礭㳹돗귱綃䯐翋阰疼㔧瞀⒓པ㍆瞆䵚颗琪ோㆥ褅奻켥祼㲯돢귓綱䮿羌陠痽㕇矍Ⓝ༹㌠矷䴹飃瑫டㆧ褨奁켴礢㳹뎿궂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㝭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6" t="inlineStr">
        <is>
          <t>A6B78040E328186CA784760D6DFE1E94</t>
        </is>
      </c>
    </row>
    <row r="67">
      <c r="A67" t="inlineStr">
        <is>
          <t>_DM|LnkdItm|_bdm.e59dd4eb15b74531abc6f0cb7224a7f8.edm|_bdm.f12474f44ea94e3e852ec728df532be2.edm</t>
        </is>
      </c>
      <c r="B6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颞琦௓㇌襲夗콍礕㳻뎧궕緹䯒翜阧疻㕍矢ⓩཉ㍄瞑䵋领琨ௗㆥ褳変켖礢㳹뎿궛緽䮻羝陱痨㔺矒Ⓛམ㍆瞑䴿颛琪௛㇗西夣콠礿㳻뎧궕緥䮢羒阀疺㔐矏⒢༙㌔瞌䵉颟琪ோㆣ褠夔콢礬㳣뎿권緶䮠美阜疤㔗矒Ⓛཋ㍄矡䴯飠瑘ஊ㆒褤奜켭祽㲾뎺궗緼䮠美阃疌㔵瞽⒆༊㌐石䴄飒瑼஄㆘襼够콹礯㳹돗귱綃䯐翋阰疼㔧瞀⒓པ㍆瞇䵒颟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67" t="inlineStr">
        <is>
          <t>A6B78040E328186CA784760D6DFE1E94</t>
        </is>
      </c>
    </row>
    <row r="68">
      <c r="A68" t="inlineStr">
        <is>
          <t>_DM|LnkdItm|_bdm.e59dd4eb15b74531abc6f0cb7224a7f8.edm|_bdm.80c274dfa85d4403b84042828cd86134.edm</t>
        </is>
      </c>
      <c r="B6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琹௅㇅襶夋콾礒㳑뎧궕緥䮾翾阡疼㔀矑⓮ལ㍄瞑䵋领琨ோ㇉褑奝콠祉㳦뎶궃練䮬羞除痿㕑矏⒪པ㍆瞀䵉领瑜௖㇗襱夗콍礕㳻뎧궕緥䮢美陳痴㔠瞝⒀ཉ㌥矁䴛颛琪௒㇗襡奈켬礢㳹뎱궄緫䮲羙除痪㕓瞠⒏།㍙瞓䵉领瑘யㆳ褑奎켥祑㲮돥귐綷䮿羌陪痪㕓瞿⒧༯㌶矔䴈飒瑊஄ㆁ褵奄콽礽㳭뎱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ֈɡ쑺̂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8" t="inlineStr">
        <is>
          <t>A6B78040E328186CA784760D6DFE1E94</t>
        </is>
      </c>
    </row>
    <row r="69">
      <c r="A69" t="inlineStr">
        <is>
          <t>_DM|LnkdItm|_bdm.e59dd4eb15b74531abc6f0cb7224a7f8.edm|_bdm.52c835e9359f4ed4b00b4a029f7524c9.edm</t>
        </is>
      </c>
      <c r="B6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琽௅㇍襱夋콾礒㳑뎧궕緥䮾翾阡疼㔀矑⓮ལ㍄瞑䵋领琨ோ㇉褑奝콠祉㳦뎶궅緰䮬羖陣痿㕑矏⒪པ㍆瞀䵉领瑜௖㇗襱夗콍礕㳻뎧궕緥䮢美陳痴㔠瞝⒀ཉ㌥矁䴛颛琪௒㇗襡奈켬礢㳹뎷궀緫䮺羞除痪㕓瞠⒏།㍙瞓䵉领瑘யㆳ褑奎켥祑㲮돥귐綷䮿羌陪痪㕓瞿⒧༯㌶矔䴈飒瑊஄ㆁ褵奄콽礽㳭뎾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9" t="inlineStr">
        <is>
          <t>A6B78040E328186CA784760D6DFE1E94</t>
        </is>
      </c>
    </row>
    <row r="70">
      <c r="A70" t="inlineStr">
        <is>
          <t>_DM|LnkdItm|_bdm.e59dd4eb15b74531abc6f0cb7224a7f8.edm|_bdm.1dba18d1215a40b798b3c6565529002b.edm</t>
        </is>
      </c>
      <c r="B7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频琾௉㇋襌変콠礿㳻돗귇綱䯱羐陞痂㕓矏Ⓝཉ㍄瞑䵗飶瑺ட㇕褗夋콳礨㳭뎧근緸䮠羟陱痨㔧矒Ⓛཙ㍆瞏䵦颬琨ோ㇕襡変콠礿㳧돵귖緥䯃翞阣痵㕑矖Ⓛཉ㌲矐䴇颛琪௘㇂襷変켏祳㲿뎥궗緥䯒翪阕疘㔒瞈⒆༧㌑矜䴉飃瑺௖㇗襸変켐祛㲝돢귖綱䯀翁阧疼㔜瞂ⓞཋ㍒瞃䵞预琨஻ㆱ複奌켣祫㲏돷궈緧䮴羝陠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堽揜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0" t="inlineStr">
        <is>
          <t>A6B78040E328186CA784760D6DFE1E94</t>
        </is>
      </c>
    </row>
    <row r="71">
      <c r="A71" t="inlineStr">
        <is>
          <t>_DM|LnkdItm|_bdm.e59dd4eb15b74531abc6f0cb7224a7f8.edm|_bdm.e5b4f87e23b44b1ead651c26be6017f2.edm</t>
        </is>
      </c>
      <c r="B7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颟琱௉㇋襌変콠礿㳻돗귇綱䯱羐陞痂㕓矏Ⓝཉ㍄瞑䵗飶瑺ட㇕褗夋콹礦㳢뎧근緸䮠羟陱痨㔧矒Ⓛཙ㍆瞏䵦颬琨ோ㇕襡変콠礿㳧돵귖緥䯃翞阣痵㕑矖Ⓛཉ㌲矐䴇颛琪௒㇌襸変켏祳㲿뎥궗緥䯒翪阕疘㔒瞈⒆༧㌑矜䴉飃瑺௖㇗襸変켐祛㲝돢귖綱䯀翁阧疼㔜瞂ⓞཋ㍒瞀䵘预琨஻ㆱ複奌켣祫㲏돷궈緧䮴羜院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ᜉ姭崠뤪졹榢귕滲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1" t="inlineStr">
        <is>
          <t>A6B78040E328186CA784760D6DFE1E94</t>
        </is>
      </c>
    </row>
    <row r="72">
      <c r="A72" t="inlineStr">
        <is>
          <t>_DM|LnkdItm|_bdm.e59dd4eb15b74531abc6f0cb7224a7f8.edm|_bdm.a86d719eef074c718eff7576083c7427.edm</t>
        </is>
      </c>
      <c r="B7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颈琰௜㇀襣夤콊礿㳻뎧궉綕䯰翚阠痶㕾知Ⓝཉ㍄瞑䵋领琴஻ㆇ褵奿콽礽㳪뎿궂緰䮠美阚痵㕑矞Ⓛཉ㌰瞌䵉颖琪௕ㇸ襋変콠礿㳻뎧궕緹䯑翜阰痨㔲瞟⒓པ㍆瞈䵉领瑞ஊ㆙襼夘콮礧㳬뎥궕綊䯮翊陮痪㕑矏⒳༭㌢矡䴊飁瑭஥ㆀ褬奌켲礢㳹뎥궕綕䯆翨阁疭㔐瞛⒡༆㌐矅䴄飋琵௉㇀襸夋콠祏㲟돕귐綦䯶翺阼疸㕎矍ⓕཙ㍜瞓䵋飶瑌஭ㆧ褤奝켌祺㲽뎺궗緶䮴羝陱痨㔣瞫⒥༻㌁矒䴟飴瑡஌㆝褵夋콳礧㳭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뿺ῠ愵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2" t="inlineStr">
        <is>
          <t>A6B78040E328186CA784760D6DFE1E94</t>
        </is>
      </c>
    </row>
    <row r="73">
      <c r="A73" t="inlineStr">
        <is>
          <t>_DM|LnkdItm|_bdm.e59dd4eb15b74531abc6f0cb7224a7f8.edm|_bdm.37a65cd2420040a5a73f615516704081.edm</t>
        </is>
      </c>
      <c r="B7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琽௉㇋襌変콠礿㳻돗귇綱䯱羐陞痂㕓矏Ⓝཉ㍄瞑䵗飶瑺ட㇕褗夋콱礦㳮뎧근緸䮠羟陱痨㔧矒Ⓛཙ㍆瞏䵦颬琨ோ㇕襡変콠礿㳧돵귖緥䯃翞阣痵㕑矖Ⓛཉ㌲矐䴇颛琪௚㇌襴変켏祳㲿뎥궗緥䯒翪阕疘㔒瞈⒆༧㌑矜䴉飃瑺௖㇗襸変켐祛㲝돢귖綱䯀翁阧疼㔜瞂ⓞཋ㍑瞉䵓预琨஻ㆱ複奌켣祫㲏돷궈緧䮷羗陥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堥悐襡ੱ耍礥䪥Ꜧ궜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73" t="inlineStr">
        <is>
          <t>A6B78040E328186CA784760D6DFE1E94</t>
        </is>
      </c>
    </row>
    <row r="74">
      <c r="A74" t="inlineStr">
        <is>
          <t>_DM|LnkdItm|_bdm.e59dd4eb15b74531abc6f0cb7224a7f8.edm|_bdm.8aed35bf94184176a296465576ae67a8.edm</t>
        </is>
      </c>
      <c r="B7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颈琼௟㇃襣夤콊礿㳻뎧궉綕䯰翚阠痶㕾知Ⓝཉ㍄瞑䵋领琴஻ㆇ褵奿콽礽㳨뎳궁緳䮠美阚痵㕑矞Ⓛཉ㌰瞌䵉颖琪௕ㇸ襋変콠礿㳻뎧궕緹䯑翜阰痨㔲瞟⒓པ㍆瞈䵉领瑞ஊ㆙襼多콮礫㳯뎥궕綊䯮翊陮痪㕑矏⒳༭㌢矡䴊飁瑭஥ㆀ褬奌켲礢㳹뎥궕綕䯆翨阁疭㔐瞛⒡༆㌐矅䴄飋琵௉㇀襶夋콠祏㲟돕귐綦䯶翺阼疸㕎矍ⓖད㍗瞓䵋飶瑌஭ㆧ褤奝켌祺㲽뎺궗緶䮴羝陱痨㔣瞫⒥༻㌁矒䴟飴瑡஌㆝褵夋콳礧㳬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髶ၲ旍뫯앍尿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4" t="inlineStr">
        <is>
          <t>A6B78040E328186CA784760D6DFE1E94</t>
        </is>
      </c>
    </row>
    <row r="75">
      <c r="A75" t="inlineStr">
        <is>
          <t>_DM|LnkdItm|_bdm.e59dd4eb15b74531abc6f0cb7224a7f8.edm|_bdm.be92a5a351b141059b63989d2f23cfa1.edm</t>
        </is>
      </c>
      <c r="B7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ཐ㍆瞑䴻飢瑎ஹ㆐褢好켯祯㳦뎲궀緲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솗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75" t="inlineStr">
        <is>
          <t>A6B78040E328186CA784760D6DFE1E94</t>
        </is>
      </c>
    </row>
    <row r="76">
      <c r="A76" t="inlineStr">
        <is>
          <t>_DM|LnkdItm|_bdm.e59dd4eb15b74531abc6f0cb7224a7f8.edm|_bdm.e9a5ecc9765a420d9e0311984c4cde16.edm</t>
        </is>
      </c>
      <c r="B7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ཟ㍆瞑䴻飢瑎ஹ㆐褢好켯祯㳦뎲궁緱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솰练旽͉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6" t="inlineStr">
        <is>
          <t>A6B78040E328186CA784760D6DFE1E94</t>
        </is>
      </c>
    </row>
    <row r="77">
      <c r="A77" t="inlineStr">
        <is>
          <t>_DM|LnkdItm|_bdm.e59dd4eb15b74531abc6f0cb7224a7f8.edm|_bdm.0f27fb93801a474daec1e8737c45ed34.edm</t>
        </is>
      </c>
      <c r="B7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뎵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ᖺ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77" t="inlineStr">
        <is>
          <t>A6B78040E328186CA784760D6DFE1E94</t>
        </is>
      </c>
    </row>
    <row r="78">
      <c r="A78" t="inlineStr">
        <is>
          <t>_DM|LnkdItm|_bdm.e59dd4eb15b74531abc6f0cb7224a7f8.edm|_bdm.b4f261d9387d4246992a5546884c1047.edm</t>
        </is>
      </c>
      <c r="B7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뎾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ߋ�ӧᳬႼ朾ℴ瞩桶买▘㮡领琠墳纸襻躏ᜮ黆礶㳧도귁綽䯶羐陞痂㕓矏Ⓝཉ㍄瞑䵋领琨ோ㇉褅奊켄祺㲽뎧귣綠䯰翝阺疧㔝矒Ⓛཛ㍆瞑䴢飕瑘டㆇ襼好켲祪㲾뎹궸総䮢美陳痨㕓矏Ⓝཉ㍄瞑䵋领琴஢ㆱ西够켂礨㳣뎳궅綀䮱羜陫痹㕋矙⒠༨㍓瞉䵟频琾௛ㆱ襷奯켅礮㲞뎳궉緪䯋翪陭病㕹矏Ⓝཉ㍄瞑䵋领琨ோ㇕襽奭켯祼㲟돡귛緻䮏群陳痨㕓矏Ⓝཉ㍄瞑䵋领琴ஸㆁ褱変콯礡㳖뎧궕緥䮢美陳痨㕓矓Ⓦ༺㌖矒䵕颫琂ோ㇕襡変콠礣㳴돵귁緻䮏群陳痨㕓矏ⓟཆ㌴矃䴟飕琶௦ㇿ襡変콠礣㲘돪귘綠䯬翚阠痨㕜矑⓮ལ㍄瞑䵗颉瑁ட㆘西夣콼礰㲟돳귔緻</t>
        </is>
      </c>
      <c r="C78" t="inlineStr">
        <is>
          <t>A6B78040E328186CA784760D6DFE1E94</t>
        </is>
      </c>
    </row>
    <row r="79">
      <c r="A79" t="inlineStr">
        <is>
          <t>_DM|LnkdItm|_bdm.e59dd4eb15b74531abc6f0cb7224a7f8.edm|_bdm.f5a1d5bf18954d268d78889ac68c6ec0.edm</t>
        </is>
      </c>
      <c r="B7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颕琦௚㇄襲夗콍礕㳻뎧궕緹䯒翜阧疻㕍矢ⓩཉ㍄瞑䵋领琨ௗㆥ褳変켖礢㳹뎴궛練䮳羝陱痨㔺矒Ⓛམ㍆瞑䴿颛琪௛㇗西夣콠礿㳻뎧궕緥䮢羒阀疺㔐矏⒢༙㌔瞌䵉颟琪ோㆣ褠夔콢礬㳨뎶궄緶䮠美阜疤㔗矒Ⓛཋ㍄矡䴯飠瑘ஊ㆒褤奜켭祽㲾뎺궗緼䮠美阃疌㔵瞽⒆༊㌐石䴄飒瑼஄㆘襼夝콹礪㳹돗귱綃䯐翋阰疼㔧瞀⒓པ㍆瞄䵛颓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藴ﴽힻڌ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9" t="inlineStr">
        <is>
          <t>A6B78040E328186CA784760D6DFE1E94</t>
        </is>
      </c>
    </row>
    <row r="80">
      <c r="A80" t="inlineStr">
        <is>
          <t>_DM|LnkdItm|_bdm.e59dd4eb15b74531abc6f0cb7224a7f8.edm|_bdm.80cf35093a9948438bbd0a6e4ac5bbea.edm</t>
        </is>
      </c>
      <c r="B8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콸礭㳹돗귱綃䯐翋阰疼㔧瞀⒓པ㍆瞅䵒颗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뿺쪪Ñᦫ।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80" t="inlineStr">
        <is>
          <t>A6B78040E328186CA784760D6DFE1E94</t>
        </is>
      </c>
    </row>
    <row r="81">
      <c r="A81" t="inlineStr">
        <is>
          <t>_DM|LnkdItm|_bdm.e59dd4eb15b74531abc6f0cb7224a7f8.edm|_bdm.4882afae73e541838342450df3d88fc1.edm</t>
        </is>
      </c>
      <c r="B8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콶礦㳹돗귱綃䯐翋阰疼㔧瞀⒓པ㍆瞅䵜颞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悋ﲝ풋ᗯֹ俅졣⦖Ԫ䝤爸尣呻થὂ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81" t="inlineStr">
        <is>
          <t>A6B78040E328186CA784760D6DFE1E94</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jaehee</dc:creator>
  <dcterms:created xmlns:dcterms="http://purl.org/dc/terms/" xmlns:xsi="http://www.w3.org/2001/XMLSchema-instance" xsi:type="dcterms:W3CDTF">2013-10-02T07:47:15Z</dcterms:created>
  <dcterms:modified xmlns:dcterms="http://purl.org/dc/terms/" xmlns:xsi="http://www.w3.org/2001/XMLSchema-instance" xsi:type="dcterms:W3CDTF">2025-10-18T12:07:05Z</dcterms:modified>
  <cp:lastModifiedBy>Michael Kim</cp:lastModifiedBy>
  <cp:lastPrinted>2024-05-02T02:01:48Z</cp:lastPrinted>
</cp:coreProperties>
</file>

<file path=docProps/custom.xml><?xml version="1.0" encoding="utf-8"?>
<Properties xmlns="http://schemas.openxmlformats.org/officeDocument/2006/custom-properties">
  <property name="SaveLocally" fmtid="{D5CDD505-2E9C-101B-9397-08002B2CF9AE}" pid="2">
    <vt:lpwstr xmlns:vt="http://schemas.openxmlformats.org/officeDocument/2006/docPropsVTypes">0</vt:lpwstr>
  </property>
  <property name="_DMCheckedOldDocProps" fmtid="{D5CDD505-2E9C-101B-9397-08002B2CF9AE}" pid="3">
    <vt:lpwstr xmlns:vt="http://schemas.openxmlformats.org/officeDocument/2006/docPropsVTypes">_DMCheckedOldDocProps</vt:lpwstr>
  </property>
  <property name="{A44787D4-0540-4523-9961-78E4036D8C6D}" fmtid="{D5CDD505-2E9C-101B-9397-08002B2CF9AE}" pid="4">
    <vt:lpwstr xmlns:vt="http://schemas.openxmlformats.org/officeDocument/2006/docPropsVTypes">{E72442C7-6E22-4335-8B22-D966EDD870FA}</vt:lpwstr>
  </property>
  <property name="Id" fmtid="{D5CDD505-2E9C-101B-9397-08002B2CF9AE}" pid="5">
    <vt:lpwstr xmlns:vt="http://schemas.openxmlformats.org/officeDocument/2006/docPropsVTypes">88a6cd04-d4b5-46bb-a0f5-18aebc7421a1</vt:lpwstr>
  </property>
</Properties>
</file>