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1"/>
  </bookViews>
  <sheets>
    <sheet name="Пассивный метод поиска" sheetId="1" r:id="rId1"/>
    <sheet name="Метод Фибоначчи" sheetId="2" r:id="rId2"/>
    <sheet name="Метод золотого сечения" sheetId="3" r:id="rId3"/>
    <sheet name="Оптимизация поставок товаров" sheetId="4" r:id="rId4"/>
  </sheets>
  <definedNames>
    <definedName name="solver_adj" localSheetId="3" hidden="1">'Оптимизация поставок товаров'!$G$16:$G$20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lhs1" localSheetId="3" hidden="1">'Оптимизация поставок товаров'!$J$21</definedName>
    <definedName name="solver_lin" localSheetId="3" hidden="1">2</definedName>
    <definedName name="solver_neg" localSheetId="3" hidden="1">1</definedName>
    <definedName name="solver_num" localSheetId="3" hidden="1">1</definedName>
    <definedName name="solver_nwt" localSheetId="3" hidden="1">1</definedName>
    <definedName name="solver_opt" localSheetId="3" hidden="1">'Оптимизация поставок товаров'!$C$23</definedName>
    <definedName name="solver_pre" localSheetId="3" hidden="1">0.000001</definedName>
    <definedName name="solver_rel1" localSheetId="3" hidden="1">1</definedName>
    <definedName name="solver_rhs1" localSheetId="3" hidden="1">'Оптимизация поставок товаров'!$C$22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H9" i="2" l="1"/>
  <c r="H8" i="2"/>
  <c r="H7" i="2"/>
  <c r="J41" i="2" l="1"/>
  <c r="I7" i="2"/>
  <c r="K41" i="2"/>
  <c r="N41" i="2" s="1"/>
  <c r="L41" i="2"/>
  <c r="D55" i="2"/>
  <c r="K7" i="2"/>
  <c r="G7" i="2"/>
  <c r="F6" i="3"/>
  <c r="D54" i="2" l="1"/>
  <c r="J16" i="4"/>
  <c r="I16" i="4"/>
  <c r="H16" i="4"/>
  <c r="C13" i="4"/>
  <c r="I6" i="4"/>
  <c r="H6" i="4"/>
  <c r="G6" i="4"/>
  <c r="J20" i="4"/>
  <c r="J17" i="4"/>
  <c r="J18" i="4"/>
  <c r="J19" i="4"/>
  <c r="I17" i="4"/>
  <c r="I18" i="4"/>
  <c r="I19" i="4"/>
  <c r="I20" i="4"/>
  <c r="J6" i="4"/>
  <c r="H17" i="4"/>
  <c r="H18" i="4"/>
  <c r="H19" i="4"/>
  <c r="H20" i="4"/>
  <c r="J8" i="4"/>
  <c r="J9" i="4"/>
  <c r="I8" i="4"/>
  <c r="H7" i="4"/>
  <c r="G7" i="4"/>
  <c r="I7" i="4" s="1"/>
  <c r="G8" i="4"/>
  <c r="H8" i="4" s="1"/>
  <c r="G9" i="4"/>
  <c r="H9" i="4" s="1"/>
  <c r="G10" i="4"/>
  <c r="J10" i="4" s="1"/>
  <c r="C4" i="3"/>
  <c r="G6" i="3" s="1"/>
  <c r="J6" i="3" s="1"/>
  <c r="C3" i="3"/>
  <c r="H6" i="3" s="1"/>
  <c r="C20" i="2"/>
  <c r="C19" i="2" s="1"/>
  <c r="C18" i="2" s="1"/>
  <c r="C17" i="2" s="1"/>
  <c r="C16" i="2" s="1"/>
  <c r="C15" i="2" s="1"/>
  <c r="C14" i="2" s="1"/>
  <c r="C13" i="2" s="1"/>
  <c r="C12" i="2" s="1"/>
  <c r="C11" i="2" s="1"/>
  <c r="C10" i="2" s="1"/>
  <c r="C9" i="2" s="1"/>
  <c r="C8" i="2" s="1"/>
  <c r="D24" i="1"/>
  <c r="G24" i="1" s="1"/>
  <c r="C24" i="1"/>
  <c r="E24" i="1" s="1"/>
  <c r="D52" i="2" l="1"/>
  <c r="D53" i="2"/>
  <c r="H24" i="1"/>
  <c r="F24" i="1"/>
  <c r="I24" i="1"/>
  <c r="C7" i="2"/>
  <c r="C6" i="2" s="1"/>
  <c r="C5" i="2" s="1"/>
  <c r="L6" i="3"/>
  <c r="F7" i="3"/>
  <c r="H7" i="3" s="1"/>
  <c r="G7" i="3"/>
  <c r="J7" i="3" s="1"/>
  <c r="F8" i="3" s="1"/>
  <c r="K6" i="3"/>
  <c r="I6" i="3"/>
  <c r="I10" i="4"/>
  <c r="J7" i="4"/>
  <c r="J11" i="4" s="1"/>
  <c r="I9" i="4"/>
  <c r="H10" i="4"/>
  <c r="H21" i="4"/>
  <c r="I21" i="4"/>
  <c r="C23" i="4"/>
  <c r="J21" i="4"/>
  <c r="K7" i="3"/>
  <c r="F16" i="1"/>
  <c r="H16" i="1"/>
  <c r="I16" i="1"/>
  <c r="N16" i="1"/>
  <c r="P16" i="1"/>
  <c r="Q16" i="1"/>
  <c r="D15" i="1"/>
  <c r="D16" i="1" s="1"/>
  <c r="E15" i="1"/>
  <c r="E16" i="1" s="1"/>
  <c r="F15" i="1"/>
  <c r="G15" i="1"/>
  <c r="G16" i="1" s="1"/>
  <c r="H15" i="1"/>
  <c r="I15" i="1"/>
  <c r="J15" i="1"/>
  <c r="J16" i="1" s="1"/>
  <c r="K15" i="1"/>
  <c r="K16" i="1" s="1"/>
  <c r="L15" i="1"/>
  <c r="L16" i="1" s="1"/>
  <c r="M15" i="1"/>
  <c r="M16" i="1" s="1"/>
  <c r="N15" i="1"/>
  <c r="O15" i="1"/>
  <c r="O16" i="1" s="1"/>
  <c r="P15" i="1"/>
  <c r="Q15" i="1"/>
  <c r="R15" i="1"/>
  <c r="R16" i="1" s="1"/>
  <c r="S15" i="1"/>
  <c r="S16" i="1" s="1"/>
  <c r="C15" i="1"/>
  <c r="C16" i="1" s="1"/>
  <c r="D3" i="1"/>
  <c r="D4" i="1" s="1"/>
  <c r="E3" i="1"/>
  <c r="E4" i="1" s="1"/>
  <c r="F3" i="1"/>
  <c r="F4" i="1" s="1"/>
  <c r="G3" i="1"/>
  <c r="G4" i="1" s="1"/>
  <c r="H3" i="1"/>
  <c r="H4" i="1" s="1"/>
  <c r="I3" i="1"/>
  <c r="I4" i="1" s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P3" i="1"/>
  <c r="P4" i="1" s="1"/>
  <c r="Q3" i="1"/>
  <c r="Q4" i="1" s="1"/>
  <c r="R3" i="1"/>
  <c r="R4" i="1" s="1"/>
  <c r="C3" i="1"/>
  <c r="C4" i="1" s="1"/>
  <c r="D50" i="2" l="1"/>
  <c r="D51" i="2"/>
  <c r="C18" i="1"/>
  <c r="L7" i="3"/>
  <c r="G8" i="3" s="1"/>
  <c r="J8" i="3" s="1"/>
  <c r="I11" i="4"/>
  <c r="H11" i="4"/>
  <c r="C11" i="1"/>
  <c r="I7" i="3"/>
  <c r="C25" i="1"/>
  <c r="E25" i="1" s="1"/>
  <c r="D25" i="1"/>
  <c r="G25" i="1" s="1"/>
  <c r="H8" i="3"/>
  <c r="D48" i="2" l="1"/>
  <c r="D49" i="2"/>
  <c r="M7" i="2"/>
  <c r="J7" i="2"/>
  <c r="L7" i="2"/>
  <c r="K8" i="3"/>
  <c r="I8" i="3"/>
  <c r="I25" i="1"/>
  <c r="H25" i="1"/>
  <c r="F25" i="1"/>
  <c r="L8" i="3"/>
  <c r="D46" i="2" l="1"/>
  <c r="D47" i="2"/>
  <c r="K8" i="2"/>
  <c r="G8" i="2"/>
  <c r="I8" i="2" s="1"/>
  <c r="D26" i="1"/>
  <c r="G26" i="1" s="1"/>
  <c r="C26" i="1"/>
  <c r="E26" i="1" s="1"/>
  <c r="F9" i="3"/>
  <c r="H9" i="3" s="1"/>
  <c r="G9" i="3"/>
  <c r="J9" i="3" s="1"/>
  <c r="D44" i="2" l="1"/>
  <c r="D45" i="2"/>
  <c r="J8" i="2"/>
  <c r="M8" i="2"/>
  <c r="L8" i="2"/>
  <c r="G9" i="2" s="1"/>
  <c r="I9" i="2" s="1"/>
  <c r="F26" i="1"/>
  <c r="I26" i="1"/>
  <c r="H26" i="1"/>
  <c r="G10" i="3"/>
  <c r="J10" i="3" s="1"/>
  <c r="I9" i="3"/>
  <c r="K9" i="3"/>
  <c r="F10" i="3" s="1"/>
  <c r="L9" i="3"/>
  <c r="D42" i="2" l="1"/>
  <c r="D43" i="2"/>
  <c r="C27" i="1"/>
  <c r="E27" i="1" s="1"/>
  <c r="D27" i="1"/>
  <c r="G27" i="1" s="1"/>
  <c r="H10" i="3"/>
  <c r="G11" i="3" s="1"/>
  <c r="J11" i="3" s="1"/>
  <c r="D40" i="2" l="1"/>
  <c r="D41" i="2"/>
  <c r="K9" i="2"/>
  <c r="J9" i="2" s="1"/>
  <c r="F27" i="1"/>
  <c r="I27" i="1"/>
  <c r="H27" i="1"/>
  <c r="I10" i="3"/>
  <c r="K10" i="3"/>
  <c r="F11" i="3" s="1"/>
  <c r="L10" i="3"/>
  <c r="M9" i="2" l="1"/>
  <c r="H10" i="2"/>
  <c r="L9" i="2"/>
  <c r="P41" i="2"/>
  <c r="O41" i="2"/>
  <c r="M41" i="2"/>
  <c r="K10" i="2"/>
  <c r="D28" i="1"/>
  <c r="G28" i="1" s="1"/>
  <c r="C28" i="1"/>
  <c r="E28" i="1" s="1"/>
  <c r="H11" i="3"/>
  <c r="I11" i="3" s="1"/>
  <c r="G10" i="2" l="1"/>
  <c r="I10" i="2" s="1"/>
  <c r="K42" i="2"/>
  <c r="N42" i="2" s="1"/>
  <c r="J42" i="2"/>
  <c r="L42" i="2" s="1"/>
  <c r="M42" i="2" s="1"/>
  <c r="F28" i="1"/>
  <c r="I28" i="1"/>
  <c r="H28" i="1"/>
  <c r="K11" i="3"/>
  <c r="L11" i="3"/>
  <c r="J10" i="2" l="1"/>
  <c r="L10" i="2"/>
  <c r="G11" i="2" s="1"/>
  <c r="I11" i="2" s="1"/>
  <c r="M10" i="2"/>
  <c r="O42" i="2"/>
  <c r="K43" i="2" s="1"/>
  <c r="N43" i="2" s="1"/>
  <c r="P42" i="2"/>
  <c r="D29" i="1"/>
  <c r="G29" i="1" s="1"/>
  <c r="C29" i="1"/>
  <c r="E29" i="1" s="1"/>
  <c r="F12" i="3"/>
  <c r="H12" i="3" s="1"/>
  <c r="G12" i="3"/>
  <c r="J12" i="3" s="1"/>
  <c r="H11" i="2" l="1"/>
  <c r="J43" i="2"/>
  <c r="L43" i="2" s="1"/>
  <c r="P43" i="2" s="1"/>
  <c r="K11" i="2"/>
  <c r="L11" i="2" s="1"/>
  <c r="F29" i="1"/>
  <c r="I29" i="1"/>
  <c r="H29" i="1"/>
  <c r="G13" i="3"/>
  <c r="J13" i="3" s="1"/>
  <c r="I12" i="3"/>
  <c r="K12" i="3"/>
  <c r="F13" i="3" s="1"/>
  <c r="L12" i="3"/>
  <c r="H12" i="2" l="1"/>
  <c r="M11" i="2"/>
  <c r="J11" i="2"/>
  <c r="G12" i="2"/>
  <c r="I12" i="2" s="1"/>
  <c r="M43" i="2"/>
  <c r="O43" i="2"/>
  <c r="D30" i="1"/>
  <c r="G30" i="1" s="1"/>
  <c r="C30" i="1"/>
  <c r="E30" i="1" s="1"/>
  <c r="H13" i="3"/>
  <c r="I13" i="3" s="1"/>
  <c r="H13" i="2" l="1"/>
  <c r="K12" i="2"/>
  <c r="J12" i="2"/>
  <c r="K44" i="2"/>
  <c r="N44" i="2" s="1"/>
  <c r="J44" i="2"/>
  <c r="L44" i="2" s="1"/>
  <c r="O44" i="2" s="1"/>
  <c r="L12" i="2"/>
  <c r="M12" i="2"/>
  <c r="G13" i="2"/>
  <c r="I13" i="2" s="1"/>
  <c r="G14" i="3"/>
  <c r="J14" i="3" s="1"/>
  <c r="F30" i="1"/>
  <c r="I30" i="1"/>
  <c r="H30" i="1"/>
  <c r="K13" i="3"/>
  <c r="F14" i="3" s="1"/>
  <c r="L13" i="3"/>
  <c r="M44" i="2" l="1"/>
  <c r="P44" i="2"/>
  <c r="J45" i="2"/>
  <c r="L45" i="2" s="1"/>
  <c r="K45" i="2"/>
  <c r="N45" i="2" s="1"/>
  <c r="K13" i="2"/>
  <c r="J13" i="2" s="1"/>
  <c r="D31" i="1"/>
  <c r="G31" i="1" s="1"/>
  <c r="C31" i="1"/>
  <c r="E31" i="1" s="1"/>
  <c r="H14" i="3"/>
  <c r="I14" i="3" s="1"/>
  <c r="L13" i="2" l="1"/>
  <c r="M13" i="2"/>
  <c r="M45" i="2"/>
  <c r="K46" i="2"/>
  <c r="N46" i="2" s="1"/>
  <c r="O45" i="2"/>
  <c r="J46" i="2" s="1"/>
  <c r="L46" i="2" s="1"/>
  <c r="P45" i="2"/>
  <c r="G14" i="2"/>
  <c r="F31" i="1"/>
  <c r="I31" i="1"/>
  <c r="H31" i="1"/>
  <c r="K14" i="3"/>
  <c r="L14" i="3"/>
  <c r="H14" i="2" l="1"/>
  <c r="K14" i="2" s="1"/>
  <c r="J47" i="2"/>
  <c r="L47" i="2" s="1"/>
  <c r="P46" i="2"/>
  <c r="O46" i="2"/>
  <c r="K47" i="2" s="1"/>
  <c r="N47" i="2" s="1"/>
  <c r="M46" i="2"/>
  <c r="I14" i="2"/>
  <c r="L14" i="2"/>
  <c r="F15" i="3"/>
  <c r="H15" i="3" s="1"/>
  <c r="G15" i="3"/>
  <c r="J15" i="3" s="1"/>
  <c r="J14" i="2" l="1"/>
  <c r="M14" i="2"/>
  <c r="G15" i="2" s="1"/>
  <c r="I15" i="2" s="1"/>
  <c r="M47" i="2"/>
  <c r="P47" i="2"/>
  <c r="O47" i="2"/>
  <c r="K48" i="2" s="1"/>
  <c r="N48" i="2" s="1"/>
  <c r="G16" i="3"/>
  <c r="J16" i="3" s="1"/>
  <c r="I15" i="3"/>
  <c r="K15" i="3"/>
  <c r="F16" i="3" s="1"/>
  <c r="L15" i="3"/>
  <c r="H15" i="2" l="1"/>
  <c r="J48" i="2"/>
  <c r="L48" i="2" s="1"/>
  <c r="O48" i="2" s="1"/>
  <c r="J49" i="2" s="1"/>
  <c r="L49" i="2" s="1"/>
  <c r="K15" i="2"/>
  <c r="M15" i="2" s="1"/>
  <c r="L15" i="2"/>
  <c r="H16" i="3"/>
  <c r="I16" i="3" s="1"/>
  <c r="H16" i="2" l="1"/>
  <c r="K16" i="2" s="1"/>
  <c r="J15" i="2"/>
  <c r="P48" i="2"/>
  <c r="K49" i="2" s="1"/>
  <c r="M48" i="2"/>
  <c r="G16" i="2"/>
  <c r="I16" i="2" s="1"/>
  <c r="K16" i="3"/>
  <c r="L16" i="3"/>
  <c r="N49" i="2" l="1"/>
  <c r="O49" i="2" s="1"/>
  <c r="J16" i="2"/>
  <c r="M16" i="2"/>
  <c r="G17" i="2"/>
  <c r="I17" i="2" s="1"/>
  <c r="L16" i="2"/>
  <c r="H17" i="2" s="1"/>
  <c r="F17" i="3"/>
  <c r="H17" i="3" s="1"/>
  <c r="G17" i="3"/>
  <c r="J17" i="3" s="1"/>
  <c r="K17" i="2" l="1"/>
  <c r="J17" i="2" s="1"/>
  <c r="P49" i="2"/>
  <c r="J50" i="2" s="1"/>
  <c r="L50" i="2" s="1"/>
  <c r="M49" i="2"/>
  <c r="K50" i="2"/>
  <c r="N50" i="2" s="1"/>
  <c r="I17" i="3"/>
  <c r="K17" i="3"/>
  <c r="F18" i="3" s="1"/>
  <c r="L17" i="3"/>
  <c r="L17" i="2" l="1"/>
  <c r="H18" i="2"/>
  <c r="M17" i="2"/>
  <c r="J51" i="2"/>
  <c r="L51" i="2" s="1"/>
  <c r="M50" i="2"/>
  <c r="P50" i="2"/>
  <c r="O50" i="2"/>
  <c r="G18" i="2"/>
  <c r="I18" i="2" s="1"/>
  <c r="G18" i="3"/>
  <c r="J18" i="3" s="1"/>
  <c r="H18" i="3"/>
  <c r="I18" i="3" s="1"/>
  <c r="K18" i="2" l="1"/>
  <c r="M18" i="2" s="1"/>
  <c r="J18" i="2"/>
  <c r="K51" i="2"/>
  <c r="N51" i="2" s="1"/>
  <c r="P51" i="2" s="1"/>
  <c r="G19" i="3"/>
  <c r="J19" i="3" s="1"/>
  <c r="K18" i="3"/>
  <c r="L18" i="3"/>
  <c r="L18" i="2" l="1"/>
  <c r="H19" i="2"/>
  <c r="M51" i="2"/>
  <c r="O51" i="2"/>
  <c r="K52" i="2" s="1"/>
  <c r="N52" i="2" s="1"/>
  <c r="F19" i="3"/>
  <c r="H19" i="3"/>
  <c r="I19" i="3" s="1"/>
  <c r="K19" i="2" l="1"/>
  <c r="G19" i="2"/>
  <c r="I19" i="2" s="1"/>
  <c r="G20" i="2" s="1"/>
  <c r="I20" i="2" s="1"/>
  <c r="J52" i="2"/>
  <c r="L52" i="2" s="1"/>
  <c r="K19" i="3"/>
  <c r="L19" i="3"/>
  <c r="J19" i="2" l="1"/>
  <c r="M19" i="2"/>
  <c r="L19" i="2"/>
  <c r="H20" i="2" s="1"/>
  <c r="K20" i="2" s="1"/>
  <c r="M52" i="2"/>
  <c r="P52" i="2"/>
  <c r="K53" i="2" s="1"/>
  <c r="N53" i="2" s="1"/>
  <c r="O52" i="2"/>
  <c r="J53" i="2"/>
  <c r="L53" i="2" s="1"/>
  <c r="F20" i="3"/>
  <c r="H20" i="3" s="1"/>
  <c r="G20" i="3"/>
  <c r="J20" i="3" s="1"/>
  <c r="H21" i="2" l="1"/>
  <c r="J20" i="2"/>
  <c r="L20" i="2"/>
  <c r="K54" i="2"/>
  <c r="N54" i="2" s="1"/>
  <c r="M53" i="2"/>
  <c r="P53" i="2"/>
  <c r="O53" i="2"/>
  <c r="J54" i="2" s="1"/>
  <c r="L54" i="2" s="1"/>
  <c r="M20" i="2"/>
  <c r="K21" i="2" s="1"/>
  <c r="G21" i="2"/>
  <c r="L20" i="3"/>
  <c r="I20" i="3"/>
  <c r="O22" i="3"/>
  <c r="K20" i="3"/>
  <c r="P54" i="2" l="1"/>
  <c r="J55" i="2" s="1"/>
  <c r="L55" i="2" s="1"/>
  <c r="M54" i="2"/>
  <c r="O54" i="2"/>
  <c r="I21" i="2"/>
  <c r="L21" i="2" s="1"/>
  <c r="P23" i="2"/>
  <c r="J21" i="2"/>
  <c r="M21" i="2"/>
  <c r="K55" i="2" l="1"/>
  <c r="N55" i="2" s="1"/>
  <c r="P55" i="2" s="1"/>
  <c r="O55" i="2" l="1"/>
  <c r="M55" i="2"/>
</calcChain>
</file>

<file path=xl/sharedStrings.xml><?xml version="1.0" encoding="utf-8"?>
<sst xmlns="http://schemas.openxmlformats.org/spreadsheetml/2006/main" count="152" uniqueCount="80">
  <si>
    <t>Номер отсчета</t>
  </si>
  <si>
    <t>x</t>
  </si>
  <si>
    <t>f(x)</t>
  </si>
  <si>
    <t>N</t>
  </si>
  <si>
    <t>e</t>
  </si>
  <si>
    <t>a</t>
  </si>
  <si>
    <t>b</t>
  </si>
  <si>
    <t xml:space="preserve"> </t>
  </si>
  <si>
    <t xml:space="preserve">min f(x) = </t>
  </si>
  <si>
    <t xml:space="preserve">x* = </t>
  </si>
  <si>
    <t>min f(x) =</t>
  </si>
  <si>
    <t>Номер итерации</t>
  </si>
  <si>
    <t>х1</t>
  </si>
  <si>
    <t>х2</t>
  </si>
  <si>
    <t>f1</t>
  </si>
  <si>
    <t>f2</t>
  </si>
  <si>
    <t>N=</t>
  </si>
  <si>
    <t>e=</t>
  </si>
  <si>
    <t>F</t>
  </si>
  <si>
    <t>x1(i)</t>
  </si>
  <si>
    <t>x2(i)</t>
  </si>
  <si>
    <t>f1(i)</t>
  </si>
  <si>
    <t>знак</t>
  </si>
  <si>
    <t>f2(i)</t>
  </si>
  <si>
    <t>a(i)</t>
  </si>
  <si>
    <t>b(i)</t>
  </si>
  <si>
    <t>__точки вычисляемые на j-ой итерации</t>
  </si>
  <si>
    <t>Точка минимума локализована на отрезке [6,479023; 6,555597]</t>
  </si>
  <si>
    <t>f*</t>
  </si>
  <si>
    <t>x*</t>
  </si>
  <si>
    <t>x1(j)</t>
  </si>
  <si>
    <t>x2(j)</t>
  </si>
  <si>
    <t>f1()</t>
  </si>
  <si>
    <t>f2()</t>
  </si>
  <si>
    <t>Ф1=</t>
  </si>
  <si>
    <t>Ф2=</t>
  </si>
  <si>
    <t>Точка минимума локализована на отрезке [6,498101; 6,503966]</t>
  </si>
  <si>
    <t>Условие:</t>
  </si>
  <si>
    <t>Результат:</t>
  </si>
  <si>
    <t>[6,17; 7,06]</t>
  </si>
  <si>
    <t>Отрезок локализации:</t>
  </si>
  <si>
    <t>Функция:</t>
  </si>
  <si>
    <t>f(x) = x^2-13x+7</t>
  </si>
  <si>
    <t>[6,22; 7,11]</t>
  </si>
  <si>
    <t>Метод дихотомии</t>
  </si>
  <si>
    <t>min f(x)</t>
  </si>
  <si>
    <t>[6,45; 6,58]</t>
  </si>
  <si>
    <t>№</t>
  </si>
  <si>
    <t>Vi</t>
  </si>
  <si>
    <t>Ki</t>
  </si>
  <si>
    <t>Si</t>
  </si>
  <si>
    <t>fi</t>
  </si>
  <si>
    <t>qi0</t>
  </si>
  <si>
    <t>Ki*Vi/qio</t>
  </si>
  <si>
    <t xml:space="preserve">F = </t>
  </si>
  <si>
    <t>L =</t>
  </si>
  <si>
    <t>Si*qi0</t>
  </si>
  <si>
    <t>fi*qi0</t>
  </si>
  <si>
    <t>Ki*Vi/qi0</t>
  </si>
  <si>
    <t>Результат системы</t>
  </si>
  <si>
    <t>Необходимые складские площади</t>
  </si>
  <si>
    <t>Издержки работы в д.е./год</t>
  </si>
  <si>
    <t>Управление поставками без ограничений</t>
  </si>
  <si>
    <t>Управление поставками с ограничениями на складские площади</t>
  </si>
  <si>
    <t>Vi - потребность товара</t>
  </si>
  <si>
    <t>Ki - издержки заказывания товара</t>
  </si>
  <si>
    <t>Si - издержки содержания на складе</t>
  </si>
  <si>
    <t>fi - расход складской площади на единицу товара</t>
  </si>
  <si>
    <t>qi0 - оптимальные размеры поставок при отсутствии ограничений</t>
  </si>
  <si>
    <t>F - величина торгового зала</t>
  </si>
  <si>
    <t>L - суммарные расходы при данном плане поставок</t>
  </si>
  <si>
    <t>1. Оптимизация без ограничений на складские площади.</t>
  </si>
  <si>
    <t>2. Оптимизация с ограничениями на складские площади.</t>
  </si>
  <si>
    <t>Начальные данные</t>
  </si>
  <si>
    <t>Функция</t>
  </si>
  <si>
    <t>x^2-3x+7</t>
  </si>
  <si>
    <t>[1,454;1,588]</t>
  </si>
  <si>
    <t>Числа Фибоначчи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</si>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</sst>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 applyBorder="1"/>
    <xf numFmtId="2" fontId="0" fillId="2" borderId="0" xfId="0" applyNumberFormat="1" applyFill="1"/>
    <xf numFmtId="0" fontId="0" fillId="2" borderId="3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0" xfId="0" applyFill="1" applyAlignment="1">
      <alignment wrapText="1"/>
    </xf>
    <xf numFmtId="0" fontId="1" fillId="0" borderId="0" xfId="0" applyFont="1"/>
    <xf numFmtId="0" fontId="0" fillId="3" borderId="0" xfId="0" applyFill="1"/>
    <xf numFmtId="0" fontId="0" fillId="0" borderId="9" xfId="0" applyBorder="1"/>
    <xf numFmtId="0" fontId="0" fillId="0" borderId="0" xfId="0" applyBorder="1"/>
    <xf numFmtId="2" fontId="0" fillId="0" borderId="9" xfId="0" applyNumberFormat="1" applyBorder="1"/>
    <xf numFmtId="2" fontId="0" fillId="0" borderId="0" xfId="0" applyNumberFormat="1" applyBorder="1"/>
    <xf numFmtId="0" fontId="0" fillId="0" borderId="9" xfId="0" applyBorder="1" applyAlignment="1">
      <alignment wrapText="1"/>
    </xf>
    <xf numFmtId="0" fontId="0" fillId="2" borderId="0" xfId="0" applyNumberFormat="1" applyFill="1"/>
    <xf numFmtId="0" fontId="0" fillId="0" borderId="0" xfId="0" applyNumberFormat="1"/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164" fontId="0" fillId="4" borderId="9" xfId="0" applyNumberFormat="1" applyFill="1" applyBorder="1"/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5" borderId="9" xfId="0" applyNumberFormat="1" applyFill="1" applyBorder="1"/>
    <xf numFmtId="0" fontId="0" fillId="0" borderId="9" xfId="0" applyNumberFormat="1" applyBorder="1"/>
    <xf numFmtId="0" fontId="0" fillId="3" borderId="9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1"/>
  <sheetViews>
    <sheetView workbookViewId="0">
      <selection activeCell="Q37" sqref="Q37"/>
    </sheetView>
  </sheetViews>
  <sheetFormatPr defaultRowHeight="14.4" x14ac:dyDescent="0.3"/>
  <cols>
    <col min="2" max="2" width="18.6640625" customWidth="1"/>
    <col min="3" max="3" width="10.33203125" customWidth="1"/>
    <col min="5" max="5" width="16.5546875" customWidth="1"/>
    <col min="12" max="12" width="13.6640625" customWidth="1"/>
    <col min="13" max="13" width="10.88671875" customWidth="1"/>
    <col min="14" max="14" width="16.33203125" customWidth="1"/>
  </cols>
  <sheetData>
    <row r="2" spans="1:19" x14ac:dyDescent="0.3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</row>
    <row r="3" spans="1:19" x14ac:dyDescent="0.3">
      <c r="B3" t="s">
        <v>1</v>
      </c>
      <c r="C3" s="1">
        <f>IF(MOD(C2,2)=0,$C$8+(($C$9-$C$8)/($C$6/2 +1))*(C2/2)+($C$7/2),$C$8+(($C$9-$C$8)/($C$6/2 +1))*((C2+1)/2)-($C$7/2))</f>
        <v>0.8388888888888888</v>
      </c>
      <c r="D3" s="1">
        <f t="shared" ref="D3:R3" si="0">IF(MOD(D2,2)=0,$C$8+(($C$9-$C$8)/($C$6/2 +1))*(D2/2)+($C$7/2),$C$8+(($C$9-$C$8)/($C$6/2 +1))*((D2+1)/2)-($C$7/2))</f>
        <v>0.93888888888888888</v>
      </c>
      <c r="E3" s="1">
        <f t="shared" si="0"/>
        <v>1.7277777777777776</v>
      </c>
      <c r="F3" s="1">
        <f t="shared" si="0"/>
        <v>1.8277777777777777</v>
      </c>
      <c r="G3" s="1">
        <f t="shared" si="0"/>
        <v>2.6166666666666667</v>
      </c>
      <c r="H3" s="1">
        <f t="shared" si="0"/>
        <v>2.7166666666666663</v>
      </c>
      <c r="I3" s="1">
        <f t="shared" si="0"/>
        <v>3.5055555555555555</v>
      </c>
      <c r="J3" s="1">
        <f t="shared" si="0"/>
        <v>3.6055555555555552</v>
      </c>
      <c r="K3" s="1">
        <f t="shared" si="0"/>
        <v>4.3944444444444448</v>
      </c>
      <c r="L3" s="1">
        <f t="shared" si="0"/>
        <v>4.4944444444444445</v>
      </c>
      <c r="M3" s="1">
        <f t="shared" si="0"/>
        <v>5.2833333333333332</v>
      </c>
      <c r="N3" s="1">
        <f t="shared" si="0"/>
        <v>5.3833333333333329</v>
      </c>
      <c r="O3" s="1">
        <f t="shared" si="0"/>
        <v>6.1722222222222216</v>
      </c>
      <c r="P3" s="1">
        <f t="shared" si="0"/>
        <v>6.2722222222222213</v>
      </c>
      <c r="Q3" s="1">
        <f t="shared" si="0"/>
        <v>7.0611111111111109</v>
      </c>
      <c r="R3" s="1">
        <f t="shared" si="0"/>
        <v>7.1611111111111105</v>
      </c>
    </row>
    <row r="4" spans="1:19" x14ac:dyDescent="0.3">
      <c r="B4" t="s">
        <v>2</v>
      </c>
      <c r="C4" s="1">
        <f>C3*C3-13*C3+7</f>
        <v>-3.2018209876543207</v>
      </c>
      <c r="D4" s="1">
        <f t="shared" ref="D4:R4" si="1">D3*D3-13*D3+7</f>
        <v>-4.3240432098765424</v>
      </c>
      <c r="E4" s="1">
        <f t="shared" si="1"/>
        <v>-12.475895061728394</v>
      </c>
      <c r="F4" s="1">
        <f t="shared" si="1"/>
        <v>-13.420339506172837</v>
      </c>
      <c r="G4" s="1">
        <f t="shared" si="1"/>
        <v>-20.169722222222219</v>
      </c>
      <c r="H4" s="1">
        <f t="shared" si="1"/>
        <v>-20.936388888888885</v>
      </c>
      <c r="I4" s="1">
        <f t="shared" si="1"/>
        <v>-26.283302469135805</v>
      </c>
      <c r="J4" s="1">
        <f t="shared" si="1"/>
        <v>-26.872191358024693</v>
      </c>
      <c r="K4" s="1">
        <f t="shared" si="1"/>
        <v>-30.816635802469136</v>
      </c>
      <c r="L4" s="1">
        <f t="shared" si="1"/>
        <v>-31.227746913580248</v>
      </c>
      <c r="M4" s="1">
        <f t="shared" si="1"/>
        <v>-33.769722222222228</v>
      </c>
      <c r="N4" s="1">
        <f t="shared" si="1"/>
        <v>-34.003055555555548</v>
      </c>
      <c r="O4" s="1">
        <f t="shared" si="1"/>
        <v>-35.142561728395059</v>
      </c>
      <c r="P4" s="1">
        <f t="shared" si="1"/>
        <v>-35.198117283950616</v>
      </c>
      <c r="Q4" s="1">
        <f t="shared" si="1"/>
        <v>-34.93515432098765</v>
      </c>
      <c r="R4" s="1">
        <f t="shared" si="1"/>
        <v>-34.81293209876543</v>
      </c>
    </row>
    <row r="5" spans="1:19" x14ac:dyDescent="0.3">
      <c r="B5" t="s">
        <v>37</v>
      </c>
      <c r="E5" t="s">
        <v>41</v>
      </c>
    </row>
    <row r="6" spans="1:19" x14ac:dyDescent="0.3">
      <c r="B6" s="5" t="s">
        <v>3</v>
      </c>
      <c r="C6" s="6">
        <v>16</v>
      </c>
      <c r="D6" s="7">
        <v>17</v>
      </c>
      <c r="E6" s="2" t="s">
        <v>42</v>
      </c>
    </row>
    <row r="7" spans="1:19" x14ac:dyDescent="0.3">
      <c r="B7" s="8" t="s">
        <v>4</v>
      </c>
      <c r="C7" s="9">
        <v>0.1</v>
      </c>
      <c r="D7" s="10">
        <v>0.1</v>
      </c>
    </row>
    <row r="8" spans="1:19" x14ac:dyDescent="0.3">
      <c r="B8" s="8" t="s">
        <v>5</v>
      </c>
      <c r="C8" s="9">
        <v>0</v>
      </c>
      <c r="D8" s="10">
        <v>0</v>
      </c>
    </row>
    <row r="9" spans="1:19" x14ac:dyDescent="0.3">
      <c r="B9" s="11" t="s">
        <v>6</v>
      </c>
      <c r="C9" s="12">
        <v>8</v>
      </c>
      <c r="D9" s="13">
        <v>8</v>
      </c>
    </row>
    <row r="10" spans="1:19" x14ac:dyDescent="0.3">
      <c r="B10" s="3" t="s">
        <v>38</v>
      </c>
    </row>
    <row r="11" spans="1:19" x14ac:dyDescent="0.3">
      <c r="A11" t="s">
        <v>7</v>
      </c>
      <c r="B11" s="2" t="s">
        <v>8</v>
      </c>
      <c r="C11" s="4">
        <f>MIN(C4:R4)</f>
        <v>-35.198117283950616</v>
      </c>
    </row>
    <row r="12" spans="1:19" x14ac:dyDescent="0.3">
      <c r="B12" s="2" t="s">
        <v>9</v>
      </c>
      <c r="C12" s="2">
        <v>6.27</v>
      </c>
    </row>
    <row r="13" spans="1:19" ht="28.8" x14ac:dyDescent="0.3">
      <c r="B13" s="14" t="s">
        <v>40</v>
      </c>
      <c r="C13" s="2" t="s">
        <v>39</v>
      </c>
    </row>
    <row r="14" spans="1:19" x14ac:dyDescent="0.3">
      <c r="B14" t="s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</row>
    <row r="15" spans="1:19" x14ac:dyDescent="0.3">
      <c r="B15" t="s">
        <v>1</v>
      </c>
      <c r="C15" s="1">
        <f>$C$8+(($C$9-$C$8)/($D$6+1))*C14</f>
        <v>0.44444444444444442</v>
      </c>
      <c r="D15" s="1">
        <f t="shared" ref="D15:S15" si="2">$C$8+(($C$9-$C$8)/($D$6+1))*D14</f>
        <v>0.88888888888888884</v>
      </c>
      <c r="E15" s="1">
        <f t="shared" si="2"/>
        <v>1.3333333333333333</v>
      </c>
      <c r="F15" s="1">
        <f t="shared" si="2"/>
        <v>1.7777777777777777</v>
      </c>
      <c r="G15" s="1">
        <f t="shared" si="2"/>
        <v>2.2222222222222223</v>
      </c>
      <c r="H15" s="1">
        <f t="shared" si="2"/>
        <v>2.6666666666666665</v>
      </c>
      <c r="I15" s="1">
        <f t="shared" si="2"/>
        <v>3.1111111111111107</v>
      </c>
      <c r="J15" s="1">
        <f t="shared" si="2"/>
        <v>3.5555555555555554</v>
      </c>
      <c r="K15" s="1">
        <f t="shared" si="2"/>
        <v>4</v>
      </c>
      <c r="L15" s="1">
        <f t="shared" si="2"/>
        <v>4.4444444444444446</v>
      </c>
      <c r="M15" s="1">
        <f t="shared" si="2"/>
        <v>4.8888888888888884</v>
      </c>
      <c r="N15" s="1">
        <f t="shared" si="2"/>
        <v>5.333333333333333</v>
      </c>
      <c r="O15" s="1">
        <f t="shared" si="2"/>
        <v>5.7777777777777777</v>
      </c>
      <c r="P15" s="1">
        <f t="shared" si="2"/>
        <v>6.2222222222222214</v>
      </c>
      <c r="Q15" s="1">
        <f t="shared" si="2"/>
        <v>6.6666666666666661</v>
      </c>
      <c r="R15" s="1">
        <f t="shared" si="2"/>
        <v>7.1111111111111107</v>
      </c>
      <c r="S15" s="1">
        <f t="shared" si="2"/>
        <v>7.5555555555555554</v>
      </c>
    </row>
    <row r="16" spans="1:19" x14ac:dyDescent="0.3">
      <c r="B16" t="s">
        <v>2</v>
      </c>
      <c r="C16" s="1">
        <f>C15*C15-13*C15+7</f>
        <v>1.4197530864197532</v>
      </c>
      <c r="D16" s="1">
        <f t="shared" ref="D16:S16" si="3">D15*D15-13*D15+7</f>
        <v>-3.7654320987654319</v>
      </c>
      <c r="E16" s="1">
        <f t="shared" si="3"/>
        <v>-8.5555555555555536</v>
      </c>
      <c r="F16" s="1">
        <f t="shared" si="3"/>
        <v>-12.950617283950617</v>
      </c>
      <c r="G16" s="1">
        <f t="shared" si="3"/>
        <v>-16.950617283950617</v>
      </c>
      <c r="H16" s="1">
        <f t="shared" si="3"/>
        <v>-20.555555555555554</v>
      </c>
      <c r="I16" s="1">
        <f t="shared" si="3"/>
        <v>-23.765432098765434</v>
      </c>
      <c r="J16" s="1">
        <f t="shared" si="3"/>
        <v>-26.580246913580247</v>
      </c>
      <c r="K16" s="1">
        <f t="shared" si="3"/>
        <v>-29</v>
      </c>
      <c r="L16" s="1">
        <f t="shared" si="3"/>
        <v>-31.02469135802469</v>
      </c>
      <c r="M16" s="1">
        <f t="shared" si="3"/>
        <v>-32.654320987654316</v>
      </c>
      <c r="N16" s="1">
        <f t="shared" si="3"/>
        <v>-33.888888888888886</v>
      </c>
      <c r="O16" s="1">
        <f t="shared" si="3"/>
        <v>-34.728395061728399</v>
      </c>
      <c r="P16" s="1">
        <f t="shared" si="3"/>
        <v>-35.172839506172849</v>
      </c>
      <c r="Q16" s="1">
        <f t="shared" si="3"/>
        <v>-35.222222222222221</v>
      </c>
      <c r="R16" s="1">
        <f t="shared" si="3"/>
        <v>-34.876543209876544</v>
      </c>
      <c r="S16" s="1">
        <f t="shared" si="3"/>
        <v>-34.135802469135797</v>
      </c>
    </row>
    <row r="17" spans="2:14" x14ac:dyDescent="0.3">
      <c r="B17" t="s">
        <v>38</v>
      </c>
      <c r="E17" t="s">
        <v>41</v>
      </c>
    </row>
    <row r="18" spans="2:14" x14ac:dyDescent="0.3">
      <c r="B18" s="2" t="s">
        <v>10</v>
      </c>
      <c r="C18" s="4">
        <f>MIN(C16:S16)</f>
        <v>-35.222222222222221</v>
      </c>
      <c r="E18" s="2" t="s">
        <v>42</v>
      </c>
    </row>
    <row r="19" spans="2:14" x14ac:dyDescent="0.3">
      <c r="B19" s="2" t="s">
        <v>9</v>
      </c>
      <c r="C19" s="2">
        <v>6.67</v>
      </c>
    </row>
    <row r="20" spans="2:14" ht="28.8" x14ac:dyDescent="0.3">
      <c r="B20" s="14" t="s">
        <v>40</v>
      </c>
      <c r="C20" s="2" t="s">
        <v>43</v>
      </c>
    </row>
    <row r="21" spans="2:14" x14ac:dyDescent="0.3">
      <c r="B21" s="15" t="s">
        <v>44</v>
      </c>
    </row>
    <row r="22" spans="2:14" x14ac:dyDescent="0.3">
      <c r="B22" t="s">
        <v>11</v>
      </c>
      <c r="C22" t="s">
        <v>12</v>
      </c>
      <c r="D22" t="s">
        <v>13</v>
      </c>
      <c r="E22" t="s">
        <v>14</v>
      </c>
      <c r="G22" t="s">
        <v>15</v>
      </c>
      <c r="H22" t="s">
        <v>5</v>
      </c>
      <c r="I22" t="s">
        <v>6</v>
      </c>
      <c r="L22" t="s">
        <v>37</v>
      </c>
      <c r="N22" t="s">
        <v>41</v>
      </c>
    </row>
    <row r="23" spans="2:14" x14ac:dyDescent="0.3">
      <c r="B23">
        <v>0</v>
      </c>
      <c r="C23" s="1"/>
      <c r="D23" s="1"/>
      <c r="E23" s="1"/>
      <c r="F23" s="1"/>
      <c r="G23" s="1"/>
      <c r="H23" s="1">
        <v>0</v>
      </c>
      <c r="I23" s="1">
        <v>8</v>
      </c>
      <c r="L23" s="2" t="s">
        <v>3</v>
      </c>
      <c r="M23" s="2">
        <v>16</v>
      </c>
      <c r="N23" s="2" t="s">
        <v>42</v>
      </c>
    </row>
    <row r="24" spans="2:14" x14ac:dyDescent="0.3">
      <c r="B24">
        <v>1</v>
      </c>
      <c r="C24" s="1">
        <f>0.5*(H23+I23)-$C$7/2</f>
        <v>3.95</v>
      </c>
      <c r="D24" s="1">
        <f>0.5*(H23+I23)+$C$7/2</f>
        <v>4.05</v>
      </c>
      <c r="E24" s="1">
        <f>C24*C24-13*C24+7</f>
        <v>-28.747500000000002</v>
      </c>
      <c r="F24" s="1" t="str">
        <f>IF(E24&gt;G24,"&gt;","&lt;")</f>
        <v>&gt;</v>
      </c>
      <c r="G24" s="1">
        <f>D24*D24-13*D24+7</f>
        <v>-29.247500000000002</v>
      </c>
      <c r="H24" s="1">
        <f>IF(E24&gt;G24,C24,H23)</f>
        <v>3.95</v>
      </c>
      <c r="I24" s="1">
        <f>IF(E24&gt;G24,I23,D24)</f>
        <v>8</v>
      </c>
      <c r="L24" s="2" t="s">
        <v>4</v>
      </c>
      <c r="M24" s="2">
        <v>0.1</v>
      </c>
    </row>
    <row r="25" spans="2:14" x14ac:dyDescent="0.3">
      <c r="B25">
        <v>2</v>
      </c>
      <c r="C25" s="1">
        <f>0.5*(H24+I24)-$C$7/2</f>
        <v>5.9249999999999998</v>
      </c>
      <c r="D25" s="1">
        <f>0.5*(H24+I24)+$C$7/2</f>
        <v>6.0249999999999995</v>
      </c>
      <c r="E25" s="1">
        <f>C25*C25-13*C25+7</f>
        <v>-34.919374999999995</v>
      </c>
      <c r="F25" s="1" t="str">
        <f t="shared" ref="F25:F31" si="4">IF(E25&gt;G25,"&gt;","&lt;")</f>
        <v>&gt;</v>
      </c>
      <c r="G25" s="1">
        <f>D25*D25-13*D25+7</f>
        <v>-35.024374999999992</v>
      </c>
      <c r="H25" s="1">
        <f>IF(E25&gt;G25,C25,H24)</f>
        <v>5.9249999999999998</v>
      </c>
      <c r="I25" s="1">
        <f>IF(E25&gt;G25,I24,D25)</f>
        <v>8</v>
      </c>
      <c r="L25" s="2" t="s">
        <v>5</v>
      </c>
      <c r="M25" s="2">
        <v>0</v>
      </c>
    </row>
    <row r="26" spans="2:14" x14ac:dyDescent="0.3">
      <c r="B26">
        <v>3</v>
      </c>
      <c r="C26" s="1">
        <f t="shared" ref="C26:C31" si="5">0.5*(H25+I25)-$C$7/2</f>
        <v>6.9125000000000005</v>
      </c>
      <c r="D26" s="1">
        <f t="shared" ref="D26:D31" si="6">0.5*(H25+I25)+$C$7/2</f>
        <v>7.0125000000000002</v>
      </c>
      <c r="E26" s="1">
        <f t="shared" ref="E26:E31" si="7">C26*C26-13*C26+7</f>
        <v>-35.079843750000002</v>
      </c>
      <c r="F26" s="1" t="str">
        <f t="shared" si="4"/>
        <v>&lt;</v>
      </c>
      <c r="G26" s="1">
        <f t="shared" ref="G26:G31" si="8">D26*D26-13*D26+7</f>
        <v>-34.987343750000008</v>
      </c>
      <c r="H26" s="1">
        <f t="shared" ref="H26:H31" si="9">IF(E26&gt;G26,C26,H25)</f>
        <v>5.9249999999999998</v>
      </c>
      <c r="I26" s="1">
        <f t="shared" ref="I26:I31" si="10">IF(E26&gt;G26,I25,D26)</f>
        <v>7.0125000000000002</v>
      </c>
      <c r="L26" s="2" t="s">
        <v>6</v>
      </c>
      <c r="M26" s="2">
        <v>8</v>
      </c>
    </row>
    <row r="27" spans="2:14" x14ac:dyDescent="0.3">
      <c r="B27">
        <v>4</v>
      </c>
      <c r="C27" s="1">
        <f t="shared" si="5"/>
        <v>6.4187500000000002</v>
      </c>
      <c r="D27" s="1">
        <f t="shared" si="6"/>
        <v>6.5187499999999998</v>
      </c>
      <c r="E27" s="1">
        <f t="shared" si="7"/>
        <v>-35.243398437500005</v>
      </c>
      <c r="F27" s="1" t="str">
        <f t="shared" si="4"/>
        <v>&gt;</v>
      </c>
      <c r="G27" s="1">
        <f t="shared" si="8"/>
        <v>-35.249648437499992</v>
      </c>
      <c r="H27" s="1">
        <f t="shared" si="9"/>
        <v>6.4187500000000002</v>
      </c>
      <c r="I27" s="1">
        <f t="shared" si="10"/>
        <v>7.0125000000000002</v>
      </c>
    </row>
    <row r="28" spans="2:14" x14ac:dyDescent="0.3">
      <c r="B28">
        <v>5</v>
      </c>
      <c r="C28" s="1">
        <f t="shared" si="5"/>
        <v>6.6656250000000004</v>
      </c>
      <c r="D28" s="1">
        <f t="shared" si="6"/>
        <v>6.765625</v>
      </c>
      <c r="E28" s="1">
        <f t="shared" si="7"/>
        <v>-35.222568359374996</v>
      </c>
      <c r="F28" s="1" t="str">
        <f t="shared" si="4"/>
        <v>&lt;</v>
      </c>
      <c r="G28" s="1">
        <f t="shared" si="8"/>
        <v>-35.179443359375</v>
      </c>
      <c r="H28" s="1">
        <f t="shared" si="9"/>
        <v>6.4187500000000002</v>
      </c>
      <c r="I28" s="1">
        <f t="shared" si="10"/>
        <v>6.765625</v>
      </c>
      <c r="L28" s="16" t="s">
        <v>38</v>
      </c>
    </row>
    <row r="29" spans="2:14" x14ac:dyDescent="0.3">
      <c r="B29">
        <v>6</v>
      </c>
      <c r="C29" s="1">
        <f t="shared" si="5"/>
        <v>6.5421874999999998</v>
      </c>
      <c r="D29" s="1">
        <f t="shared" si="6"/>
        <v>6.6421874999999995</v>
      </c>
      <c r="E29" s="1">
        <f t="shared" si="7"/>
        <v>-35.248220214843741</v>
      </c>
      <c r="F29" s="1" t="str">
        <f t="shared" si="4"/>
        <v>&lt;</v>
      </c>
      <c r="G29" s="1">
        <f t="shared" si="8"/>
        <v>-35.229782714843743</v>
      </c>
      <c r="H29" s="1">
        <f t="shared" si="9"/>
        <v>6.4187500000000002</v>
      </c>
      <c r="I29" s="1">
        <f t="shared" si="10"/>
        <v>6.6421874999999995</v>
      </c>
      <c r="L29" s="2" t="s">
        <v>45</v>
      </c>
      <c r="M29" s="2">
        <v>-35.25</v>
      </c>
    </row>
    <row r="30" spans="2:14" x14ac:dyDescent="0.3">
      <c r="B30">
        <v>7</v>
      </c>
      <c r="C30" s="1">
        <f t="shared" si="5"/>
        <v>6.48046875</v>
      </c>
      <c r="D30" s="1">
        <f t="shared" si="6"/>
        <v>6.5804687499999996</v>
      </c>
      <c r="E30" s="1">
        <f t="shared" si="7"/>
        <v>-35.249618530273438</v>
      </c>
      <c r="F30" s="1" t="str">
        <f t="shared" si="4"/>
        <v>&lt;</v>
      </c>
      <c r="G30" s="1">
        <f t="shared" si="8"/>
        <v>-35.243524780273439</v>
      </c>
      <c r="H30" s="1">
        <f t="shared" si="9"/>
        <v>6.4187500000000002</v>
      </c>
      <c r="I30" s="1">
        <f t="shared" si="10"/>
        <v>6.5804687499999996</v>
      </c>
      <c r="L30" s="2" t="s">
        <v>29</v>
      </c>
      <c r="M30" s="2">
        <v>6.55</v>
      </c>
    </row>
    <row r="31" spans="2:14" ht="30.75" customHeight="1" x14ac:dyDescent="0.3">
      <c r="B31">
        <v>8</v>
      </c>
      <c r="C31" s="1">
        <f t="shared" si="5"/>
        <v>6.4496093750000005</v>
      </c>
      <c r="D31" s="1">
        <f t="shared" si="6"/>
        <v>6.5496093750000002</v>
      </c>
      <c r="E31" s="1">
        <f t="shared" si="7"/>
        <v>-35.247460784912114</v>
      </c>
      <c r="F31" s="1" t="str">
        <f t="shared" si="4"/>
        <v>&gt;</v>
      </c>
      <c r="G31" s="1">
        <f t="shared" si="8"/>
        <v>-35.247538909912116</v>
      </c>
      <c r="H31" s="1">
        <f t="shared" si="9"/>
        <v>6.4496093750000005</v>
      </c>
      <c r="I31" s="1">
        <f t="shared" si="10"/>
        <v>6.5804687499999996</v>
      </c>
      <c r="L31" s="14" t="s">
        <v>40</v>
      </c>
      <c r="M31" s="2" t="s">
        <v>46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topLeftCell="B1" workbookViewId="0">
      <selection activeCell="P16" sqref="P16"/>
    </sheetView>
  </sheetViews>
  <sheetFormatPr defaultRowHeight="14.4" x14ac:dyDescent="0.3"/>
  <cols>
    <col min="6" max="6" width="18.33203125" customWidth="1"/>
    <col min="8" max="8" width="24.88671875" customWidth="1"/>
    <col min="9" max="9" width="15" customWidth="1"/>
    <col min="11" max="11" width="17.33203125" customWidth="1"/>
    <col min="16" max="16" width="37.33203125" customWidth="1"/>
  </cols>
  <sheetData>
    <row r="1" spans="1:16" x14ac:dyDescent="0.3">
      <c r="B1" t="s">
        <v>37</v>
      </c>
    </row>
    <row r="2" spans="1:16" x14ac:dyDescent="0.3">
      <c r="B2" s="2" t="s">
        <v>16</v>
      </c>
      <c r="C2" s="2">
        <v>16</v>
      </c>
    </row>
    <row r="3" spans="1:16" x14ac:dyDescent="0.3">
      <c r="B3" s="2" t="s">
        <v>17</v>
      </c>
      <c r="C3" s="2">
        <v>0.02</v>
      </c>
    </row>
    <row r="5" spans="1:16" x14ac:dyDescent="0.3">
      <c r="A5" t="s">
        <v>18</v>
      </c>
      <c r="B5">
        <v>17</v>
      </c>
      <c r="C5">
        <f t="shared" ref="C5:C19" si="0">C6+C7</f>
        <v>2584</v>
      </c>
      <c r="F5" t="s">
        <v>11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</row>
    <row r="6" spans="1:16" x14ac:dyDescent="0.3">
      <c r="A6" t="s">
        <v>18</v>
      </c>
      <c r="B6">
        <v>16</v>
      </c>
      <c r="C6">
        <f t="shared" si="0"/>
        <v>1597</v>
      </c>
      <c r="F6">
        <v>0</v>
      </c>
      <c r="L6">
        <v>0</v>
      </c>
      <c r="M6">
        <v>8</v>
      </c>
      <c r="O6" s="2"/>
      <c r="P6" t="s">
        <v>26</v>
      </c>
    </row>
    <row r="7" spans="1:16" x14ac:dyDescent="0.3">
      <c r="A7" t="s">
        <v>18</v>
      </c>
      <c r="B7">
        <v>15</v>
      </c>
      <c r="C7">
        <f t="shared" si="0"/>
        <v>987</v>
      </c>
      <c r="F7">
        <v>1</v>
      </c>
      <c r="G7" s="22">
        <f>L6+(C8/C6)*(M6-L6)-(((-1)^B6)/C6)*C3</f>
        <v>3.0557169693174702</v>
      </c>
      <c r="H7" s="22">
        <f>L6+(C7/C6)*(M6-L6)+(((-1)^B6)/C6)*C3</f>
        <v>4.9442830306825298</v>
      </c>
      <c r="I7" s="23">
        <f>G7*G7-3*G7+7</f>
        <v>7.1702552886223341</v>
      </c>
      <c r="J7" s="23" t="str">
        <f>IF(I7&lt;=K7,"&lt;=","&gt;")</f>
        <v>&lt;=</v>
      </c>
      <c r="K7" s="23">
        <f>H7*H7-3*H7+7</f>
        <v>16.613085595447632</v>
      </c>
      <c r="L7" s="23">
        <f>IF(I7&lt;=K7,L6,G7)</f>
        <v>0</v>
      </c>
      <c r="M7" s="23">
        <f>IF(I7&lt;=K7,H7,M6)</f>
        <v>4.9442830306825298</v>
      </c>
    </row>
    <row r="8" spans="1:16" x14ac:dyDescent="0.3">
      <c r="A8" t="s">
        <v>18</v>
      </c>
      <c r="B8">
        <v>14</v>
      </c>
      <c r="C8">
        <f t="shared" si="0"/>
        <v>610</v>
      </c>
      <c r="F8">
        <v>2</v>
      </c>
      <c r="G8" s="23">
        <f>IF(I7&lt;=K7,L7+(C9/C7)*(M7-L7)-(((-1)^B7)/C7)*$C$3,H7)</f>
        <v>1.8885660613650594</v>
      </c>
      <c r="H8" s="22">
        <f>IF(I7&lt;=K7,G7,L7+(C8/C7)*(M7-L7)+(((-1)^B7)/C7)*$C$3)</f>
        <v>3.0557169693174702</v>
      </c>
      <c r="I8" s="23">
        <f t="shared" ref="I8:I21" si="1">G8*G8-3*G8+7</f>
        <v>4.9009835840447558</v>
      </c>
      <c r="J8" s="23" t="str">
        <f t="shared" ref="J8:J21" si="2">IF(I8&lt;=K8,"&lt;=","&gt;")</f>
        <v>&lt;=</v>
      </c>
      <c r="K8" s="23">
        <f t="shared" ref="K8:K21" si="3">H8*H8-3*H8+7</f>
        <v>7.1702552886223341</v>
      </c>
      <c r="L8" s="23">
        <f t="shared" ref="L8:L21" si="4">IF(I8&lt;=K8,L7,G8)</f>
        <v>0</v>
      </c>
      <c r="M8" s="23">
        <f t="shared" ref="M8:M21" si="5">IF(I8&lt;=K8,H8,M7)</f>
        <v>3.0557169693174702</v>
      </c>
    </row>
    <row r="9" spans="1:16" x14ac:dyDescent="0.3">
      <c r="A9" t="s">
        <v>18</v>
      </c>
      <c r="B9">
        <v>13</v>
      </c>
      <c r="C9">
        <f t="shared" si="0"/>
        <v>377</v>
      </c>
      <c r="F9">
        <v>3</v>
      </c>
      <c r="G9" s="23">
        <f>IF(I8&lt;=K8,L8+(C10/C8)*(M8-L8)-(((-1)^B8)/C8)*$C$3,H8)</f>
        <v>1.1671509079524107</v>
      </c>
      <c r="H9" s="22">
        <f t="shared" ref="H9:H21" si="6">IF(I8&lt;=K8,G8,L8+(C9/C8)*(M8-L8)+(((-1)^B8)/C8)*$C$3)</f>
        <v>1.8885660613650594</v>
      </c>
      <c r="I9" s="23">
        <f t="shared" si="1"/>
        <v>4.8607885180769044</v>
      </c>
      <c r="J9" s="23" t="str">
        <f t="shared" si="2"/>
        <v>&lt;=</v>
      </c>
      <c r="K9" s="23">
        <f t="shared" si="3"/>
        <v>4.9009835840447558</v>
      </c>
      <c r="L9" s="23">
        <f t="shared" si="4"/>
        <v>0</v>
      </c>
      <c r="M9" s="23">
        <f t="shared" si="5"/>
        <v>1.8885660613650594</v>
      </c>
    </row>
    <row r="10" spans="1:16" x14ac:dyDescent="0.3">
      <c r="A10" t="s">
        <v>18</v>
      </c>
      <c r="B10">
        <v>12</v>
      </c>
      <c r="C10">
        <f t="shared" si="0"/>
        <v>233</v>
      </c>
      <c r="F10">
        <v>4</v>
      </c>
      <c r="G10" s="23">
        <f t="shared" ref="G9:G21" si="7">IF(I9&lt;=K9,L9+(C11/C9)*(M9-L9)-(((-1)^B9)/C9)*$C$3,H9)</f>
        <v>0.72141515341264861</v>
      </c>
      <c r="H10" s="22">
        <f t="shared" si="6"/>
        <v>1.1671509079524107</v>
      </c>
      <c r="I10" s="23">
        <f t="shared" si="1"/>
        <v>5.3561943633354492</v>
      </c>
      <c r="J10" s="23" t="str">
        <f t="shared" si="2"/>
        <v>&gt;</v>
      </c>
      <c r="K10" s="23">
        <f t="shared" si="3"/>
        <v>4.8607885180769044</v>
      </c>
      <c r="L10" s="23">
        <f t="shared" si="4"/>
        <v>0.72141515341264861</v>
      </c>
      <c r="M10" s="23">
        <f t="shared" si="5"/>
        <v>1.8885660613650594</v>
      </c>
    </row>
    <row r="11" spans="1:16" x14ac:dyDescent="0.3">
      <c r="A11" t="s">
        <v>18</v>
      </c>
      <c r="B11">
        <v>11</v>
      </c>
      <c r="C11">
        <f t="shared" si="0"/>
        <v>144</v>
      </c>
      <c r="F11">
        <v>5</v>
      </c>
      <c r="G11" s="23">
        <f>IF(I10&lt;=K10,L10+(C12/C10)*(M10-L10)-(((-1)^B10)/C10)*$C$3,H10)</f>
        <v>1.1671509079524107</v>
      </c>
      <c r="H11" s="22">
        <f t="shared" si="6"/>
        <v>1.4428303068252977</v>
      </c>
      <c r="I11" s="23">
        <f t="shared" si="1"/>
        <v>4.8607885180769044</v>
      </c>
      <c r="J11" s="23" t="str">
        <f t="shared" si="2"/>
        <v>&gt;</v>
      </c>
      <c r="K11" s="23">
        <f t="shared" si="3"/>
        <v>4.75326837381769</v>
      </c>
      <c r="L11" s="23">
        <f t="shared" si="4"/>
        <v>1.1671509079524107</v>
      </c>
      <c r="M11" s="23">
        <f t="shared" si="5"/>
        <v>1.8885660613650594</v>
      </c>
    </row>
    <row r="12" spans="1:16" x14ac:dyDescent="0.3">
      <c r="A12" t="s">
        <v>18</v>
      </c>
      <c r="B12">
        <v>10</v>
      </c>
      <c r="C12">
        <f t="shared" si="0"/>
        <v>89</v>
      </c>
      <c r="F12">
        <v>6</v>
      </c>
      <c r="G12" s="23">
        <f>IF(I11&lt;=K11,L11+(C13/C11)*(M11-L11)-(((-1)^B11)/C11)*$C$3,H11)</f>
        <v>1.4428303068252977</v>
      </c>
      <c r="H12" s="22">
        <f t="shared" si="6"/>
        <v>1.6128866624921727</v>
      </c>
      <c r="I12" s="23">
        <f t="shared" si="1"/>
        <v>4.75326837381769</v>
      </c>
      <c r="J12" s="23" t="str">
        <f t="shared" si="2"/>
        <v>&lt;=</v>
      </c>
      <c r="K12" s="23">
        <f t="shared" si="3"/>
        <v>4.7627433985686221</v>
      </c>
      <c r="L12" s="23">
        <f t="shared" si="4"/>
        <v>1.1671509079524107</v>
      </c>
      <c r="M12" s="23">
        <f t="shared" si="5"/>
        <v>1.6128866624921727</v>
      </c>
    </row>
    <row r="13" spans="1:16" x14ac:dyDescent="0.3">
      <c r="A13" t="s">
        <v>18</v>
      </c>
      <c r="B13">
        <v>9</v>
      </c>
      <c r="C13">
        <f t="shared" si="0"/>
        <v>55</v>
      </c>
      <c r="F13">
        <v>7</v>
      </c>
      <c r="G13" s="23">
        <f t="shared" si="7"/>
        <v>1.3372072636192862</v>
      </c>
      <c r="H13" s="22">
        <f t="shared" si="6"/>
        <v>1.4428303068252977</v>
      </c>
      <c r="I13" s="23">
        <f t="shared" si="1"/>
        <v>4.7765014750183203</v>
      </c>
      <c r="J13" s="23" t="str">
        <f t="shared" si="2"/>
        <v>&gt;</v>
      </c>
      <c r="K13" s="23">
        <f t="shared" si="3"/>
        <v>4.75326837381769</v>
      </c>
      <c r="L13" s="23">
        <f t="shared" si="4"/>
        <v>1.3372072636192862</v>
      </c>
      <c r="M13" s="23">
        <f t="shared" si="5"/>
        <v>1.6128866624921727</v>
      </c>
    </row>
    <row r="14" spans="1:16" x14ac:dyDescent="0.3">
      <c r="A14" t="s">
        <v>18</v>
      </c>
      <c r="B14">
        <v>8</v>
      </c>
      <c r="C14">
        <f t="shared" si="0"/>
        <v>34</v>
      </c>
      <c r="F14">
        <v>8</v>
      </c>
      <c r="G14" s="22">
        <f t="shared" si="7"/>
        <v>1.4428303068252977</v>
      </c>
      <c r="H14" s="22">
        <f t="shared" si="6"/>
        <v>1.5072636192861615</v>
      </c>
      <c r="I14" s="23">
        <f t="shared" si="1"/>
        <v>4.75326837381769</v>
      </c>
      <c r="J14" s="23" t="str">
        <f t="shared" si="2"/>
        <v>&gt;</v>
      </c>
      <c r="K14" s="23">
        <f t="shared" si="3"/>
        <v>4.7500527601651346</v>
      </c>
      <c r="L14" s="23">
        <f t="shared" si="4"/>
        <v>1.4428303068252977</v>
      </c>
      <c r="M14" s="23">
        <f t="shared" si="5"/>
        <v>1.6128866624921727</v>
      </c>
    </row>
    <row r="15" spans="1:16" x14ac:dyDescent="0.3">
      <c r="A15" t="s">
        <v>18</v>
      </c>
      <c r="B15">
        <v>7</v>
      </c>
      <c r="C15">
        <f t="shared" si="0"/>
        <v>21</v>
      </c>
      <c r="F15">
        <v>9</v>
      </c>
      <c r="G15" s="22">
        <f t="shared" si="7"/>
        <v>1.5072636192861615</v>
      </c>
      <c r="H15" s="22">
        <f t="shared" si="6"/>
        <v>1.5484533500313087</v>
      </c>
      <c r="I15" s="23">
        <f t="shared" si="1"/>
        <v>4.7500527601651346</v>
      </c>
      <c r="J15" s="23" t="str">
        <f t="shared" si="2"/>
        <v>&lt;=</v>
      </c>
      <c r="K15" s="23">
        <f t="shared" si="3"/>
        <v>4.7523477271292567</v>
      </c>
      <c r="L15" s="23">
        <f t="shared" si="4"/>
        <v>1.4428303068252977</v>
      </c>
      <c r="M15" s="23">
        <f t="shared" si="5"/>
        <v>1.5484533500313087</v>
      </c>
    </row>
    <row r="16" spans="1:16" x14ac:dyDescent="0.3">
      <c r="A16" t="s">
        <v>18</v>
      </c>
      <c r="B16">
        <v>6</v>
      </c>
      <c r="C16">
        <f t="shared" si="0"/>
        <v>13</v>
      </c>
      <c r="F16">
        <v>10</v>
      </c>
      <c r="G16" s="23">
        <f t="shared" si="7"/>
        <v>1.4840200375704449</v>
      </c>
      <c r="H16" s="22">
        <f t="shared" si="6"/>
        <v>1.5072636192861615</v>
      </c>
      <c r="I16" s="23">
        <f t="shared" si="1"/>
        <v>4.7502553591992491</v>
      </c>
      <c r="J16" s="23" t="str">
        <f t="shared" si="2"/>
        <v>&gt;</v>
      </c>
      <c r="K16" s="23">
        <f t="shared" si="3"/>
        <v>4.7500527601651346</v>
      </c>
      <c r="L16" s="23">
        <f t="shared" si="4"/>
        <v>1.4840200375704449</v>
      </c>
      <c r="M16" s="23">
        <f t="shared" si="5"/>
        <v>1.5484533500313087</v>
      </c>
    </row>
    <row r="17" spans="1:16" x14ac:dyDescent="0.3">
      <c r="A17" t="s">
        <v>18</v>
      </c>
      <c r="B17">
        <v>5</v>
      </c>
      <c r="C17">
        <f t="shared" si="0"/>
        <v>8</v>
      </c>
      <c r="F17">
        <v>11</v>
      </c>
      <c r="G17" s="23">
        <f t="shared" si="7"/>
        <v>1.5072636192861615</v>
      </c>
      <c r="H17" s="22">
        <f t="shared" si="6"/>
        <v>1.5252097683155919</v>
      </c>
      <c r="I17" s="23">
        <f t="shared" si="1"/>
        <v>4.7500527601651346</v>
      </c>
      <c r="J17" s="23" t="str">
        <f t="shared" si="2"/>
        <v>&lt;=</v>
      </c>
      <c r="K17" s="23">
        <f t="shared" si="3"/>
        <v>4.7506355324185261</v>
      </c>
      <c r="L17" s="23">
        <f t="shared" si="4"/>
        <v>1.4840200375704449</v>
      </c>
      <c r="M17" s="23">
        <f t="shared" si="5"/>
        <v>1.5252097683155919</v>
      </c>
    </row>
    <row r="18" spans="1:16" x14ac:dyDescent="0.3">
      <c r="A18" t="s">
        <v>18</v>
      </c>
      <c r="B18">
        <v>4</v>
      </c>
      <c r="C18">
        <f t="shared" si="0"/>
        <v>5</v>
      </c>
      <c r="F18">
        <v>12</v>
      </c>
      <c r="G18" s="22">
        <f t="shared" si="7"/>
        <v>1.501966186599875</v>
      </c>
      <c r="H18" s="22">
        <f t="shared" si="6"/>
        <v>1.5072636192861615</v>
      </c>
      <c r="I18" s="23">
        <f t="shared" si="1"/>
        <v>4.7500038658897452</v>
      </c>
      <c r="J18" s="23" t="str">
        <f t="shared" si="2"/>
        <v>&lt;=</v>
      </c>
      <c r="K18" s="23">
        <f t="shared" si="3"/>
        <v>4.7500527601651346</v>
      </c>
      <c r="L18" s="23">
        <f t="shared" si="4"/>
        <v>1.4840200375704449</v>
      </c>
      <c r="M18" s="23">
        <f t="shared" si="5"/>
        <v>1.5072636192861615</v>
      </c>
    </row>
    <row r="19" spans="1:16" x14ac:dyDescent="0.3">
      <c r="A19" t="s">
        <v>18</v>
      </c>
      <c r="B19">
        <v>3</v>
      </c>
      <c r="C19">
        <f t="shared" si="0"/>
        <v>3</v>
      </c>
      <c r="F19">
        <v>13</v>
      </c>
      <c r="G19" s="22">
        <f t="shared" si="7"/>
        <v>1.4893174702567316</v>
      </c>
      <c r="H19" s="22">
        <f t="shared" si="6"/>
        <v>1.501966186599875</v>
      </c>
      <c r="I19" s="23">
        <f t="shared" si="1"/>
        <v>4.7501141164417149</v>
      </c>
      <c r="J19" s="23" t="str">
        <f t="shared" si="2"/>
        <v>&gt;</v>
      </c>
      <c r="K19" s="23">
        <f t="shared" si="3"/>
        <v>4.7500038658897452</v>
      </c>
      <c r="L19" s="23">
        <f t="shared" si="4"/>
        <v>1.4893174702567316</v>
      </c>
      <c r="M19" s="23">
        <f t="shared" si="5"/>
        <v>1.5072636192861615</v>
      </c>
    </row>
    <row r="20" spans="1:16" x14ac:dyDescent="0.3">
      <c r="A20" t="s">
        <v>18</v>
      </c>
      <c r="B20">
        <v>2</v>
      </c>
      <c r="C20">
        <f>C21+C22</f>
        <v>2</v>
      </c>
      <c r="F20">
        <v>14</v>
      </c>
      <c r="G20" s="23">
        <f t="shared" si="7"/>
        <v>1.501966186599875</v>
      </c>
      <c r="H20" s="22">
        <f t="shared" si="6"/>
        <v>1.4946149029430182</v>
      </c>
      <c r="I20" s="23">
        <f t="shared" si="1"/>
        <v>4.7500038658897452</v>
      </c>
      <c r="J20" s="23" t="str">
        <f t="shared" si="2"/>
        <v>&lt;=</v>
      </c>
      <c r="K20" s="23">
        <f t="shared" si="3"/>
        <v>4.7500289992703131</v>
      </c>
      <c r="L20" s="23">
        <f t="shared" si="4"/>
        <v>1.4893174702567316</v>
      </c>
      <c r="M20" s="23">
        <f t="shared" si="5"/>
        <v>1.4946149029430182</v>
      </c>
    </row>
    <row r="21" spans="1:16" x14ac:dyDescent="0.3">
      <c r="A21" t="s">
        <v>18</v>
      </c>
      <c r="B21">
        <v>1</v>
      </c>
      <c r="C21">
        <v>1</v>
      </c>
      <c r="F21">
        <v>15</v>
      </c>
      <c r="G21" s="23">
        <f t="shared" si="7"/>
        <v>1.4819661865998748</v>
      </c>
      <c r="H21" s="22">
        <f t="shared" si="6"/>
        <v>1.501966186599875</v>
      </c>
      <c r="I21" s="23">
        <f t="shared" si="1"/>
        <v>4.7503252184257505</v>
      </c>
      <c r="J21" s="23" t="str">
        <f t="shared" si="2"/>
        <v>&gt;</v>
      </c>
      <c r="K21" s="23">
        <f t="shared" si="3"/>
        <v>4.7500038658897452</v>
      </c>
      <c r="L21" s="23">
        <f t="shared" si="4"/>
        <v>1.4819661865998748</v>
      </c>
      <c r="M21" s="23">
        <f t="shared" si="5"/>
        <v>1.4946149029430182</v>
      </c>
    </row>
    <row r="22" spans="1:16" ht="28.8" x14ac:dyDescent="0.3">
      <c r="A22" t="s">
        <v>18</v>
      </c>
      <c r="B22">
        <v>0</v>
      </c>
      <c r="C22">
        <v>1</v>
      </c>
      <c r="O22" s="2"/>
      <c r="P22" s="14" t="s">
        <v>27</v>
      </c>
    </row>
    <row r="23" spans="1:16" x14ac:dyDescent="0.3">
      <c r="O23" s="2" t="s">
        <v>28</v>
      </c>
      <c r="P23" s="2">
        <f>MIN(I7:I21,K7:K21)</f>
        <v>4.7500038658897452</v>
      </c>
    </row>
    <row r="24" spans="1:16" x14ac:dyDescent="0.3">
      <c r="O24" s="2" t="s">
        <v>29</v>
      </c>
      <c r="P24" s="2">
        <v>6.5151820000000003</v>
      </c>
    </row>
    <row r="31" spans="1:16" x14ac:dyDescent="0.3">
      <c r="D31" s="24" t="s">
        <v>73</v>
      </c>
      <c r="E31" s="24"/>
      <c r="F31" s="24"/>
      <c r="G31" s="24"/>
      <c r="I31" s="25" t="s">
        <v>38</v>
      </c>
      <c r="J31" s="25"/>
      <c r="K31" s="25"/>
    </row>
    <row r="32" spans="1:16" x14ac:dyDescent="0.3">
      <c r="D32" s="25" t="s">
        <v>3</v>
      </c>
      <c r="E32" s="25">
        <v>16</v>
      </c>
      <c r="F32" s="25"/>
      <c r="G32" s="25"/>
      <c r="I32" s="25" t="s">
        <v>45</v>
      </c>
      <c r="J32" s="26">
        <v>4.7510000000000003</v>
      </c>
      <c r="K32" s="25"/>
    </row>
    <row r="33" spans="4:16" x14ac:dyDescent="0.3">
      <c r="D33" s="25" t="s">
        <v>4</v>
      </c>
      <c r="E33" s="25">
        <v>0.2</v>
      </c>
      <c r="F33" s="25"/>
      <c r="G33" s="25" t="s">
        <v>74</v>
      </c>
      <c r="I33" s="25" t="s">
        <v>29</v>
      </c>
      <c r="J33" s="26">
        <v>1.53</v>
      </c>
      <c r="K33" s="25"/>
    </row>
    <row r="34" spans="4:16" x14ac:dyDescent="0.3">
      <c r="D34" s="25" t="s">
        <v>5</v>
      </c>
      <c r="E34" s="25">
        <v>0</v>
      </c>
      <c r="F34" s="25"/>
      <c r="G34" s="25" t="s">
        <v>75</v>
      </c>
      <c r="I34" s="24" t="s">
        <v>40</v>
      </c>
      <c r="J34" s="24"/>
      <c r="K34" s="25" t="s">
        <v>76</v>
      </c>
    </row>
    <row r="35" spans="4:16" x14ac:dyDescent="0.3">
      <c r="D35" s="25" t="s">
        <v>6</v>
      </c>
      <c r="E35" s="25">
        <v>8</v>
      </c>
      <c r="F35" s="25"/>
      <c r="G35" s="25"/>
    </row>
    <row r="39" spans="4:16" x14ac:dyDescent="0.3">
      <c r="D39" s="27" t="s">
        <v>77</v>
      </c>
      <c r="E39" s="27"/>
      <c r="I39" s="17" t="s">
        <v>11</v>
      </c>
      <c r="J39" s="17" t="s">
        <v>78</v>
      </c>
      <c r="K39" s="17" t="s">
        <v>79</v>
      </c>
      <c r="L39" s="17" t="s">
        <v>14</v>
      </c>
      <c r="M39" s="17" t="s">
        <v>22</v>
      </c>
      <c r="N39" s="17" t="s">
        <v>15</v>
      </c>
      <c r="O39" s="17" t="s">
        <v>5</v>
      </c>
      <c r="P39" s="17" t="s">
        <v>6</v>
      </c>
    </row>
    <row r="40" spans="4:16" x14ac:dyDescent="0.3">
      <c r="D40" s="17">
        <f t="shared" ref="D40:D54" si="8">D42+D41</f>
        <v>2584</v>
      </c>
      <c r="E40" s="17">
        <v>17</v>
      </c>
      <c r="I40" s="17">
        <v>0</v>
      </c>
      <c r="J40" s="28"/>
      <c r="K40" s="28"/>
      <c r="L40" s="28"/>
      <c r="M40" s="17"/>
      <c r="N40" s="28"/>
      <c r="O40" s="30">
        <v>0</v>
      </c>
      <c r="P40" s="30">
        <v>8</v>
      </c>
    </row>
    <row r="41" spans="4:16" x14ac:dyDescent="0.3">
      <c r="D41" s="17">
        <f t="shared" si="8"/>
        <v>1597</v>
      </c>
      <c r="E41" s="17">
        <v>16</v>
      </c>
      <c r="I41" s="17">
        <v>1</v>
      </c>
      <c r="J41" s="29">
        <f>O40+(D43/D41)*(P40-O40)-(((-1)^E41)/D41)*$E$33</f>
        <v>3.0556042579837195</v>
      </c>
      <c r="K41" s="29">
        <f>O40+(D43/D41)*(P40-O40)+(((-1)^E41)/D41)*$E$33</f>
        <v>3.0558547276142765</v>
      </c>
      <c r="L41" s="30">
        <f>J41*J41-3*J41+7</f>
        <v>7.1699046074570791</v>
      </c>
      <c r="M41" s="30" t="str">
        <f>IF(L41&lt;=N41,"&lt;=","&gt;")</f>
        <v>&lt;=</v>
      </c>
      <c r="N41" s="30">
        <f>K41*K41-3*K41+7</f>
        <v>7.1706839334396939</v>
      </c>
      <c r="O41" s="30">
        <f>IF(L41&lt;=N41,O40,J41)</f>
        <v>0</v>
      </c>
      <c r="P41" s="30">
        <f>IF(L41&lt;=N41,K41,P40)</f>
        <v>3.0558547276142765</v>
      </c>
    </row>
    <row r="42" spans="4:16" x14ac:dyDescent="0.3">
      <c r="D42" s="17">
        <f t="shared" si="8"/>
        <v>987</v>
      </c>
      <c r="E42" s="17">
        <v>15</v>
      </c>
      <c r="I42" s="17">
        <v>2</v>
      </c>
      <c r="J42" s="31">
        <f>IF(L41&lt;=N41,O41+(D44/D42)*(P41-O41)-(((-1)^E42)/D42)*$E$33,K41)</f>
        <v>1.1674338726550986</v>
      </c>
      <c r="K42" s="30">
        <f>IF(L41&lt;=N41,J41,O41+(D44/D42)*(P41-O41)+(((-1)^E42)/D42)*$E$33)</f>
        <v>3.0556042579837195</v>
      </c>
      <c r="L42" s="30">
        <f t="shared" ref="L42:L55" si="9">J42*J42-3*J42+7</f>
        <v>4.8606002290571855</v>
      </c>
      <c r="M42" s="30" t="str">
        <f t="shared" ref="M42:M55" si="10">IF(L42&lt;=N42,"&lt;=","&gt;")</f>
        <v>&lt;=</v>
      </c>
      <c r="N42" s="30">
        <f t="shared" ref="N42:N55" si="11">K42*K42-3*K42+7</f>
        <v>7.1699046074570791</v>
      </c>
      <c r="O42" s="30">
        <f t="shared" ref="O42:O55" si="12">IF(L42&lt;=N42,O41,J42)</f>
        <v>0</v>
      </c>
      <c r="P42" s="30">
        <f t="shared" ref="P42:P55" si="13">IF(L42&lt;=N42,K42,P41)</f>
        <v>3.0556042579837195</v>
      </c>
    </row>
    <row r="43" spans="4:16" x14ac:dyDescent="0.3">
      <c r="D43" s="17">
        <f t="shared" si="8"/>
        <v>610</v>
      </c>
      <c r="E43" s="17">
        <v>14</v>
      </c>
      <c r="I43" s="17">
        <v>3</v>
      </c>
      <c r="J43" s="31">
        <f t="shared" ref="J43:J55" si="14">IF(L42&lt;=N42,O42+(D45/D43)*(P42-O42)-(((-1)^E43)/D43)*$E$33,K42)</f>
        <v>1.1668127739511585</v>
      </c>
      <c r="K43" s="30">
        <f t="shared" ref="K43:K55" si="15">IF(L42&lt;=N42,J42,O42+(D45/D43)*(P42-O42)+(((-1)^E43)/D43)*$E$33)</f>
        <v>1.1674338726550986</v>
      </c>
      <c r="L43" s="30">
        <f t="shared" si="9"/>
        <v>4.8610137276021224</v>
      </c>
      <c r="M43" s="30" t="str">
        <f t="shared" si="10"/>
        <v>&gt;</v>
      </c>
      <c r="N43" s="30">
        <f t="shared" si="11"/>
        <v>4.8606002290571855</v>
      </c>
      <c r="O43" s="30">
        <f t="shared" si="12"/>
        <v>1.1668127739511585</v>
      </c>
      <c r="P43" s="30">
        <f t="shared" si="13"/>
        <v>3.0556042579837195</v>
      </c>
    </row>
    <row r="44" spans="4:16" x14ac:dyDescent="0.3">
      <c r="D44" s="17">
        <f t="shared" si="8"/>
        <v>377</v>
      </c>
      <c r="E44" s="17">
        <v>13</v>
      </c>
      <c r="I44" s="17">
        <v>4</v>
      </c>
      <c r="J44" s="31">
        <f t="shared" si="14"/>
        <v>1.1674338726550986</v>
      </c>
      <c r="K44" s="30">
        <f t="shared" si="15"/>
        <v>1.8877304760750013</v>
      </c>
      <c r="L44" s="30">
        <f t="shared" si="9"/>
        <v>4.8606002290571855</v>
      </c>
      <c r="M44" s="30" t="str">
        <f t="shared" si="10"/>
        <v>&lt;=</v>
      </c>
      <c r="N44" s="30">
        <f t="shared" si="11"/>
        <v>4.9003349220773469</v>
      </c>
      <c r="O44" s="30">
        <f t="shared" si="12"/>
        <v>1.1668127739511585</v>
      </c>
      <c r="P44" s="30">
        <f t="shared" si="13"/>
        <v>1.8877304760750013</v>
      </c>
    </row>
    <row r="45" spans="4:16" x14ac:dyDescent="0.3">
      <c r="D45" s="17">
        <f t="shared" si="8"/>
        <v>233</v>
      </c>
      <c r="E45" s="17">
        <v>12</v>
      </c>
      <c r="I45" s="17">
        <v>5</v>
      </c>
      <c r="J45" s="31">
        <f t="shared" si="14"/>
        <v>1.4413264026594073</v>
      </c>
      <c r="K45" s="30">
        <f t="shared" si="15"/>
        <v>1.1674338726550986</v>
      </c>
      <c r="L45" s="30">
        <f t="shared" si="9"/>
        <v>4.7534425910248856</v>
      </c>
      <c r="M45" s="30" t="str">
        <f t="shared" si="10"/>
        <v>&lt;=</v>
      </c>
      <c r="N45" s="30">
        <f t="shared" si="11"/>
        <v>4.8606002290571855</v>
      </c>
      <c r="O45" s="30">
        <f t="shared" si="12"/>
        <v>1.1668127739511585</v>
      </c>
      <c r="P45" s="30">
        <f t="shared" si="13"/>
        <v>1.1674338726550986</v>
      </c>
    </row>
    <row r="46" spans="4:16" x14ac:dyDescent="0.3">
      <c r="D46" s="17">
        <f t="shared" si="8"/>
        <v>144</v>
      </c>
      <c r="E46" s="17">
        <v>11</v>
      </c>
      <c r="I46" s="17">
        <v>6</v>
      </c>
      <c r="J46" s="31">
        <f t="shared" si="14"/>
        <v>1.1684388880394689</v>
      </c>
      <c r="K46" s="30">
        <f t="shared" si="15"/>
        <v>1.4413264026594073</v>
      </c>
      <c r="L46" s="30">
        <f t="shared" si="9"/>
        <v>4.8599327709645035</v>
      </c>
      <c r="M46" s="30" t="str">
        <f t="shared" si="10"/>
        <v>&gt;</v>
      </c>
      <c r="N46" s="30">
        <f t="shared" si="11"/>
        <v>4.7534425910248856</v>
      </c>
      <c r="O46" s="30">
        <f t="shared" si="12"/>
        <v>1.1684388880394689</v>
      </c>
      <c r="P46" s="30">
        <f t="shared" si="13"/>
        <v>1.1674338726550986</v>
      </c>
    </row>
    <row r="47" spans="4:16" x14ac:dyDescent="0.3">
      <c r="D47" s="17">
        <f t="shared" si="8"/>
        <v>89</v>
      </c>
      <c r="E47" s="17">
        <v>10</v>
      </c>
      <c r="I47" s="17">
        <v>7</v>
      </c>
      <c r="J47" s="31">
        <f t="shared" si="14"/>
        <v>1.4413264026594073</v>
      </c>
      <c r="K47" s="30">
        <f t="shared" si="15"/>
        <v>1.1703021405892602</v>
      </c>
      <c r="L47" s="30">
        <f t="shared" si="9"/>
        <v>4.7534425910248856</v>
      </c>
      <c r="M47" s="30" t="str">
        <f t="shared" si="10"/>
        <v>&lt;=</v>
      </c>
      <c r="N47" s="30">
        <f t="shared" si="11"/>
        <v>4.858700678500024</v>
      </c>
      <c r="O47" s="30">
        <f t="shared" si="12"/>
        <v>1.1684388880394689</v>
      </c>
      <c r="P47" s="30">
        <f t="shared" si="13"/>
        <v>1.1703021405892602</v>
      </c>
    </row>
    <row r="48" spans="4:16" x14ac:dyDescent="0.3">
      <c r="D48" s="17">
        <f t="shared" si="8"/>
        <v>55</v>
      </c>
      <c r="E48" s="17">
        <v>9</v>
      </c>
      <c r="I48" s="17">
        <v>8</v>
      </c>
      <c r="J48" s="31">
        <f t="shared" si="14"/>
        <v>1.172786675376662</v>
      </c>
      <c r="K48" s="30">
        <f t="shared" si="15"/>
        <v>1.4413264026594073</v>
      </c>
      <c r="L48" s="30">
        <f t="shared" si="9"/>
        <v>4.8570685598110579</v>
      </c>
      <c r="M48" s="30" t="str">
        <f t="shared" si="10"/>
        <v>&gt;</v>
      </c>
      <c r="N48" s="30">
        <f t="shared" si="11"/>
        <v>4.7534425910248856</v>
      </c>
      <c r="O48" s="30">
        <f t="shared" si="12"/>
        <v>1.172786675376662</v>
      </c>
      <c r="P48" s="30">
        <f t="shared" si="13"/>
        <v>1.1703021405892602</v>
      </c>
    </row>
    <row r="49" spans="4:16" x14ac:dyDescent="0.3">
      <c r="D49" s="17">
        <f t="shared" si="8"/>
        <v>34</v>
      </c>
      <c r="E49" s="17">
        <v>8</v>
      </c>
      <c r="I49" s="17">
        <v>9</v>
      </c>
      <c r="J49" s="31">
        <f t="shared" si="14"/>
        <v>1.4413264026594073</v>
      </c>
      <c r="K49" s="30">
        <f t="shared" si="15"/>
        <v>1.1777190591344202</v>
      </c>
      <c r="L49" s="30">
        <f t="shared" si="9"/>
        <v>4.7534425910248856</v>
      </c>
      <c r="M49" s="30" t="str">
        <f t="shared" si="10"/>
        <v>&lt;=</v>
      </c>
      <c r="N49" s="30">
        <f t="shared" si="11"/>
        <v>4.8538650048452032</v>
      </c>
      <c r="O49" s="30">
        <f t="shared" si="12"/>
        <v>1.172786675376662</v>
      </c>
      <c r="P49" s="30">
        <f t="shared" si="13"/>
        <v>1.1777190591344202</v>
      </c>
    </row>
    <row r="50" spans="4:16" x14ac:dyDescent="0.3">
      <c r="D50" s="17">
        <f t="shared" si="8"/>
        <v>21</v>
      </c>
      <c r="E50" s="17">
        <v>7</v>
      </c>
      <c r="I50" s="17">
        <v>10</v>
      </c>
      <c r="J50" s="31">
        <f t="shared" si="14"/>
        <v>1.1841894882367603</v>
      </c>
      <c r="K50" s="30">
        <f t="shared" si="15"/>
        <v>1.4413264026594073</v>
      </c>
      <c r="L50" s="30">
        <f t="shared" si="9"/>
        <v>4.8497362793401591</v>
      </c>
      <c r="M50" s="30" t="str">
        <f t="shared" si="10"/>
        <v>&gt;</v>
      </c>
      <c r="N50" s="30">
        <f t="shared" si="11"/>
        <v>4.7534425910248856</v>
      </c>
      <c r="O50" s="30">
        <f t="shared" si="12"/>
        <v>1.1841894882367603</v>
      </c>
      <c r="P50" s="30">
        <f t="shared" si="13"/>
        <v>1.1777190591344202</v>
      </c>
    </row>
    <row r="51" spans="4:16" x14ac:dyDescent="0.3">
      <c r="D51" s="17">
        <f t="shared" si="8"/>
        <v>13</v>
      </c>
      <c r="E51" s="17">
        <v>6</v>
      </c>
      <c r="I51" s="17">
        <v>11</v>
      </c>
      <c r="J51" s="31">
        <f t="shared" si="14"/>
        <v>1.4413264026594073</v>
      </c>
      <c r="K51" s="30">
        <f t="shared" si="15"/>
        <v>1.1970854770435526</v>
      </c>
      <c r="L51" s="30">
        <f t="shared" si="9"/>
        <v>4.7534425910248856</v>
      </c>
      <c r="M51" s="30" t="str">
        <f t="shared" si="10"/>
        <v>&lt;=</v>
      </c>
      <c r="N51" s="30">
        <f t="shared" si="11"/>
        <v>4.8417572082179321</v>
      </c>
      <c r="O51" s="30">
        <f t="shared" si="12"/>
        <v>1.1841894882367603</v>
      </c>
      <c r="P51" s="30">
        <f t="shared" si="13"/>
        <v>1.1970854770435526</v>
      </c>
    </row>
    <row r="52" spans="4:16" x14ac:dyDescent="0.3">
      <c r="D52" s="17">
        <f t="shared" si="8"/>
        <v>8</v>
      </c>
      <c r="E52" s="17">
        <v>5</v>
      </c>
      <c r="I52" s="17">
        <v>12</v>
      </c>
      <c r="J52" s="31">
        <f t="shared" si="14"/>
        <v>1.2140254840393072</v>
      </c>
      <c r="K52" s="30">
        <f t="shared" si="15"/>
        <v>1.4413264026594073</v>
      </c>
      <c r="L52" s="30">
        <f t="shared" si="9"/>
        <v>4.8317814237789527</v>
      </c>
      <c r="M52" s="30" t="str">
        <f t="shared" si="10"/>
        <v>&gt;</v>
      </c>
      <c r="N52" s="30">
        <f t="shared" si="11"/>
        <v>4.7534425910248856</v>
      </c>
      <c r="O52" s="30">
        <f t="shared" si="12"/>
        <v>1.2140254840393072</v>
      </c>
      <c r="P52" s="30">
        <f t="shared" si="13"/>
        <v>1.1970854770435526</v>
      </c>
    </row>
    <row r="53" spans="4:16" x14ac:dyDescent="0.3">
      <c r="D53" s="17">
        <f t="shared" si="8"/>
        <v>5</v>
      </c>
      <c r="E53" s="17">
        <v>4</v>
      </c>
      <c r="I53" s="17">
        <v>13</v>
      </c>
      <c r="J53" s="31">
        <f t="shared" si="14"/>
        <v>1.4413264026594073</v>
      </c>
      <c r="K53" s="30">
        <f t="shared" si="15"/>
        <v>1.2472494812410053</v>
      </c>
      <c r="L53" s="30">
        <f t="shared" si="9"/>
        <v>4.7534425910248856</v>
      </c>
      <c r="M53" s="30" t="str">
        <f t="shared" si="10"/>
        <v>&lt;=</v>
      </c>
      <c r="N53" s="30">
        <f t="shared" si="11"/>
        <v>4.813882824732941</v>
      </c>
      <c r="O53" s="30">
        <f t="shared" si="12"/>
        <v>1.2140254840393072</v>
      </c>
      <c r="P53" s="30">
        <f t="shared" si="13"/>
        <v>1.2472494812410053</v>
      </c>
    </row>
    <row r="54" spans="4:16" x14ac:dyDescent="0.3">
      <c r="D54" s="17">
        <f t="shared" si="8"/>
        <v>3</v>
      </c>
      <c r="E54" s="17">
        <v>3</v>
      </c>
      <c r="I54" s="17">
        <v>14</v>
      </c>
      <c r="J54" s="31">
        <f t="shared" si="14"/>
        <v>1.2917668164398732</v>
      </c>
      <c r="K54" s="30">
        <f t="shared" si="15"/>
        <v>1.4413264026594073</v>
      </c>
      <c r="L54" s="30">
        <f t="shared" si="9"/>
        <v>4.7933610587355853</v>
      </c>
      <c r="M54" s="30" t="str">
        <f t="shared" si="10"/>
        <v>&gt;</v>
      </c>
      <c r="N54" s="30">
        <f t="shared" si="11"/>
        <v>4.7534425910248856</v>
      </c>
      <c r="O54" s="30">
        <f t="shared" si="12"/>
        <v>1.2917668164398732</v>
      </c>
      <c r="P54" s="30">
        <f t="shared" si="13"/>
        <v>1.2472494812410053</v>
      </c>
    </row>
    <row r="55" spans="4:16" x14ac:dyDescent="0.3">
      <c r="D55" s="17">
        <f>D57+D56</f>
        <v>2</v>
      </c>
      <c r="E55" s="17">
        <v>2</v>
      </c>
      <c r="I55" s="17">
        <v>15</v>
      </c>
      <c r="J55" s="31">
        <f t="shared" si="14"/>
        <v>1.4413264026594073</v>
      </c>
      <c r="K55" s="30">
        <f t="shared" si="15"/>
        <v>1.3695081488404393</v>
      </c>
      <c r="L55" s="30">
        <f t="shared" si="9"/>
        <v>4.7534425910248856</v>
      </c>
      <c r="M55" s="30" t="str">
        <f t="shared" si="10"/>
        <v>&lt;=</v>
      </c>
      <c r="N55" s="30">
        <f t="shared" si="11"/>
        <v>4.767028123219049</v>
      </c>
      <c r="O55" s="30">
        <f t="shared" si="12"/>
        <v>1.2917668164398732</v>
      </c>
      <c r="P55" s="30">
        <f t="shared" si="13"/>
        <v>1.3695081488404393</v>
      </c>
    </row>
    <row r="56" spans="4:16" x14ac:dyDescent="0.3">
      <c r="D56" s="17">
        <v>1</v>
      </c>
      <c r="E56" s="17">
        <v>1</v>
      </c>
    </row>
    <row r="57" spans="4:16" x14ac:dyDescent="0.3">
      <c r="D57" s="17">
        <v>1</v>
      </c>
      <c r="E57" s="17">
        <v>0</v>
      </c>
    </row>
  </sheetData>
  <mergeCells count="3">
    <mergeCell ref="D31:G31"/>
    <mergeCell ref="I34:J34"/>
    <mergeCell ref="D39:E39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workbookViewId="0">
      <selection activeCell="F7" sqref="F7"/>
    </sheetView>
  </sheetViews>
  <sheetFormatPr defaultRowHeight="14.4" x14ac:dyDescent="0.3"/>
  <cols>
    <col min="5" max="5" width="17.33203125" customWidth="1"/>
    <col min="6" max="6" width="10.33203125" bestFit="1" customWidth="1"/>
    <col min="8" max="8" width="15" customWidth="1"/>
    <col min="10" max="10" width="17.6640625" customWidth="1"/>
    <col min="15" max="15" width="37.109375" customWidth="1"/>
  </cols>
  <sheetData>
    <row r="1" spans="2:15" x14ac:dyDescent="0.3">
      <c r="B1" t="s">
        <v>37</v>
      </c>
    </row>
    <row r="2" spans="2:15" x14ac:dyDescent="0.3">
      <c r="B2" s="2" t="s">
        <v>16</v>
      </c>
      <c r="C2" s="2">
        <v>16</v>
      </c>
    </row>
    <row r="3" spans="2:15" x14ac:dyDescent="0.3">
      <c r="B3" s="2" t="s">
        <v>34</v>
      </c>
      <c r="C3" s="2">
        <f>(3-5^0.5)/2</f>
        <v>0.3819660112501051</v>
      </c>
    </row>
    <row r="4" spans="2:15" x14ac:dyDescent="0.3">
      <c r="B4" s="2" t="s">
        <v>35</v>
      </c>
      <c r="C4" s="2">
        <f>(5^0.5-1)/2</f>
        <v>0.6180339887498949</v>
      </c>
      <c r="E4" t="s">
        <v>11</v>
      </c>
      <c r="F4" t="s">
        <v>30</v>
      </c>
      <c r="G4" t="s">
        <v>31</v>
      </c>
      <c r="H4" t="s">
        <v>32</v>
      </c>
      <c r="I4" t="s">
        <v>22</v>
      </c>
      <c r="J4" t="s">
        <v>33</v>
      </c>
      <c r="K4" t="s">
        <v>5</v>
      </c>
      <c r="L4" t="s">
        <v>6</v>
      </c>
    </row>
    <row r="5" spans="2:15" x14ac:dyDescent="0.3">
      <c r="E5">
        <v>0</v>
      </c>
      <c r="K5">
        <v>0</v>
      </c>
      <c r="L5">
        <v>8</v>
      </c>
      <c r="N5" s="2"/>
      <c r="O5" t="s">
        <v>26</v>
      </c>
    </row>
    <row r="6" spans="2:15" x14ac:dyDescent="0.3">
      <c r="E6">
        <v>1</v>
      </c>
      <c r="F6" s="2">
        <f>K5+$C$3*(L5-K5)</f>
        <v>3.0557280900008408</v>
      </c>
      <c r="G6" s="2">
        <f>K5+$C$4*(L5-K5)</f>
        <v>4.9442719099991592</v>
      </c>
      <c r="H6">
        <f>F6*F6-13*F6+7</f>
        <v>-23.386991009990744</v>
      </c>
      <c r="I6" t="str">
        <f>IF(H6&lt;=J6,"&lt;=","&gt;")</f>
        <v>&gt;</v>
      </c>
      <c r="J6">
        <f>G6*G6-13*G6+7</f>
        <v>-32.829710109982337</v>
      </c>
      <c r="K6">
        <f>IF(H6&lt;=J6,K5,F6)</f>
        <v>3.0557280900008408</v>
      </c>
      <c r="L6">
        <f>IF(H6&lt;=J6,G6,L5)</f>
        <v>8</v>
      </c>
    </row>
    <row r="7" spans="2:15" x14ac:dyDescent="0.3">
      <c r="E7">
        <v>2</v>
      </c>
      <c r="F7">
        <f>IF(H6&lt;=J6,K6+$C$3*(L6-K6),G6)</f>
        <v>4.9442719099991592</v>
      </c>
      <c r="G7" s="2">
        <f>IF(H6&lt;=J6,F6,K6+$C$4*(L6-K6))</f>
        <v>6.1114561800016824</v>
      </c>
      <c r="H7">
        <f t="shared" ref="H7:H20" si="0">F7*F7-13*F7+7</f>
        <v>-32.829710109982337</v>
      </c>
      <c r="I7" t="str">
        <f t="shared" ref="I7:I20" si="1">IF(H7&lt;=J7,"&lt;=","&gt;")</f>
        <v>&gt;</v>
      </c>
      <c r="J7">
        <f t="shared" ref="J7:J20" si="2">G7*G7-13*G7+7</f>
        <v>-35.099033699941117</v>
      </c>
      <c r="K7">
        <f t="shared" ref="K7:K20" si="3">IF(H7&lt;=J7,K6,F7)</f>
        <v>4.9442719099991592</v>
      </c>
      <c r="L7">
        <f t="shared" ref="L7:L20" si="4">IF(H7&lt;=J7,G7,L6)</f>
        <v>8</v>
      </c>
    </row>
    <row r="8" spans="2:15" x14ac:dyDescent="0.3">
      <c r="E8">
        <v>3</v>
      </c>
      <c r="F8">
        <f t="shared" ref="F8:F20" si="5">IF(H7&lt;=J7,K7+$C$3*(L7-K7),G7)</f>
        <v>6.1114561800016824</v>
      </c>
      <c r="G8" s="2">
        <f t="shared" ref="G8:G20" si="6">IF(H7&lt;=J7,F7,K7+$C$4*(L7-K7))</f>
        <v>6.8328157299974768</v>
      </c>
      <c r="H8">
        <f t="shared" si="0"/>
        <v>-35.099033699941117</v>
      </c>
      <c r="I8" t="str">
        <f t="shared" si="1"/>
        <v>&gt;</v>
      </c>
      <c r="J8">
        <f t="shared" si="2"/>
        <v>-35.139233689866245</v>
      </c>
      <c r="K8">
        <f t="shared" si="3"/>
        <v>6.1114561800016824</v>
      </c>
      <c r="L8">
        <f t="shared" si="4"/>
        <v>8</v>
      </c>
    </row>
    <row r="9" spans="2:15" x14ac:dyDescent="0.3">
      <c r="E9">
        <v>4</v>
      </c>
      <c r="F9">
        <f t="shared" si="5"/>
        <v>6.8328157299974768</v>
      </c>
      <c r="G9" s="2">
        <f t="shared" si="6"/>
        <v>7.2786404500042057</v>
      </c>
      <c r="H9">
        <f t="shared" si="0"/>
        <v>-35.139233689866245</v>
      </c>
      <c r="I9" t="str">
        <f t="shared" si="1"/>
        <v>&lt;=</v>
      </c>
      <c r="J9">
        <f t="shared" si="2"/>
        <v>-34.643719049617253</v>
      </c>
      <c r="K9">
        <f t="shared" si="3"/>
        <v>6.1114561800016824</v>
      </c>
      <c r="L9">
        <f t="shared" si="4"/>
        <v>7.2786404500042057</v>
      </c>
    </row>
    <row r="10" spans="2:15" x14ac:dyDescent="0.3">
      <c r="E10">
        <v>5</v>
      </c>
      <c r="F10" s="2">
        <f t="shared" si="5"/>
        <v>6.5572809000084122</v>
      </c>
      <c r="G10">
        <f t="shared" si="6"/>
        <v>6.8328157299974768</v>
      </c>
      <c r="H10">
        <f t="shared" si="0"/>
        <v>-35.246718898494223</v>
      </c>
      <c r="I10" t="str">
        <f t="shared" si="1"/>
        <v>&lt;=</v>
      </c>
      <c r="J10">
        <f t="shared" si="2"/>
        <v>-35.139233689866245</v>
      </c>
      <c r="K10">
        <f t="shared" si="3"/>
        <v>6.1114561800016824</v>
      </c>
      <c r="L10">
        <f t="shared" si="4"/>
        <v>6.8328157299974768</v>
      </c>
    </row>
    <row r="11" spans="2:15" x14ac:dyDescent="0.3">
      <c r="E11">
        <v>6</v>
      </c>
      <c r="F11" s="2">
        <f t="shared" si="5"/>
        <v>6.386991009990747</v>
      </c>
      <c r="G11">
        <f t="shared" si="6"/>
        <v>6.5572809000084122</v>
      </c>
      <c r="H11">
        <f t="shared" si="0"/>
        <v>-35.237228968177092</v>
      </c>
      <c r="I11" t="str">
        <f t="shared" si="1"/>
        <v>&gt;</v>
      </c>
      <c r="J11">
        <f t="shared" si="2"/>
        <v>-35.246718898494223</v>
      </c>
      <c r="K11">
        <f t="shared" si="3"/>
        <v>6.386991009990747</v>
      </c>
      <c r="L11">
        <f t="shared" si="4"/>
        <v>6.8328157299974768</v>
      </c>
    </row>
    <row r="12" spans="2:15" x14ac:dyDescent="0.3">
      <c r="E12">
        <v>7</v>
      </c>
      <c r="F12">
        <f t="shared" si="5"/>
        <v>6.5572809000084122</v>
      </c>
      <c r="G12" s="2">
        <f t="shared" si="6"/>
        <v>6.6625258399798115</v>
      </c>
      <c r="H12">
        <f t="shared" si="0"/>
        <v>-35.246718898494223</v>
      </c>
      <c r="I12" t="str">
        <f t="shared" si="1"/>
        <v>&lt;=</v>
      </c>
      <c r="J12">
        <f t="shared" si="2"/>
        <v>-35.223585351338855</v>
      </c>
      <c r="K12">
        <f t="shared" si="3"/>
        <v>6.386991009990747</v>
      </c>
      <c r="L12">
        <f t="shared" si="4"/>
        <v>6.6625258399798115</v>
      </c>
    </row>
    <row r="13" spans="2:15" x14ac:dyDescent="0.3">
      <c r="E13">
        <v>8</v>
      </c>
      <c r="F13" s="2">
        <f t="shared" si="5"/>
        <v>6.4922359499621454</v>
      </c>
      <c r="G13">
        <f t="shared" si="6"/>
        <v>6.5572809000084122</v>
      </c>
      <c r="H13">
        <f t="shared" si="0"/>
        <v>-35.249939719527006</v>
      </c>
      <c r="I13" t="str">
        <f t="shared" si="1"/>
        <v>&lt;=</v>
      </c>
      <c r="J13">
        <f t="shared" si="2"/>
        <v>-35.246718898494223</v>
      </c>
      <c r="K13">
        <f t="shared" si="3"/>
        <v>6.386991009990747</v>
      </c>
      <c r="L13">
        <f t="shared" si="4"/>
        <v>6.5572809000084122</v>
      </c>
    </row>
    <row r="14" spans="2:15" x14ac:dyDescent="0.3">
      <c r="E14">
        <v>9</v>
      </c>
      <c r="F14" s="2">
        <f t="shared" si="5"/>
        <v>6.4520359600370139</v>
      </c>
      <c r="G14">
        <f t="shared" si="6"/>
        <v>6.4922359499621454</v>
      </c>
      <c r="H14">
        <f t="shared" si="0"/>
        <v>-35.247699450870428</v>
      </c>
      <c r="I14" t="str">
        <f t="shared" si="1"/>
        <v>&gt;</v>
      </c>
      <c r="J14">
        <f t="shared" si="2"/>
        <v>-35.249939719527006</v>
      </c>
      <c r="K14">
        <f t="shared" si="3"/>
        <v>6.4520359600370139</v>
      </c>
      <c r="L14">
        <f t="shared" si="4"/>
        <v>6.5572809000084122</v>
      </c>
    </row>
    <row r="15" spans="2:15" x14ac:dyDescent="0.3">
      <c r="E15">
        <v>10</v>
      </c>
      <c r="F15">
        <f t="shared" si="5"/>
        <v>6.4922359499621454</v>
      </c>
      <c r="G15" s="2">
        <f t="shared" si="6"/>
        <v>6.5170809100832807</v>
      </c>
      <c r="H15">
        <f t="shared" si="0"/>
        <v>-35.249939719527006</v>
      </c>
      <c r="I15" t="str">
        <f t="shared" si="1"/>
        <v>&lt;=</v>
      </c>
      <c r="J15">
        <f t="shared" si="2"/>
        <v>-35.249708242510728</v>
      </c>
      <c r="K15">
        <f t="shared" si="3"/>
        <v>6.4520359600370139</v>
      </c>
      <c r="L15">
        <f t="shared" si="4"/>
        <v>6.5170809100832807</v>
      </c>
    </row>
    <row r="16" spans="2:15" x14ac:dyDescent="0.3">
      <c r="E16">
        <v>11</v>
      </c>
      <c r="F16" s="2">
        <f t="shared" si="5"/>
        <v>6.4768809201581483</v>
      </c>
      <c r="G16">
        <f t="shared" si="6"/>
        <v>6.4922359499621454</v>
      </c>
      <c r="H16">
        <f t="shared" si="0"/>
        <v>-35.249465508147267</v>
      </c>
      <c r="I16" t="str">
        <f t="shared" si="1"/>
        <v>&gt;</v>
      </c>
      <c r="J16">
        <f t="shared" si="2"/>
        <v>-35.249939719527006</v>
      </c>
      <c r="K16">
        <f t="shared" si="3"/>
        <v>6.4768809201581483</v>
      </c>
      <c r="L16">
        <f t="shared" si="4"/>
        <v>6.5170809100832807</v>
      </c>
    </row>
    <row r="17" spans="5:15" x14ac:dyDescent="0.3">
      <c r="E17">
        <v>12</v>
      </c>
      <c r="F17">
        <f t="shared" si="5"/>
        <v>6.4922359499621454</v>
      </c>
      <c r="G17" s="2">
        <f t="shared" si="6"/>
        <v>6.5017258802792837</v>
      </c>
      <c r="H17">
        <f t="shared" si="0"/>
        <v>-35.249939719527006</v>
      </c>
      <c r="I17" t="str">
        <f t="shared" si="1"/>
        <v>&gt;</v>
      </c>
      <c r="J17">
        <f t="shared" si="2"/>
        <v>-35.249997021337258</v>
      </c>
      <c r="K17">
        <f t="shared" si="3"/>
        <v>6.4922359499621454</v>
      </c>
      <c r="L17">
        <f t="shared" si="4"/>
        <v>6.5170809100832807</v>
      </c>
    </row>
    <row r="18" spans="5:15" x14ac:dyDescent="0.3">
      <c r="E18">
        <v>13</v>
      </c>
      <c r="F18">
        <f t="shared" si="5"/>
        <v>6.5017258802792837</v>
      </c>
      <c r="G18" s="2">
        <f t="shared" si="6"/>
        <v>6.5075909797661424</v>
      </c>
      <c r="H18">
        <f t="shared" si="0"/>
        <v>-35.249997021337258</v>
      </c>
      <c r="I18" t="str">
        <f t="shared" si="1"/>
        <v>&lt;=</v>
      </c>
      <c r="J18">
        <f t="shared" si="2"/>
        <v>-35.249942377026194</v>
      </c>
      <c r="K18">
        <f t="shared" si="3"/>
        <v>6.4922359499621454</v>
      </c>
      <c r="L18">
        <f t="shared" si="4"/>
        <v>6.5075909797661424</v>
      </c>
    </row>
    <row r="19" spans="5:15" x14ac:dyDescent="0.3">
      <c r="E19">
        <v>14</v>
      </c>
      <c r="F19" s="2">
        <f t="shared" si="5"/>
        <v>6.498101049449005</v>
      </c>
      <c r="G19">
        <f t="shared" si="6"/>
        <v>6.5017258802792837</v>
      </c>
      <c r="H19">
        <f t="shared" si="0"/>
        <v>-35.249996393986805</v>
      </c>
      <c r="I19" t="str">
        <f t="shared" si="1"/>
        <v>&gt;</v>
      </c>
      <c r="J19">
        <f t="shared" si="2"/>
        <v>-35.249997021337258</v>
      </c>
      <c r="K19">
        <f t="shared" si="3"/>
        <v>6.498101049449005</v>
      </c>
      <c r="L19">
        <f t="shared" si="4"/>
        <v>6.5075909797661424</v>
      </c>
    </row>
    <row r="20" spans="5:15" x14ac:dyDescent="0.3">
      <c r="E20">
        <v>15</v>
      </c>
      <c r="F20">
        <f t="shared" si="5"/>
        <v>6.5017258802792837</v>
      </c>
      <c r="G20" s="2">
        <f t="shared" si="6"/>
        <v>6.5039661489358638</v>
      </c>
      <c r="H20">
        <f t="shared" si="0"/>
        <v>-35.249997021337258</v>
      </c>
      <c r="I20" t="str">
        <f t="shared" si="1"/>
        <v>&lt;=</v>
      </c>
      <c r="J20">
        <f t="shared" si="2"/>
        <v>-35.249984269662619</v>
      </c>
      <c r="K20">
        <f t="shared" si="3"/>
        <v>6.498101049449005</v>
      </c>
      <c r="L20">
        <f t="shared" si="4"/>
        <v>6.5039661489358638</v>
      </c>
    </row>
    <row r="21" spans="5:15" ht="28.8" x14ac:dyDescent="0.3">
      <c r="N21" s="2"/>
      <c r="O21" s="14" t="s">
        <v>36</v>
      </c>
    </row>
    <row r="22" spans="5:15" x14ac:dyDescent="0.3">
      <c r="N22" s="2" t="s">
        <v>28</v>
      </c>
      <c r="O22" s="2">
        <f>MIN(H6:H20,J6:J20)</f>
        <v>-35.249997021337258</v>
      </c>
    </row>
    <row r="23" spans="5:15" x14ac:dyDescent="0.3">
      <c r="N23" s="2" t="s">
        <v>29</v>
      </c>
      <c r="O23" s="2">
        <v>6.5017259000000003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3"/>
  <sheetViews>
    <sheetView workbookViewId="0">
      <selection activeCell="J11" sqref="J11"/>
    </sheetView>
  </sheetViews>
  <sheetFormatPr defaultRowHeight="14.4" x14ac:dyDescent="0.3"/>
  <cols>
    <col min="12" max="12" width="18.6640625" customWidth="1"/>
    <col min="13" max="13" width="21.109375" customWidth="1"/>
    <col min="14" max="14" width="17.88671875" customWidth="1"/>
  </cols>
  <sheetData>
    <row r="4" spans="2:14" x14ac:dyDescent="0.3">
      <c r="B4" t="s">
        <v>71</v>
      </c>
    </row>
    <row r="5" spans="2:14" x14ac:dyDescent="0.3">
      <c r="B5" s="17" t="s">
        <v>47</v>
      </c>
      <c r="C5" s="17" t="s">
        <v>48</v>
      </c>
      <c r="D5" s="17" t="s">
        <v>49</v>
      </c>
      <c r="E5" s="17" t="s">
        <v>50</v>
      </c>
      <c r="F5" s="17" t="s">
        <v>51</v>
      </c>
      <c r="G5" s="17" t="s">
        <v>52</v>
      </c>
      <c r="H5" s="17" t="s">
        <v>53</v>
      </c>
      <c r="I5" s="17" t="s">
        <v>56</v>
      </c>
      <c r="J5" s="17" t="s">
        <v>57</v>
      </c>
      <c r="L5" t="s">
        <v>64</v>
      </c>
    </row>
    <row r="6" spans="2:14" x14ac:dyDescent="0.3">
      <c r="B6" s="17">
        <v>1</v>
      </c>
      <c r="C6" s="17">
        <v>3000</v>
      </c>
      <c r="D6" s="17">
        <v>4</v>
      </c>
      <c r="E6" s="17">
        <v>40</v>
      </c>
      <c r="F6" s="17">
        <v>4</v>
      </c>
      <c r="G6" s="19">
        <f>SQRT((2*D6*C6)/E6)</f>
        <v>24.494897427831781</v>
      </c>
      <c r="H6" s="19">
        <f>(D6*C6)/G6</f>
        <v>489.89794855663564</v>
      </c>
      <c r="I6" s="19">
        <f>E6*G6</f>
        <v>979.79589711327117</v>
      </c>
      <c r="J6" s="19">
        <f>F6*G6</f>
        <v>97.979589711327122</v>
      </c>
      <c r="L6" t="s">
        <v>65</v>
      </c>
    </row>
    <row r="7" spans="2:14" x14ac:dyDescent="0.3">
      <c r="B7" s="17">
        <v>2</v>
      </c>
      <c r="C7" s="17">
        <v>5000</v>
      </c>
      <c r="D7" s="17">
        <v>6</v>
      </c>
      <c r="E7" s="17">
        <v>6</v>
      </c>
      <c r="F7" s="17">
        <v>3</v>
      </c>
      <c r="G7" s="19">
        <f t="shared" ref="G7:G10" si="0">SQRT((2*D7*C7)/E7)</f>
        <v>100</v>
      </c>
      <c r="H7" s="19">
        <f t="shared" ref="H7:H10" si="1">(D7*C7)/G7</f>
        <v>300</v>
      </c>
      <c r="I7" s="19">
        <f t="shared" ref="I7:I10" si="2">E7*G7</f>
        <v>600</v>
      </c>
      <c r="J7" s="19">
        <f t="shared" ref="J7:J10" si="3">F7*G7</f>
        <v>300</v>
      </c>
      <c r="L7" t="s">
        <v>66</v>
      </c>
    </row>
    <row r="8" spans="2:14" x14ac:dyDescent="0.3">
      <c r="B8" s="17">
        <v>3</v>
      </c>
      <c r="C8" s="17">
        <v>6400</v>
      </c>
      <c r="D8" s="17">
        <v>7</v>
      </c>
      <c r="E8" s="17">
        <v>14</v>
      </c>
      <c r="F8" s="17">
        <v>5</v>
      </c>
      <c r="G8" s="19">
        <f t="shared" si="0"/>
        <v>80</v>
      </c>
      <c r="H8" s="19">
        <f t="shared" si="1"/>
        <v>560</v>
      </c>
      <c r="I8" s="19">
        <f t="shared" si="2"/>
        <v>1120</v>
      </c>
      <c r="J8" s="19">
        <f t="shared" si="3"/>
        <v>400</v>
      </c>
      <c r="L8" t="s">
        <v>67</v>
      </c>
    </row>
    <row r="9" spans="2:14" x14ac:dyDescent="0.3">
      <c r="B9" s="17">
        <v>4</v>
      </c>
      <c r="C9" s="17">
        <v>1500</v>
      </c>
      <c r="D9" s="17">
        <v>6</v>
      </c>
      <c r="E9" s="17">
        <v>6</v>
      </c>
      <c r="F9" s="17">
        <v>40</v>
      </c>
      <c r="G9" s="19">
        <f t="shared" si="0"/>
        <v>54.772255750516614</v>
      </c>
      <c r="H9" s="19">
        <f t="shared" si="1"/>
        <v>164.31676725154983</v>
      </c>
      <c r="I9" s="19">
        <f t="shared" si="2"/>
        <v>328.63353450309967</v>
      </c>
      <c r="J9" s="19">
        <f t="shared" si="3"/>
        <v>2190.8902300206646</v>
      </c>
      <c r="L9" t="s">
        <v>68</v>
      </c>
    </row>
    <row r="10" spans="2:14" x14ac:dyDescent="0.3">
      <c r="B10" s="17">
        <v>5</v>
      </c>
      <c r="C10" s="17">
        <v>80</v>
      </c>
      <c r="D10" s="17">
        <v>4</v>
      </c>
      <c r="E10" s="17">
        <v>16</v>
      </c>
      <c r="F10" s="17">
        <v>20</v>
      </c>
      <c r="G10" s="19">
        <f t="shared" si="0"/>
        <v>6.324555320336759</v>
      </c>
      <c r="H10" s="19">
        <f t="shared" si="1"/>
        <v>50.596442562694065</v>
      </c>
      <c r="I10" s="19">
        <f t="shared" si="2"/>
        <v>101.19288512538814</v>
      </c>
      <c r="J10" s="19">
        <f t="shared" si="3"/>
        <v>126.49110640673518</v>
      </c>
      <c r="L10" t="s">
        <v>69</v>
      </c>
    </row>
    <row r="11" spans="2:14" x14ac:dyDescent="0.3">
      <c r="B11" s="17"/>
      <c r="C11" s="17"/>
      <c r="D11" s="17"/>
      <c r="E11" s="17"/>
      <c r="F11" s="17"/>
      <c r="G11" s="19"/>
      <c r="H11" s="19">
        <f>SUM(H6:H10)</f>
        <v>1564.8111583708796</v>
      </c>
      <c r="I11" s="19">
        <f>SUM(I6:I10)</f>
        <v>3129.6223167417593</v>
      </c>
      <c r="J11" s="19">
        <f>SUM(J6:J10)</f>
        <v>3115.3609261387269</v>
      </c>
      <c r="L11" t="s">
        <v>70</v>
      </c>
    </row>
    <row r="12" spans="2:14" ht="37.5" customHeight="1" x14ac:dyDescent="0.3">
      <c r="B12" s="18" t="s">
        <v>54</v>
      </c>
      <c r="C12" s="3">
        <v>1500</v>
      </c>
      <c r="D12" s="18"/>
      <c r="E12" s="18"/>
      <c r="F12" s="18"/>
      <c r="G12" s="18"/>
      <c r="H12" s="18"/>
      <c r="I12" s="18"/>
      <c r="J12" s="18"/>
      <c r="L12" s="21" t="s">
        <v>59</v>
      </c>
      <c r="M12" s="21" t="s">
        <v>60</v>
      </c>
      <c r="N12" s="21" t="s">
        <v>61</v>
      </c>
    </row>
    <row r="13" spans="2:14" ht="43.2" x14ac:dyDescent="0.3">
      <c r="B13" s="18" t="s">
        <v>55</v>
      </c>
      <c r="C13" s="20">
        <f>SUM(H6:H10)+0.5*SUM(I6:I10)</f>
        <v>3129.6223167417593</v>
      </c>
      <c r="D13" s="18"/>
      <c r="E13" s="18"/>
      <c r="F13" s="18"/>
      <c r="G13" s="18"/>
      <c r="H13" s="18"/>
      <c r="I13" s="18"/>
      <c r="J13" s="18"/>
      <c r="L13" s="21" t="s">
        <v>62</v>
      </c>
      <c r="M13" s="21">
        <v>3115.36</v>
      </c>
      <c r="N13" s="21">
        <v>3129.62</v>
      </c>
    </row>
    <row r="14" spans="2:14" ht="57.6" x14ac:dyDescent="0.3">
      <c r="B14" t="s">
        <v>72</v>
      </c>
      <c r="L14" s="21" t="s">
        <v>63</v>
      </c>
      <c r="M14" s="21">
        <v>1500</v>
      </c>
      <c r="N14" s="21">
        <v>3380.8409999999999</v>
      </c>
    </row>
    <row r="15" spans="2:14" x14ac:dyDescent="0.3">
      <c r="B15" s="17" t="s">
        <v>47</v>
      </c>
      <c r="C15" s="17" t="s">
        <v>48</v>
      </c>
      <c r="D15" s="17" t="s">
        <v>49</v>
      </c>
      <c r="E15" s="17" t="s">
        <v>50</v>
      </c>
      <c r="F15" s="17" t="s">
        <v>51</v>
      </c>
      <c r="G15" s="17" t="s">
        <v>52</v>
      </c>
      <c r="H15" s="17" t="s">
        <v>58</v>
      </c>
      <c r="I15" s="17" t="s">
        <v>56</v>
      </c>
      <c r="J15" s="17" t="s">
        <v>57</v>
      </c>
    </row>
    <row r="16" spans="2:14" x14ac:dyDescent="0.3">
      <c r="B16" s="17">
        <v>1</v>
      </c>
      <c r="C16" s="17">
        <v>3000</v>
      </c>
      <c r="D16" s="17">
        <v>4</v>
      </c>
      <c r="E16" s="17">
        <v>40</v>
      </c>
      <c r="F16" s="17">
        <v>4</v>
      </c>
      <c r="G16" s="17">
        <v>23.213486021285298</v>
      </c>
      <c r="H16" s="17">
        <f>(D16*C16)/G16</f>
        <v>516.94088466492099</v>
      </c>
      <c r="I16" s="17">
        <f>E16*G16</f>
        <v>928.53944085141188</v>
      </c>
      <c r="J16" s="17">
        <f>F16*G16</f>
        <v>92.853944085141194</v>
      </c>
    </row>
    <row r="17" spans="2:10" x14ac:dyDescent="0.3">
      <c r="B17" s="17">
        <v>2</v>
      </c>
      <c r="C17" s="17">
        <v>5000</v>
      </c>
      <c r="D17" s="17">
        <v>6</v>
      </c>
      <c r="E17" s="17">
        <v>6</v>
      </c>
      <c r="F17" s="17">
        <v>3</v>
      </c>
      <c r="G17" s="17">
        <v>79.880516461270403</v>
      </c>
      <c r="H17" s="17">
        <f t="shared" ref="H17:H20" si="4">(D17*C17)/G17</f>
        <v>375.56091684191006</v>
      </c>
      <c r="I17" s="17">
        <f t="shared" ref="I17:I20" si="5">E17*G17</f>
        <v>479.28309876762239</v>
      </c>
      <c r="J17" s="17">
        <f t="shared" ref="J17:J19" si="6">F17*G17</f>
        <v>239.6415493838112</v>
      </c>
    </row>
    <row r="18" spans="2:10" x14ac:dyDescent="0.3">
      <c r="B18" s="17">
        <v>3</v>
      </c>
      <c r="C18" s="17">
        <v>6400</v>
      </c>
      <c r="D18" s="17">
        <v>7</v>
      </c>
      <c r="E18" s="17">
        <v>14</v>
      </c>
      <c r="F18" s="17">
        <v>5</v>
      </c>
      <c r="G18" s="17">
        <v>67.488579072924097</v>
      </c>
      <c r="H18" s="17">
        <f t="shared" si="4"/>
        <v>663.81602065724064</v>
      </c>
      <c r="I18" s="17">
        <f t="shared" si="5"/>
        <v>944.84010702093735</v>
      </c>
      <c r="J18" s="17">
        <f t="shared" si="6"/>
        <v>337.44289536462048</v>
      </c>
    </row>
    <row r="19" spans="2:10" x14ac:dyDescent="0.3">
      <c r="B19" s="17">
        <v>4</v>
      </c>
      <c r="C19" s="17">
        <v>1500</v>
      </c>
      <c r="D19" s="17">
        <v>6</v>
      </c>
      <c r="E19" s="17">
        <v>6</v>
      </c>
      <c r="F19" s="17">
        <v>40</v>
      </c>
      <c r="G19" s="17">
        <v>18.717903990719496</v>
      </c>
      <c r="H19" s="17">
        <f t="shared" si="4"/>
        <v>480.82306675268131</v>
      </c>
      <c r="I19" s="17">
        <f t="shared" si="5"/>
        <v>112.30742394431698</v>
      </c>
      <c r="J19" s="17">
        <f t="shared" si="6"/>
        <v>748.71615962877979</v>
      </c>
    </row>
    <row r="20" spans="2:10" x14ac:dyDescent="0.3">
      <c r="B20" s="17">
        <v>5</v>
      </c>
      <c r="C20" s="17">
        <v>80</v>
      </c>
      <c r="D20" s="17">
        <v>4</v>
      </c>
      <c r="E20" s="17">
        <v>16</v>
      </c>
      <c r="F20" s="17">
        <v>20</v>
      </c>
      <c r="G20" s="17">
        <v>4.067272576882365</v>
      </c>
      <c r="H20" s="17">
        <f t="shared" si="4"/>
        <v>78.676802193888264</v>
      </c>
      <c r="I20" s="17">
        <f t="shared" si="5"/>
        <v>65.07636123011784</v>
      </c>
      <c r="J20" s="17">
        <f>F20*G20</f>
        <v>81.345451537647307</v>
      </c>
    </row>
    <row r="21" spans="2:10" x14ac:dyDescent="0.3">
      <c r="B21" s="17"/>
      <c r="C21" s="17"/>
      <c r="D21" s="17"/>
      <c r="E21" s="17"/>
      <c r="F21" s="17"/>
      <c r="G21" s="17"/>
      <c r="H21" s="17">
        <f>SUM(H16:H20)</f>
        <v>2115.8176911106411</v>
      </c>
      <c r="I21" s="17">
        <f>SUM(I16:I20)</f>
        <v>2530.0464318144068</v>
      </c>
      <c r="J21" s="17">
        <f>SUM(J16:J20)</f>
        <v>1499.9999999999998</v>
      </c>
    </row>
    <row r="22" spans="2:10" x14ac:dyDescent="0.3">
      <c r="B22" s="18" t="s">
        <v>54</v>
      </c>
      <c r="C22" s="3">
        <v>1500</v>
      </c>
      <c r="D22" s="18"/>
    </row>
    <row r="23" spans="2:10" x14ac:dyDescent="0.3">
      <c r="B23" t="s">
        <v>55</v>
      </c>
      <c r="C23">
        <f>SUM(H16:H20)+0.5*SUM(I16:I20)</f>
        <v>3380.8409070178445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Пассивный метод поиска</vt:lpstr>
      <vt:lpstr>Метод Фибоначчи</vt:lpstr>
      <vt:lpstr>Метод золотого сечения</vt:lpstr>
      <vt:lpstr>Оптимизация поставок товаров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2022-11-22T20:33:03Z</dcterms:modified>
</cp:coreProperties>
</file>