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Орудия" sheetId="1" r:id="rId1"/>
    <sheet name="Корпуса" sheetId="2" r:id="rId2"/>
    <sheet name="Снаряды" sheetId="3" r:id="rId3"/>
  </sheets>
  <calcPr calcId="145621"/>
</workbook>
</file>

<file path=xl/calcChain.xml><?xml version="1.0" encoding="utf-8"?>
<calcChain xmlns="http://schemas.openxmlformats.org/spreadsheetml/2006/main">
  <c r="G2" i="3" l="1"/>
  <c r="N2" i="1"/>
  <c r="M2" i="1" l="1"/>
  <c r="O3" i="2"/>
  <c r="K2" i="2"/>
  <c r="T2" i="1"/>
  <c r="U2" i="1" s="1"/>
  <c r="P2" i="1"/>
  <c r="C3" i="1" s="1"/>
  <c r="G2" i="1"/>
  <c r="D3" i="2" l="1"/>
  <c r="L3" i="2"/>
  <c r="C3" i="2"/>
  <c r="J3" i="2"/>
  <c r="I3" i="2"/>
  <c r="P3" i="2"/>
  <c r="H3" i="2" s="1"/>
  <c r="H3" i="1"/>
  <c r="L3" i="1"/>
  <c r="K3" i="1"/>
  <c r="N3" i="1" s="1"/>
  <c r="F3" i="1"/>
  <c r="G3" i="1" s="1"/>
  <c r="J3" i="1"/>
  <c r="I3" i="1"/>
  <c r="E3" i="1"/>
  <c r="D3" i="1"/>
  <c r="G3" i="2" l="1"/>
  <c r="F3" i="2"/>
  <c r="E3" i="2"/>
  <c r="V2" i="1"/>
  <c r="M3" i="1"/>
  <c r="K3" i="2" l="1"/>
</calcChain>
</file>

<file path=xl/sharedStrings.xml><?xml version="1.0" encoding="utf-8"?>
<sst xmlns="http://schemas.openxmlformats.org/spreadsheetml/2006/main" count="51" uniqueCount="45">
  <si>
    <t>Название</t>
  </si>
  <si>
    <t>Уровень</t>
  </si>
  <si>
    <t>Фаллоф</t>
  </si>
  <si>
    <t>Оптимал</t>
  </si>
  <si>
    <t>Сигнатура турели</t>
  </si>
  <si>
    <t>Трекинг</t>
  </si>
  <si>
    <t>Трекинг град</t>
  </si>
  <si>
    <t>Снарядов в обойме</t>
  </si>
  <si>
    <t>Перезарядка в обойме</t>
  </si>
  <si>
    <t>Общая перезарядка</t>
  </si>
  <si>
    <t>Множитель урона</t>
  </si>
  <si>
    <t>УВС</t>
  </si>
  <si>
    <t>Масса модуля</t>
  </si>
  <si>
    <t>Пушка 120 мм</t>
  </si>
  <si>
    <t>Коэф. Рандома</t>
  </si>
  <si>
    <t>Сигнатура цели</t>
  </si>
  <si>
    <t>Дистанция до цели</t>
  </si>
  <si>
    <t>Угловая скорость рад\с</t>
  </si>
  <si>
    <t>Угловая скорость град</t>
  </si>
  <si>
    <t>Шанс поражения</t>
  </si>
  <si>
    <t>Маштаб</t>
  </si>
  <si>
    <t>Прочность брони</t>
  </si>
  <si>
    <t>Сопротивление взрыву</t>
  </si>
  <si>
    <t>Сопротивление кинетическое</t>
  </si>
  <si>
    <t>Сопротивление термическое</t>
  </si>
  <si>
    <t>Сопротивление радиационное</t>
  </si>
  <si>
    <t>Дальность сенсора</t>
  </si>
  <si>
    <t>Масса</t>
  </si>
  <si>
    <t>Потенциальная броня</t>
  </si>
  <si>
    <t>Сигнатура</t>
  </si>
  <si>
    <t>Базовый</t>
  </si>
  <si>
    <t>уровень</t>
  </si>
  <si>
    <t>Урон снаряда</t>
  </si>
  <si>
    <t>Угловая скорость цели(по касательной к направлению к орудию)</t>
  </si>
  <si>
    <t>Залп</t>
  </si>
  <si>
    <t>Размер</t>
  </si>
  <si>
    <t>Кинетич</t>
  </si>
  <si>
    <t>Фугасный</t>
  </si>
  <si>
    <t>Термич</t>
  </si>
  <si>
    <t>Радиац</t>
  </si>
  <si>
    <t>Дальность</t>
  </si>
  <si>
    <t>ОФС малого калибра</t>
  </si>
  <si>
    <t>Малый</t>
  </si>
  <si>
    <t>Бонусы указываются в %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</si>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</sst>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I12" sqref="I12"/>
    </sheetView>
  </sheetViews>
  <sheetFormatPr defaultRowHeight="15" x14ac:dyDescent="0.25"/>
  <cols>
    <col min="1" max="1" width="13.7109375" bestFit="1" customWidth="1"/>
    <col min="5" max="5" width="17.28515625" bestFit="1" customWidth="1"/>
    <col min="7" max="7" width="12.7109375" bestFit="1" customWidth="1"/>
    <col min="8" max="8" width="19" bestFit="1" customWidth="1"/>
    <col min="9" max="9" width="22.28515625" bestFit="1" customWidth="1"/>
    <col min="10" max="10" width="19.5703125" bestFit="1" customWidth="1"/>
    <col min="11" max="11" width="17.85546875" bestFit="1" customWidth="1"/>
    <col min="12" max="12" width="13.85546875" bestFit="1" customWidth="1"/>
    <col min="13" max="14" width="11.28515625" customWidth="1"/>
    <col min="15" max="15" width="14.5703125" customWidth="1"/>
    <col min="17" max="17" width="15.28515625" bestFit="1" customWidth="1"/>
    <col min="18" max="18" width="18.7109375" bestFit="1" customWidth="1"/>
    <col min="19" max="19" width="25.28515625" bestFit="1" customWidth="1"/>
    <col min="20" max="20" width="22.42578125" bestFit="1" customWidth="1"/>
    <col min="21" max="21" width="21.42578125" bestFit="1" customWidth="1"/>
    <col min="22" max="22" width="16.7109375" bestFit="1" customWidth="1"/>
  </cols>
  <sheetData>
    <row r="1" spans="1:22" x14ac:dyDescent="0.25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11</v>
      </c>
      <c r="N1" s="2" t="s">
        <v>34</v>
      </c>
      <c r="O1" s="7" t="s">
        <v>14</v>
      </c>
      <c r="P1" s="7">
        <v>0.02</v>
      </c>
      <c r="Q1" s="1" t="s">
        <v>15</v>
      </c>
      <c r="R1" s="1" t="s">
        <v>16</v>
      </c>
      <c r="S1" s="1" t="s">
        <v>33</v>
      </c>
      <c r="T1" s="6" t="s">
        <v>17</v>
      </c>
      <c r="U1" s="6" t="s">
        <v>18</v>
      </c>
      <c r="V1" s="6" t="s">
        <v>19</v>
      </c>
    </row>
    <row r="2" spans="1:22" x14ac:dyDescent="0.25">
      <c r="A2" t="s">
        <v>13</v>
      </c>
      <c r="B2" s="2">
        <v>0</v>
      </c>
      <c r="C2">
        <v>150</v>
      </c>
      <c r="D2">
        <v>90</v>
      </c>
      <c r="E2">
        <v>70</v>
      </c>
      <c r="F2">
        <v>0.9</v>
      </c>
      <c r="G2" s="3">
        <f>F2*180/3.14</f>
        <v>51.592356687898089</v>
      </c>
      <c r="H2">
        <v>50</v>
      </c>
      <c r="I2">
        <v>1.1000000000000001</v>
      </c>
      <c r="J2">
        <v>20</v>
      </c>
      <c r="K2">
        <v>1.8</v>
      </c>
      <c r="L2">
        <v>5</v>
      </c>
      <c r="M2" s="3">
        <f>(K2*P3)/(I2+J2)*H2</f>
        <v>12.796208530805686</v>
      </c>
      <c r="N2" s="3">
        <f>P3*K2</f>
        <v>5.4</v>
      </c>
      <c r="O2" s="7"/>
      <c r="P2" s="7">
        <f>(P1*B3)/(1+P1*B3)</f>
        <v>1.9607843137254902E-2</v>
      </c>
      <c r="Q2">
        <v>100</v>
      </c>
      <c r="R2">
        <v>100</v>
      </c>
      <c r="S2">
        <v>0</v>
      </c>
      <c r="T2" s="3">
        <f>S2/R2</f>
        <v>0</v>
      </c>
      <c r="U2" s="3">
        <f>T2*180/3.14</f>
        <v>0</v>
      </c>
      <c r="V2" s="3">
        <f>0.5^( ((S2/(R2*F3))*(E3/Q2))^2+((MAX(0,R2-D3))/C3)^2  )*100</f>
        <v>99.915509828610482</v>
      </c>
    </row>
    <row r="3" spans="1:22" x14ac:dyDescent="0.25">
      <c r="B3" s="6">
        <v>1</v>
      </c>
      <c r="C3">
        <f>((C2+C2*(0.1*B3))-(C2+C2*(0.1*(B3-1)*P2)))/2+C2</f>
        <v>157.5</v>
      </c>
      <c r="D3">
        <f>((D2+D2*(0.1*B3))-(D2+D2*(0.1*(B3-1)*P2)))/2+D2</f>
        <v>94.5</v>
      </c>
      <c r="E3">
        <f>E2-(E2*0.5*((E2*(0.1*(B3-1)*P2))/(E2*0.1*B3)))</f>
        <v>70</v>
      </c>
      <c r="F3">
        <f>((F2+F2*(0.1*B3))-(F2+F2*(0.1*(B3-1)*P2)))/5+F2</f>
        <v>0.91800000000000004</v>
      </c>
      <c r="G3" s="3">
        <f>F3*180/3.14</f>
        <v>52.624203821656053</v>
      </c>
      <c r="H3">
        <f>((H2+H2*(0.1*B3))-(H2+H2*(0.1*(B3-1)*P2)))/5+H2</f>
        <v>51</v>
      </c>
      <c r="I3">
        <f>I2-(I2*0.5*((I2*(0.1*(B3-1)*P2))/(I2*0.1*B3)))</f>
        <v>1.1000000000000001</v>
      </c>
      <c r="J3">
        <f>J2-(J2*0.5*((J2*(0.1*(B3-1)*P2))/(J2*0.1*B3)))</f>
        <v>20</v>
      </c>
      <c r="K3">
        <f>((K2+K2*(0.1*B3))-(K2+K2*(0.1*(B3-1)*P2)))/2+K2</f>
        <v>1.8900000000000001</v>
      </c>
      <c r="L3">
        <f>((L2+L2*(0.1*B3))-(L2+L2*(0.1*(B3-1)*P2)))/1.5+L2</f>
        <v>5.333333333333333</v>
      </c>
      <c r="M3" s="3">
        <f>(K3*P3)/(I3+J3)*H3</f>
        <v>13.70473933649289</v>
      </c>
      <c r="N3" s="3">
        <f>P3*K3</f>
        <v>5.67</v>
      </c>
      <c r="O3" t="s">
        <v>32</v>
      </c>
      <c r="P3">
        <v>3</v>
      </c>
    </row>
    <row r="5" spans="1:2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</row>
    <row r="6" spans="1:2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</row>
    <row r="7" spans="1:2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E7" sqref="E7"/>
    </sheetView>
  </sheetViews>
  <sheetFormatPr defaultRowHeight="15" x14ac:dyDescent="0.25"/>
  <cols>
    <col min="1" max="1" width="9.5703125" bestFit="1" customWidth="1"/>
    <col min="2" max="2" width="12" bestFit="1" customWidth="1"/>
    <col min="3" max="3" width="8.28515625" bestFit="1" customWidth="1"/>
    <col min="4" max="4" width="16.85546875" bestFit="1" customWidth="1"/>
    <col min="5" max="5" width="22.7109375" bestFit="1" customWidth="1"/>
    <col min="6" max="6" width="29.140625" bestFit="1" customWidth="1"/>
    <col min="7" max="7" width="28.42578125" bestFit="1" customWidth="1"/>
    <col min="8" max="8" width="30" bestFit="1" customWidth="1"/>
    <col min="9" max="9" width="18.5703125" bestFit="1" customWidth="1"/>
    <col min="10" max="10" width="9.85546875" customWidth="1"/>
    <col min="11" max="11" width="15" customWidth="1"/>
    <col min="12" max="12" width="10.140625" bestFit="1" customWidth="1"/>
  </cols>
  <sheetData>
    <row r="1" spans="1:16" x14ac:dyDescent="0.25">
      <c r="A1" t="s">
        <v>0</v>
      </c>
      <c r="B1" t="s">
        <v>31</v>
      </c>
      <c r="C1" s="12" t="s">
        <v>20</v>
      </c>
      <c r="D1" s="11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N1" t="s">
        <v>14</v>
      </c>
      <c r="O1">
        <v>0.02</v>
      </c>
    </row>
    <row r="2" spans="1:16" x14ac:dyDescent="0.25">
      <c r="A2" t="s">
        <v>30</v>
      </c>
      <c r="B2" s="6">
        <v>0</v>
      </c>
      <c r="C2">
        <v>0.3</v>
      </c>
      <c r="D2">
        <v>150</v>
      </c>
      <c r="E2">
        <v>0</v>
      </c>
      <c r="F2">
        <v>0</v>
      </c>
      <c r="G2">
        <v>0</v>
      </c>
      <c r="H2">
        <v>0</v>
      </c>
      <c r="I2">
        <v>900</v>
      </c>
      <c r="J2">
        <v>250</v>
      </c>
      <c r="K2" s="3">
        <f>D2/(1-(E2+F2+G2+H2)/100/4)</f>
        <v>150</v>
      </c>
      <c r="L2">
        <v>100</v>
      </c>
    </row>
    <row r="3" spans="1:16" x14ac:dyDescent="0.25">
      <c r="B3" s="6">
        <v>501</v>
      </c>
      <c r="C3">
        <f>((C2+C2*(0.1*B3))-(C2+C2*(0.1*(B3-1)*O3)))/3+C2</f>
        <v>0.76372050816696901</v>
      </c>
      <c r="D3">
        <f>((D2+D2*(0.1*B3))-(D2+D2*(0.1*(B3-1)*O3)))/1+D2</f>
        <v>845.58076225045352</v>
      </c>
      <c r="E3">
        <f>E2+(P3/2-(P3/2*(E2/100)))</f>
        <v>45.46279491833031</v>
      </c>
      <c r="F3">
        <f>F2+(P3/2-(P3/2*(F2/100)))</f>
        <v>45.46279491833031</v>
      </c>
      <c r="G3">
        <f>G2+(P3/2-(P3/2*(G2/100)))</f>
        <v>45.46279491833031</v>
      </c>
      <c r="H3">
        <f>H2+(P3/2-(P3/2*(H2/100)))</f>
        <v>45.46279491833031</v>
      </c>
      <c r="I3">
        <f>((I2+I2*(0.1*B3))-(I2+I2*(0.1*(B3-1)*O3)))/3.5+I2</f>
        <v>2092.4241638579197</v>
      </c>
      <c r="J3">
        <f>((J2+J2*(0.1*B3))-(J2+J2*(0.1*(B3-1)*O3)))/3+J2</f>
        <v>636.43375680580721</v>
      </c>
      <c r="K3" s="3">
        <f>D3/(1-(E3+F3+G3+H3)/100/4)</f>
        <v>1550.4658901830283</v>
      </c>
      <c r="L3">
        <f>((L2+L2*(0.1*B3))-(L2+L2*(0.1*(B3-1)*O3)))/4+L2</f>
        <v>215.93012704174225</v>
      </c>
      <c r="O3" s="6">
        <f>(O1*B3)/(1+O1*B3)</f>
        <v>0.90925589836660614</v>
      </c>
      <c r="P3">
        <f>O3*100</f>
        <v>90.92558983666062</v>
      </c>
    </row>
    <row r="4" spans="1:16" x14ac:dyDescent="0.25">
      <c r="K4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9" sqref="F9"/>
    </sheetView>
  </sheetViews>
  <sheetFormatPr defaultRowHeight="15" x14ac:dyDescent="0.25"/>
  <cols>
    <col min="1" max="1" width="9.5703125" bestFit="1" customWidth="1"/>
    <col min="8" max="8" width="10.5703125" bestFit="1" customWidth="1"/>
    <col min="10" max="10" width="10.140625" bestFit="1" customWidth="1"/>
    <col min="11" max="11" width="8.28515625" bestFit="1" customWidth="1"/>
  </cols>
  <sheetData>
    <row r="1" spans="1:13" x14ac:dyDescent="0.25">
      <c r="A1" s="2" t="s">
        <v>0</v>
      </c>
      <c r="B1" s="2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6" t="s">
        <v>44</v>
      </c>
      <c r="H1" s="9" t="s">
        <v>40</v>
      </c>
      <c r="I1" s="9" t="s">
        <v>3</v>
      </c>
      <c r="J1" s="9" t="s">
        <v>29</v>
      </c>
      <c r="K1" s="9" t="s">
        <v>5</v>
      </c>
      <c r="M1" s="9" t="s">
        <v>43</v>
      </c>
    </row>
    <row r="2" spans="1:13" x14ac:dyDescent="0.25">
      <c r="A2" t="s">
        <v>41</v>
      </c>
      <c r="B2" t="s">
        <v>42</v>
      </c>
      <c r="C2">
        <v>1</v>
      </c>
      <c r="D2">
        <v>2</v>
      </c>
      <c r="E2">
        <v>0</v>
      </c>
      <c r="F2">
        <v>0</v>
      </c>
      <c r="G2" s="10">
        <f>C2+D2+E2+F2</f>
        <v>3</v>
      </c>
      <c r="H2">
        <v>0</v>
      </c>
      <c r="I2">
        <v>10</v>
      </c>
      <c r="J2">
        <v>0</v>
      </c>
      <c r="K2">
        <v>0</v>
      </c>
    </row>
    <row r="3" spans="1:13" x14ac:dyDescent="0.25">
      <c r="G3" s="10"/>
    </row>
    <row r="4" spans="1:13" x14ac:dyDescent="0.25">
      <c r="G4" s="10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Орудия</vt:lpstr>
      <vt:lpstr>Корпуса</vt:lpstr>
      <vt:lpstr>Снаряды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2016-07-12T07:06:45Z</dcterms:modified>
</cp:coreProperties>
</file>